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harts/chart4.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emf" ContentType="image/x-emf"/>
  <Default Extension="jpeg" ContentType="image/jpeg"/>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620" yWindow="855" windowWidth="20730" windowHeight="11670" activeTab="2"/>
  </bookViews>
  <sheets>
    <sheet name="7PSourceSummary" sheetId="20" r:id="rId1"/>
    <sheet name="forRPM" sheetId="39" r:id="rId2"/>
    <sheet name="SC-Retro" sheetId="8" r:id="rId3"/>
    <sheet name="Overlap" sheetId="36" r:id="rId4"/>
    <sheet name="Accomplishments" sheetId="23" r:id="rId5"/>
    <sheet name="M_Input_Out" sheetId="38" r:id="rId6"/>
    <sheet name="M_Input" sheetId="3" r:id="rId7"/>
    <sheet name="Consolidate" sheetId="35" r:id="rId8"/>
    <sheet name="Increment" sheetId="19" r:id="rId9"/>
    <sheet name="Weighting" sheetId="32" r:id="rId10"/>
    <sheet name="W vs E" sheetId="37" r:id="rId11"/>
    <sheet name="Raw" sheetId="18" r:id="rId12"/>
    <sheet name="SavingsData&amp;Analysis" sheetId="27" r:id="rId13"/>
    <sheet name="Inputs" sheetId="24" r:id="rId14"/>
    <sheet name="emails and excerpts" sheetId="28" r:id="rId15"/>
    <sheet name="IDStudy" sheetId="30" r:id="rId16"/>
    <sheet name="IDStudyAppendixA" sheetId="31" r:id="rId17"/>
    <sheet name="BPAPumpTests" sheetId="26" r:id="rId18"/>
    <sheet name="PacifiCorp" sheetId="25" r:id="rId19"/>
  </sheets>
  <externalReferences>
    <externalReference r:id="rId20"/>
    <externalReference r:id="rId21"/>
    <externalReference r:id="rId22"/>
  </externalReferences>
  <definedNames>
    <definedName name="_xlnm._FilterDatabase" localSheetId="4" hidden="1">Accomplishments!$A$1:$G$81</definedName>
    <definedName name="_Key1" localSheetId="0" hidden="1">#REF!</definedName>
    <definedName name="_Key1" localSheetId="17" hidden="1">#REF!</definedName>
    <definedName name="_Key1" localSheetId="14" hidden="1">#REF!</definedName>
    <definedName name="_Key1" localSheetId="1" hidden="1">#REF!</definedName>
    <definedName name="_Key1" localSheetId="15" hidden="1">#REF!</definedName>
    <definedName name="_Key1" localSheetId="16" hidden="1">#REF!</definedName>
    <definedName name="_Key1" localSheetId="13" hidden="1">#REF!</definedName>
    <definedName name="_Key1" localSheetId="18" hidden="1">#REF!</definedName>
    <definedName name="_Key1" localSheetId="12" hidden="1">#REF!</definedName>
    <definedName name="_Key1" localSheetId="2" hidden="1">#REF!</definedName>
    <definedName name="_Key1" hidden="1">#REF!</definedName>
    <definedName name="_Key1old" localSheetId="0" hidden="1">#REF!</definedName>
    <definedName name="_Key1old" hidden="1">#REF!</definedName>
    <definedName name="_Order1" hidden="1">255</definedName>
    <definedName name="_Sort" localSheetId="0" hidden="1">#REF!</definedName>
    <definedName name="_Sort" localSheetId="17" hidden="1">#REF!</definedName>
    <definedName name="_Sort" localSheetId="14" hidden="1">#REF!</definedName>
    <definedName name="_Sort" localSheetId="1" hidden="1">#REF!</definedName>
    <definedName name="_Sort" localSheetId="15" hidden="1">#REF!</definedName>
    <definedName name="_Sort" localSheetId="16" hidden="1">#REF!</definedName>
    <definedName name="_Sort" localSheetId="13" hidden="1">#REF!</definedName>
    <definedName name="_Sort" localSheetId="18" hidden="1">#REF!</definedName>
    <definedName name="_Sort" localSheetId="12" hidden="1">#REF!</definedName>
    <definedName name="_Sort" localSheetId="2" hidden="1">#REF!</definedName>
    <definedName name="_Sort" hidden="1">#REF!</definedName>
    <definedName name="_SortOld" localSheetId="0" hidden="1">#REF!</definedName>
    <definedName name="_SortOld" hidden="1">#REF!</definedName>
    <definedName name="AgBase">'[1]Ag Forecast (Base Case)'!$C$26:$BB$29</definedName>
    <definedName name="anscount" hidden="1">1</definedName>
    <definedName name="CBWorkbookPriority" hidden="1">-738590518</definedName>
    <definedName name="limcount" hidden="1">1</definedName>
    <definedName name="MeasureOutput">M_Input_Out!$A$4:$AM$100</definedName>
    <definedName name="sencount" hidden="1">1</definedName>
    <definedName name="sort" localSheetId="1" hidden="1">#REF!</definedName>
    <definedName name="sort" hidden="1">#REF!</definedName>
  </definedNames>
  <calcPr calcId="125725"/>
</workbook>
</file>

<file path=xl/calcChain.xml><?xml version="1.0" encoding="utf-8"?>
<calcChain xmlns="http://schemas.openxmlformats.org/spreadsheetml/2006/main">
  <c r="D108" i="19"/>
  <c r="D9" i="8" l="1"/>
  <c r="E13" l="1"/>
  <c r="F13" s="1"/>
  <c r="G13" s="1"/>
  <c r="H13" s="1"/>
  <c r="I13" s="1"/>
  <c r="J13" s="1"/>
  <c r="K13" s="1"/>
  <c r="L13" s="1"/>
  <c r="M13" s="1"/>
  <c r="N13" s="1"/>
  <c r="O13" s="1"/>
  <c r="P13" s="1"/>
  <c r="Q13" s="1"/>
  <c r="R13" s="1"/>
  <c r="S13" s="1"/>
  <c r="T13" s="1"/>
  <c r="U13" s="1"/>
  <c r="V13" s="1"/>
  <c r="W13" s="1"/>
  <c r="X13" s="1"/>
  <c r="C9"/>
  <c r="H90" i="23" l="1"/>
  <c r="H91"/>
  <c r="H92"/>
  <c r="H93"/>
  <c r="H94"/>
  <c r="H95"/>
  <c r="H89"/>
  <c r="G89"/>
  <c r="A9" i="8"/>
  <c r="E48" i="39" s="1"/>
  <c r="BB6"/>
  <c r="AZ8"/>
  <c r="BB10"/>
  <c r="AZ12"/>
  <c r="BB14"/>
  <c r="BB22"/>
  <c r="AT29"/>
  <c r="AP30"/>
  <c r="AL33"/>
  <c r="AI34"/>
  <c r="AH37"/>
  <c r="BD37"/>
  <c r="BB38"/>
  <c r="AX41"/>
  <c r="AU42"/>
  <c r="AO45"/>
  <c r="AG46"/>
  <c r="AX46"/>
  <c r="AO49"/>
  <c r="AG50"/>
  <c r="AO53"/>
  <c r="F29"/>
  <c r="B23"/>
  <c r="B24"/>
  <c r="B25"/>
  <c r="B26"/>
  <c r="B27"/>
  <c r="B28"/>
  <c r="B29"/>
  <c r="B30"/>
  <c r="B31"/>
  <c r="B32"/>
  <c r="B33"/>
  <c r="B34"/>
  <c r="B35"/>
  <c r="B36"/>
  <c r="B37"/>
  <c r="B38"/>
  <c r="B39"/>
  <c r="B40"/>
  <c r="B41"/>
  <c r="B42"/>
  <c r="B43"/>
  <c r="B44"/>
  <c r="B45"/>
  <c r="B46"/>
  <c r="B47"/>
  <c r="B48"/>
  <c r="B49"/>
  <c r="A49"/>
  <c r="B50"/>
  <c r="B51"/>
  <c r="B52"/>
  <c r="B53"/>
  <c r="B54"/>
  <c r="C53"/>
  <c r="A53" s="1"/>
  <c r="I53"/>
  <c r="J53"/>
  <c r="C54"/>
  <c r="A54" s="1"/>
  <c r="I54"/>
  <c r="J54"/>
  <c r="C23"/>
  <c r="A23" s="1"/>
  <c r="I23"/>
  <c r="J23"/>
  <c r="C24"/>
  <c r="I24"/>
  <c r="J24"/>
  <c r="C25"/>
  <c r="A25" s="1"/>
  <c r="I25"/>
  <c r="J25"/>
  <c r="C26"/>
  <c r="A26" s="1"/>
  <c r="I26"/>
  <c r="J26"/>
  <c r="C27"/>
  <c r="A27" s="1"/>
  <c r="I27"/>
  <c r="J27"/>
  <c r="C28"/>
  <c r="A28"/>
  <c r="I28"/>
  <c r="AP28" s="1"/>
  <c r="J28"/>
  <c r="C29"/>
  <c r="A29" s="1"/>
  <c r="I29"/>
  <c r="AL29" s="1"/>
  <c r="J29"/>
  <c r="C30"/>
  <c r="A30"/>
  <c r="I30"/>
  <c r="AI30" s="1"/>
  <c r="J30"/>
  <c r="C31"/>
  <c r="A31"/>
  <c r="I31"/>
  <c r="J31"/>
  <c r="C32"/>
  <c r="A32"/>
  <c r="I32"/>
  <c r="AP32" s="1"/>
  <c r="J32"/>
  <c r="C33"/>
  <c r="A33" s="1"/>
  <c r="I33"/>
  <c r="AH33" s="1"/>
  <c r="J33"/>
  <c r="C34"/>
  <c r="A34"/>
  <c r="I34"/>
  <c r="BB34" s="1"/>
  <c r="J34"/>
  <c r="C35"/>
  <c r="A35"/>
  <c r="I35"/>
  <c r="J35"/>
  <c r="C36"/>
  <c r="A36"/>
  <c r="I36"/>
  <c r="AP36" s="1"/>
  <c r="J36"/>
  <c r="C37"/>
  <c r="A37" s="1"/>
  <c r="I37"/>
  <c r="AX37" s="1"/>
  <c r="J37"/>
  <c r="C38"/>
  <c r="A38" s="1"/>
  <c r="I38"/>
  <c r="AU38" s="1"/>
  <c r="J38"/>
  <c r="C39"/>
  <c r="A39" s="1"/>
  <c r="I39"/>
  <c r="AM39"/>
  <c r="J39"/>
  <c r="C40"/>
  <c r="A40" s="1"/>
  <c r="I40"/>
  <c r="J40"/>
  <c r="AP40"/>
  <c r="C41"/>
  <c r="A41" s="1"/>
  <c r="I41"/>
  <c r="AT41" s="1"/>
  <c r="J41"/>
  <c r="C42"/>
  <c r="A42" s="1"/>
  <c r="I42"/>
  <c r="AP42" s="1"/>
  <c r="J42"/>
  <c r="C43"/>
  <c r="A43" s="1"/>
  <c r="I43"/>
  <c r="J43"/>
  <c r="AJ43" s="1"/>
  <c r="C44"/>
  <c r="A44"/>
  <c r="I44"/>
  <c r="AP44" s="1"/>
  <c r="J44"/>
  <c r="C45"/>
  <c r="A45" s="1"/>
  <c r="I45"/>
  <c r="AL45" s="1"/>
  <c r="J45"/>
  <c r="C46"/>
  <c r="A46"/>
  <c r="I46"/>
  <c r="AU46" s="1"/>
  <c r="AF46"/>
  <c r="J46"/>
  <c r="C47"/>
  <c r="A47" s="1"/>
  <c r="I47"/>
  <c r="J47"/>
  <c r="C48"/>
  <c r="A48" s="1"/>
  <c r="I48"/>
  <c r="J48"/>
  <c r="AH48"/>
  <c r="C49"/>
  <c r="I49"/>
  <c r="AL49" s="1"/>
  <c r="J49"/>
  <c r="C50"/>
  <c r="A50" s="1"/>
  <c r="I50"/>
  <c r="J50"/>
  <c r="AX50" s="1"/>
  <c r="C51"/>
  <c r="A51"/>
  <c r="I51"/>
  <c r="J51"/>
  <c r="C52"/>
  <c r="A52"/>
  <c r="I52"/>
  <c r="J52"/>
  <c r="J22"/>
  <c r="I22"/>
  <c r="AU22" s="1"/>
  <c r="J21"/>
  <c r="I21"/>
  <c r="J20"/>
  <c r="I20"/>
  <c r="J19"/>
  <c r="I19"/>
  <c r="AF19" s="1"/>
  <c r="J18"/>
  <c r="I18"/>
  <c r="J17"/>
  <c r="I17"/>
  <c r="AL17" s="1"/>
  <c r="J16"/>
  <c r="AZ16" s="1"/>
  <c r="I16"/>
  <c r="AV16" s="1"/>
  <c r="J15"/>
  <c r="AN15" s="1"/>
  <c r="I15"/>
  <c r="J14"/>
  <c r="I14"/>
  <c r="AU14" s="1"/>
  <c r="J13"/>
  <c r="I13"/>
  <c r="AX13"/>
  <c r="J12"/>
  <c r="I12"/>
  <c r="AV12" s="1"/>
  <c r="J11"/>
  <c r="I11"/>
  <c r="J10"/>
  <c r="I10"/>
  <c r="AU10" s="1"/>
  <c r="J9"/>
  <c r="I9"/>
  <c r="J8"/>
  <c r="I8"/>
  <c r="AV8" s="1"/>
  <c r="J7"/>
  <c r="I7"/>
  <c r="J6"/>
  <c r="I6"/>
  <c r="AU6" s="1"/>
  <c r="J5"/>
  <c r="I5"/>
  <c r="J4"/>
  <c r="I4"/>
  <c r="J3"/>
  <c r="I3"/>
  <c r="BD3" s="1"/>
  <c r="C22"/>
  <c r="A22" s="1"/>
  <c r="B22"/>
  <c r="C21"/>
  <c r="B21"/>
  <c r="C20"/>
  <c r="B20"/>
  <c r="A20" s="1"/>
  <c r="C19"/>
  <c r="B19"/>
  <c r="C18"/>
  <c r="A18" s="1"/>
  <c r="B18"/>
  <c r="C17"/>
  <c r="A17"/>
  <c r="B17"/>
  <c r="C16"/>
  <c r="B16"/>
  <c r="C15"/>
  <c r="B15"/>
  <c r="C14"/>
  <c r="A14" s="1"/>
  <c r="B14"/>
  <c r="C13"/>
  <c r="B13"/>
  <c r="C12"/>
  <c r="B12"/>
  <c r="C11"/>
  <c r="A11" s="1"/>
  <c r="B11"/>
  <c r="C10"/>
  <c r="A10"/>
  <c r="B10"/>
  <c r="C9"/>
  <c r="B9"/>
  <c r="C8"/>
  <c r="B8"/>
  <c r="C7"/>
  <c r="B7"/>
  <c r="A7"/>
  <c r="C6"/>
  <c r="B6"/>
  <c r="A6" s="1"/>
  <c r="C5"/>
  <c r="B5"/>
  <c r="C4"/>
  <c r="B4"/>
  <c r="C3"/>
  <c r="A3" s="1"/>
  <c r="B3"/>
  <c r="AD2"/>
  <c r="AC2"/>
  <c r="AB2"/>
  <c r="AA2"/>
  <c r="Z2"/>
  <c r="Y2"/>
  <c r="X2"/>
  <c r="W2"/>
  <c r="V2"/>
  <c r="U2"/>
  <c r="T2"/>
  <c r="S2"/>
  <c r="R2"/>
  <c r="Q2"/>
  <c r="P2"/>
  <c r="O2"/>
  <c r="N2"/>
  <c r="M2"/>
  <c r="L2"/>
  <c r="K2"/>
  <c r="AZ3"/>
  <c r="AQ3"/>
  <c r="AI3"/>
  <c r="AS7"/>
  <c r="AO7"/>
  <c r="AJ11"/>
  <c r="BA11"/>
  <c r="BB11"/>
  <c r="AZ11"/>
  <c r="AJ15"/>
  <c r="AS15"/>
  <c r="BA15"/>
  <c r="AP15"/>
  <c r="BB15"/>
  <c r="AO15"/>
  <c r="AZ15"/>
  <c r="AJ19"/>
  <c r="AS19"/>
  <c r="BA19"/>
  <c r="AP19"/>
  <c r="BB19"/>
  <c r="AO19"/>
  <c r="AZ19"/>
  <c r="AF43"/>
  <c r="AN43"/>
  <c r="AW43"/>
  <c r="AK43"/>
  <c r="AV43"/>
  <c r="AI43"/>
  <c r="AU43"/>
  <c r="AF35"/>
  <c r="AJ35"/>
  <c r="AN35"/>
  <c r="AS35"/>
  <c r="AW35"/>
  <c r="BA35"/>
  <c r="AK35"/>
  <c r="AP35"/>
  <c r="AV35"/>
  <c r="BB35"/>
  <c r="AI35"/>
  <c r="AO35"/>
  <c r="AU35"/>
  <c r="AZ35"/>
  <c r="F31"/>
  <c r="AF31"/>
  <c r="AJ31"/>
  <c r="AN31"/>
  <c r="AS31"/>
  <c r="AW31"/>
  <c r="BA31"/>
  <c r="AK31"/>
  <c r="AP31"/>
  <c r="AV31"/>
  <c r="BB31"/>
  <c r="AI31"/>
  <c r="AO31"/>
  <c r="AU31"/>
  <c r="AZ31"/>
  <c r="AN23"/>
  <c r="AK23"/>
  <c r="AI23"/>
  <c r="F25"/>
  <c r="AS25"/>
  <c r="AP25"/>
  <c r="AO25"/>
  <c r="BC44"/>
  <c r="AU44"/>
  <c r="AK44"/>
  <c r="AY43"/>
  <c r="AM43"/>
  <c r="AV40"/>
  <c r="AK40"/>
  <c r="AY39"/>
  <c r="AV36"/>
  <c r="AY35"/>
  <c r="AV32"/>
  <c r="AK32"/>
  <c r="AY31"/>
  <c r="AM31"/>
  <c r="AY19"/>
  <c r="BD13"/>
  <c r="AT5"/>
  <c r="AO40"/>
  <c r="AZ36"/>
  <c r="BC35"/>
  <c r="AG35"/>
  <c r="BC31"/>
  <c r="AO28"/>
  <c r="AQ19"/>
  <c r="BC15"/>
  <c r="AF5"/>
  <c r="AW5"/>
  <c r="AV5"/>
  <c r="AU5"/>
  <c r="AN9"/>
  <c r="AK9"/>
  <c r="AI9"/>
  <c r="AF13"/>
  <c r="AJ13"/>
  <c r="AN13"/>
  <c r="AS13"/>
  <c r="AW13"/>
  <c r="BA13"/>
  <c r="AK13"/>
  <c r="AP13"/>
  <c r="AV13"/>
  <c r="BB13"/>
  <c r="AI13"/>
  <c r="AO13"/>
  <c r="AU13"/>
  <c r="AZ13"/>
  <c r="AF17"/>
  <c r="AJ17"/>
  <c r="AN17"/>
  <c r="AS17"/>
  <c r="AW17"/>
  <c r="BA17"/>
  <c r="AK17"/>
  <c r="AP17"/>
  <c r="AV17"/>
  <c r="BB17"/>
  <c r="AI17"/>
  <c r="AO17"/>
  <c r="AU17"/>
  <c r="AZ17"/>
  <c r="AF21"/>
  <c r="AW21"/>
  <c r="AV21"/>
  <c r="AU21"/>
  <c r="AJ51"/>
  <c r="BA51"/>
  <c r="AV51"/>
  <c r="AF47"/>
  <c r="AJ47"/>
  <c r="AN47"/>
  <c r="AS47"/>
  <c r="AW47"/>
  <c r="BA47"/>
  <c r="AI47"/>
  <c r="AM47"/>
  <c r="AQ47"/>
  <c r="AV47"/>
  <c r="AZ47"/>
  <c r="BD47"/>
  <c r="AF39"/>
  <c r="AJ39"/>
  <c r="AN39"/>
  <c r="AS39"/>
  <c r="AW39"/>
  <c r="BA39"/>
  <c r="AK39"/>
  <c r="AP39"/>
  <c r="AV39"/>
  <c r="BB39"/>
  <c r="AI39"/>
  <c r="AO39"/>
  <c r="AU39"/>
  <c r="AZ39"/>
  <c r="AN27"/>
  <c r="AK27"/>
  <c r="AI27"/>
  <c r="AF4"/>
  <c r="AW4"/>
  <c r="AT4"/>
  <c r="AL4"/>
  <c r="AF6"/>
  <c r="AJ6"/>
  <c r="AN6"/>
  <c r="AS6"/>
  <c r="AW6"/>
  <c r="BA6"/>
  <c r="AH6"/>
  <c r="AM6"/>
  <c r="AT6"/>
  <c r="AY6"/>
  <c r="BD6"/>
  <c r="AG6"/>
  <c r="AL6"/>
  <c r="AQ6"/>
  <c r="AX6"/>
  <c r="BC6"/>
  <c r="AF8"/>
  <c r="AJ8"/>
  <c r="AN8"/>
  <c r="AS8"/>
  <c r="AW8"/>
  <c r="BA8"/>
  <c r="AH8"/>
  <c r="AM8"/>
  <c r="AT8"/>
  <c r="AY8"/>
  <c r="BD8"/>
  <c r="AG8"/>
  <c r="AL8"/>
  <c r="AQ8"/>
  <c r="AX8"/>
  <c r="BC8"/>
  <c r="AF10"/>
  <c r="AJ10"/>
  <c r="AN10"/>
  <c r="AS10"/>
  <c r="AW10"/>
  <c r="BA10"/>
  <c r="AH10"/>
  <c r="AM10"/>
  <c r="AT10"/>
  <c r="AY10"/>
  <c r="BD10"/>
  <c r="AG10"/>
  <c r="AL10"/>
  <c r="AQ10"/>
  <c r="AX10"/>
  <c r="BC10"/>
  <c r="AF12"/>
  <c r="AJ12"/>
  <c r="AN12"/>
  <c r="AS12"/>
  <c r="AW12"/>
  <c r="BA12"/>
  <c r="AH12"/>
  <c r="AM12"/>
  <c r="AT12"/>
  <c r="AY12"/>
  <c r="BD12"/>
  <c r="AG12"/>
  <c r="AL12"/>
  <c r="AQ12"/>
  <c r="AX12"/>
  <c r="BC12"/>
  <c r="AF14"/>
  <c r="AW14"/>
  <c r="AT14"/>
  <c r="AL14"/>
  <c r="AF16"/>
  <c r="AW16"/>
  <c r="AT16"/>
  <c r="AL16"/>
  <c r="AF20"/>
  <c r="AT20"/>
  <c r="AF22"/>
  <c r="AJ22"/>
  <c r="AN22"/>
  <c r="AS22"/>
  <c r="AW22"/>
  <c r="BA22"/>
  <c r="AH22"/>
  <c r="AM22"/>
  <c r="AT22"/>
  <c r="AY22"/>
  <c r="BD22"/>
  <c r="AG22"/>
  <c r="AL22"/>
  <c r="AQ22"/>
  <c r="AX22"/>
  <c r="BC22"/>
  <c r="AI50"/>
  <c r="AZ50"/>
  <c r="AF49"/>
  <c r="AJ49"/>
  <c r="AN49"/>
  <c r="AS49"/>
  <c r="AW49"/>
  <c r="BA49"/>
  <c r="AI49"/>
  <c r="AM49"/>
  <c r="AQ49"/>
  <c r="AV49"/>
  <c r="AZ49"/>
  <c r="BD49"/>
  <c r="AI46"/>
  <c r="AM46"/>
  <c r="AQ46"/>
  <c r="AV46"/>
  <c r="AZ46"/>
  <c r="BD46"/>
  <c r="AF45"/>
  <c r="AJ45"/>
  <c r="AN45"/>
  <c r="AS45"/>
  <c r="AW45"/>
  <c r="BA45"/>
  <c r="AI45"/>
  <c r="AM45"/>
  <c r="AQ45"/>
  <c r="AV45"/>
  <c r="AZ45"/>
  <c r="BD45"/>
  <c r="AG42"/>
  <c r="AL42"/>
  <c r="AQ42"/>
  <c r="AX42"/>
  <c r="BC42"/>
  <c r="AF41"/>
  <c r="AJ41"/>
  <c r="AN41"/>
  <c r="AS41"/>
  <c r="AW41"/>
  <c r="BA41"/>
  <c r="AK41"/>
  <c r="AP41"/>
  <c r="AV41"/>
  <c r="BB41"/>
  <c r="AI41"/>
  <c r="AO41"/>
  <c r="AU41"/>
  <c r="AZ41"/>
  <c r="AG38"/>
  <c r="AL38"/>
  <c r="AQ38"/>
  <c r="AX38"/>
  <c r="BC38"/>
  <c r="AF37"/>
  <c r="AJ37"/>
  <c r="AN37"/>
  <c r="AS37"/>
  <c r="AW37"/>
  <c r="BA37"/>
  <c r="AK37"/>
  <c r="AP37"/>
  <c r="AV37"/>
  <c r="BB37"/>
  <c r="AI37"/>
  <c r="AO37"/>
  <c r="AU37"/>
  <c r="AZ37"/>
  <c r="AG34"/>
  <c r="AL34"/>
  <c r="AQ34"/>
  <c r="AX34"/>
  <c r="BC34"/>
  <c r="AF33"/>
  <c r="AJ33"/>
  <c r="AN33"/>
  <c r="AS33"/>
  <c r="AW33"/>
  <c r="BA33"/>
  <c r="AK33"/>
  <c r="AP33"/>
  <c r="AV33"/>
  <c r="BB33"/>
  <c r="AI33"/>
  <c r="AO33"/>
  <c r="AU33"/>
  <c r="AZ33"/>
  <c r="AG30"/>
  <c r="AL30"/>
  <c r="AQ30"/>
  <c r="AX30"/>
  <c r="BC30"/>
  <c r="AF29"/>
  <c r="AJ29"/>
  <c r="AN29"/>
  <c r="AS29"/>
  <c r="AW29"/>
  <c r="BA29"/>
  <c r="AK29"/>
  <c r="AP29"/>
  <c r="AV29"/>
  <c r="BB29"/>
  <c r="AI29"/>
  <c r="AO29"/>
  <c r="AU29"/>
  <c r="AZ29"/>
  <c r="AS53"/>
  <c r="AF52"/>
  <c r="AW52"/>
  <c r="AQ52"/>
  <c r="AF48"/>
  <c r="AJ48"/>
  <c r="AN48"/>
  <c r="AS48"/>
  <c r="AW48"/>
  <c r="BA48"/>
  <c r="AI48"/>
  <c r="AM48"/>
  <c r="AQ48"/>
  <c r="AV48"/>
  <c r="AZ48"/>
  <c r="BD48"/>
  <c r="AF44"/>
  <c r="AJ44"/>
  <c r="AN44"/>
  <c r="AH44"/>
  <c r="AM44"/>
  <c r="AS44"/>
  <c r="AW44"/>
  <c r="BA44"/>
  <c r="F44"/>
  <c r="AG44"/>
  <c r="AL44"/>
  <c r="AQ44"/>
  <c r="AV44"/>
  <c r="AZ44"/>
  <c r="BD44"/>
  <c r="AF40"/>
  <c r="AJ40"/>
  <c r="AN40"/>
  <c r="AS40"/>
  <c r="AW40"/>
  <c r="BA40"/>
  <c r="AH40"/>
  <c r="AM40"/>
  <c r="AT40"/>
  <c r="AY40"/>
  <c r="BD40"/>
  <c r="AG40"/>
  <c r="AL40"/>
  <c r="AQ40"/>
  <c r="AX40"/>
  <c r="BC40"/>
  <c r="AF36"/>
  <c r="AJ36"/>
  <c r="AN36"/>
  <c r="AS36"/>
  <c r="AW36"/>
  <c r="BA36"/>
  <c r="AH36"/>
  <c r="AM36"/>
  <c r="AT36"/>
  <c r="AY36"/>
  <c r="BD36"/>
  <c r="F36"/>
  <c r="AG36"/>
  <c r="AL36"/>
  <c r="AQ36"/>
  <c r="AX36"/>
  <c r="BC36"/>
  <c r="AF32"/>
  <c r="AJ32"/>
  <c r="AN32"/>
  <c r="AS32"/>
  <c r="AW32"/>
  <c r="BA32"/>
  <c r="AH32"/>
  <c r="AM32"/>
  <c r="AT32"/>
  <c r="AY32"/>
  <c r="BD32"/>
  <c r="AG32"/>
  <c r="AL32"/>
  <c r="AQ32"/>
  <c r="AX32"/>
  <c r="BC32"/>
  <c r="AF28"/>
  <c r="AJ28"/>
  <c r="AN28"/>
  <c r="AS28"/>
  <c r="AW28"/>
  <c r="BA28"/>
  <c r="AH28"/>
  <c r="AM28"/>
  <c r="AT28"/>
  <c r="AY28"/>
  <c r="BD28"/>
  <c r="F28"/>
  <c r="AG28"/>
  <c r="AL28"/>
  <c r="AQ28"/>
  <c r="AX28"/>
  <c r="BC28"/>
  <c r="F24"/>
  <c r="AS24"/>
  <c r="AM24"/>
  <c r="AG24"/>
  <c r="BC24"/>
  <c r="F40"/>
  <c r="AJ3"/>
  <c r="AO3"/>
  <c r="AU3"/>
  <c r="BA3"/>
  <c r="AL52"/>
  <c r="BC48"/>
  <c r="AU48"/>
  <c r="AL48"/>
  <c r="BC47"/>
  <c r="AU47"/>
  <c r="AL47"/>
  <c r="AK36"/>
  <c r="AM35"/>
  <c r="AV28"/>
  <c r="AK28"/>
  <c r="AV24"/>
  <c r="AH21"/>
  <c r="AM19"/>
  <c r="BD17"/>
  <c r="AT17"/>
  <c r="AH17"/>
  <c r="AY15"/>
  <c r="AM15"/>
  <c r="AT13"/>
  <c r="AH13"/>
  <c r="AY7"/>
  <c r="F32"/>
  <c r="AH3"/>
  <c r="AN3"/>
  <c r="AT3"/>
  <c r="AY3"/>
  <c r="BD52"/>
  <c r="AX51"/>
  <c r="AX48"/>
  <c r="AO48"/>
  <c r="AG48"/>
  <c r="AX47"/>
  <c r="AO47"/>
  <c r="AG47"/>
  <c r="AX44"/>
  <c r="AO44"/>
  <c r="BC43"/>
  <c r="AQ43"/>
  <c r="AG43"/>
  <c r="AZ40"/>
  <c r="BC39"/>
  <c r="AQ39"/>
  <c r="AG39"/>
  <c r="AO36"/>
  <c r="AQ35"/>
  <c r="AZ32"/>
  <c r="AO32"/>
  <c r="AQ31"/>
  <c r="AG31"/>
  <c r="AZ28"/>
  <c r="AO24"/>
  <c r="BC19"/>
  <c r="AG19"/>
  <c r="AX17"/>
  <c r="AQ15"/>
  <c r="AG15"/>
  <c r="AL13"/>
  <c r="AX9"/>
  <c r="F45"/>
  <c r="F33"/>
  <c r="AG3"/>
  <c r="AL3"/>
  <c r="AS3"/>
  <c r="AX3"/>
  <c r="BC3"/>
  <c r="AX53"/>
  <c r="AY52"/>
  <c r="AH51"/>
  <c r="AY49"/>
  <c r="AP49"/>
  <c r="AH49"/>
  <c r="AY48"/>
  <c r="AP48"/>
  <c r="AY47"/>
  <c r="AP47"/>
  <c r="AH47"/>
  <c r="AY46"/>
  <c r="AP46"/>
  <c r="AH46"/>
  <c r="AY45"/>
  <c r="AP45"/>
  <c r="AH45"/>
  <c r="AY44"/>
  <c r="BD43"/>
  <c r="AT43"/>
  <c r="AH43"/>
  <c r="AV42"/>
  <c r="AK42"/>
  <c r="AY41"/>
  <c r="AM41"/>
  <c r="BB40"/>
  <c r="BD39"/>
  <c r="AT39"/>
  <c r="AH39"/>
  <c r="AV38"/>
  <c r="AK38"/>
  <c r="AY37"/>
  <c r="AM37"/>
  <c r="BB36"/>
  <c r="BD35"/>
  <c r="AT35"/>
  <c r="AH35"/>
  <c r="AV34"/>
  <c r="AK34"/>
  <c r="AY33"/>
  <c r="AM33"/>
  <c r="BB32"/>
  <c r="BD31"/>
  <c r="AT31"/>
  <c r="AH31"/>
  <c r="AV30"/>
  <c r="AK30"/>
  <c r="AY29"/>
  <c r="AM29"/>
  <c r="BB28"/>
  <c r="BD27"/>
  <c r="AT27"/>
  <c r="AV26"/>
  <c r="AY25"/>
  <c r="BB24"/>
  <c r="BD23"/>
  <c r="AT23"/>
  <c r="AV22"/>
  <c r="AK22"/>
  <c r="AY21"/>
  <c r="AP20"/>
  <c r="BD19"/>
  <c r="AT19"/>
  <c r="AH19"/>
  <c r="AV18"/>
  <c r="AY17"/>
  <c r="AM17"/>
  <c r="BB16"/>
  <c r="AP16"/>
  <c r="BD15"/>
  <c r="AT15"/>
  <c r="AH15"/>
  <c r="AV14"/>
  <c r="AY13"/>
  <c r="AM13"/>
  <c r="BB12"/>
  <c r="AP12"/>
  <c r="BD11"/>
  <c r="AT11"/>
  <c r="AH11"/>
  <c r="AV10"/>
  <c r="AK10"/>
  <c r="AY9"/>
  <c r="AM9"/>
  <c r="BB8"/>
  <c r="AP8"/>
  <c r="BD7"/>
  <c r="AT7"/>
  <c r="AV6"/>
  <c r="AK6"/>
  <c r="AY5"/>
  <c r="BB4"/>
  <c r="AP4"/>
  <c r="A5"/>
  <c r="A9"/>
  <c r="A15"/>
  <c r="A19"/>
  <c r="A21"/>
  <c r="F13"/>
  <c r="F48"/>
  <c r="F37"/>
  <c r="AF3"/>
  <c r="AK3"/>
  <c r="AP3"/>
  <c r="AW3"/>
  <c r="BB3"/>
  <c r="BD53"/>
  <c r="AT53"/>
  <c r="AM53"/>
  <c r="AH53"/>
  <c r="AT52"/>
  <c r="AK52"/>
  <c r="BB51"/>
  <c r="AK51"/>
  <c r="BB50"/>
  <c r="AT50"/>
  <c r="BB49"/>
  <c r="AT49"/>
  <c r="AK49"/>
  <c r="BB48"/>
  <c r="AT48"/>
  <c r="AK48"/>
  <c r="BB47"/>
  <c r="AT47"/>
  <c r="AK47"/>
  <c r="BB46"/>
  <c r="AT46"/>
  <c r="AK46"/>
  <c r="BB45"/>
  <c r="AT45"/>
  <c r="AK45"/>
  <c r="BB44"/>
  <c r="AT44"/>
  <c r="AI44"/>
  <c r="AX43"/>
  <c r="AL43"/>
  <c r="AZ42"/>
  <c r="AO42"/>
  <c r="BC41"/>
  <c r="AQ41"/>
  <c r="AG41"/>
  <c r="AU40"/>
  <c r="AI40"/>
  <c r="AX39"/>
  <c r="AL39"/>
  <c r="AZ38"/>
  <c r="AO38"/>
  <c r="BC37"/>
  <c r="AQ37"/>
  <c r="AG37"/>
  <c r="AU36"/>
  <c r="AI36"/>
  <c r="AX35"/>
  <c r="AL35"/>
  <c r="AZ34"/>
  <c r="AO34"/>
  <c r="BC33"/>
  <c r="AQ33"/>
  <c r="AG33"/>
  <c r="AU32"/>
  <c r="AI32"/>
  <c r="AX31"/>
  <c r="AL31"/>
  <c r="AZ30"/>
  <c r="AO30"/>
  <c r="BC29"/>
  <c r="AQ29"/>
  <c r="AG29"/>
  <c r="AU28"/>
  <c r="AI28"/>
  <c r="AX27"/>
  <c r="AZ26"/>
  <c r="BC25"/>
  <c r="AG25"/>
  <c r="AU24"/>
  <c r="AI24"/>
  <c r="AL23"/>
  <c r="AZ22"/>
  <c r="AO22"/>
  <c r="AQ21"/>
  <c r="AG21"/>
  <c r="AX19"/>
  <c r="AL19"/>
  <c r="AZ18"/>
  <c r="BC17"/>
  <c r="AQ17"/>
  <c r="AG17"/>
  <c r="AI16"/>
  <c r="AX15"/>
  <c r="AL15"/>
  <c r="AO14"/>
  <c r="BC13"/>
  <c r="AQ13"/>
  <c r="AG13"/>
  <c r="AU12"/>
  <c r="AI12"/>
  <c r="AX11"/>
  <c r="AZ10"/>
  <c r="AO10"/>
  <c r="BC9"/>
  <c r="AG9"/>
  <c r="AU8"/>
  <c r="AI8"/>
  <c r="AL7"/>
  <c r="AZ6"/>
  <c r="AO6"/>
  <c r="AQ5"/>
  <c r="AG5"/>
  <c r="AU4"/>
  <c r="AF42"/>
  <c r="AJ42"/>
  <c r="AN42"/>
  <c r="AS42"/>
  <c r="AW42"/>
  <c r="BA42"/>
  <c r="AF38"/>
  <c r="AJ38"/>
  <c r="AN38"/>
  <c r="AS38"/>
  <c r="AW38"/>
  <c r="BA38"/>
  <c r="F34"/>
  <c r="AF34"/>
  <c r="AJ34"/>
  <c r="AN34"/>
  <c r="AS34"/>
  <c r="AW34"/>
  <c r="BA34"/>
  <c r="AF30"/>
  <c r="AJ30"/>
  <c r="AN30"/>
  <c r="AS30"/>
  <c r="AW30"/>
  <c r="BA30"/>
  <c r="AS26"/>
  <c r="AW26"/>
  <c r="A4"/>
  <c r="A8"/>
  <c r="A12"/>
  <c r="A16"/>
  <c r="AW54"/>
  <c r="AJ54"/>
  <c r="AW50"/>
  <c r="AS50"/>
  <c r="AN50"/>
  <c r="BA46"/>
  <c r="AW46"/>
  <c r="AS46"/>
  <c r="AN46"/>
  <c r="AJ46"/>
  <c r="BD42"/>
  <c r="AY42"/>
  <c r="AT42"/>
  <c r="AM42"/>
  <c r="AH42"/>
  <c r="BD38"/>
  <c r="AY38"/>
  <c r="AT38"/>
  <c r="AM38"/>
  <c r="AH38"/>
  <c r="BD34"/>
  <c r="AY34"/>
  <c r="AT34"/>
  <c r="AM34"/>
  <c r="AH34"/>
  <c r="BD30"/>
  <c r="AY30"/>
  <c r="AT30"/>
  <c r="AM30"/>
  <c r="AH30"/>
  <c r="AM26"/>
  <c r="AH26"/>
  <c r="F8"/>
  <c r="F16"/>
  <c r="F5"/>
  <c r="F17"/>
  <c r="F12"/>
  <c r="F21"/>
  <c r="F47"/>
  <c r="F38"/>
  <c r="F53"/>
  <c r="F3"/>
  <c r="F6"/>
  <c r="F7"/>
  <c r="F10"/>
  <c r="F11"/>
  <c r="F15"/>
  <c r="F19"/>
  <c r="F22"/>
  <c r="F50"/>
  <c r="F46"/>
  <c r="F39"/>
  <c r="F30"/>
  <c r="F26"/>
  <c r="F42"/>
  <c r="F35"/>
  <c r="G90" i="23"/>
  <c r="G95"/>
  <c r="G94"/>
  <c r="G93"/>
  <c r="G92"/>
  <c r="G91"/>
  <c r="B12" i="32"/>
  <c r="B11" s="1"/>
  <c r="B8"/>
  <c r="B7" s="1"/>
  <c r="B3"/>
  <c r="F23" i="24"/>
  <c r="E23"/>
  <c r="E25" s="1"/>
  <c r="I22"/>
  <c r="K54" i="27" s="1"/>
  <c r="F22" i="24"/>
  <c r="F24" s="1"/>
  <c r="E22"/>
  <c r="F15"/>
  <c r="F17" s="1"/>
  <c r="F21" s="1"/>
  <c r="F25" s="1"/>
  <c r="E15"/>
  <c r="E17" s="1"/>
  <c r="E21" s="1"/>
  <c r="F14"/>
  <c r="F16" s="1"/>
  <c r="F20" s="1"/>
  <c r="E14"/>
  <c r="E18" s="1"/>
  <c r="D23"/>
  <c r="D25" s="1"/>
  <c r="D15"/>
  <c r="F35" i="32"/>
  <c r="E35"/>
  <c r="D35"/>
  <c r="C35"/>
  <c r="F34"/>
  <c r="E34"/>
  <c r="D34"/>
  <c r="C34"/>
  <c r="F33"/>
  <c r="E33"/>
  <c r="D33"/>
  <c r="C33"/>
  <c r="F32"/>
  <c r="E32"/>
  <c r="D32"/>
  <c r="C32"/>
  <c r="F30"/>
  <c r="E30"/>
  <c r="D30"/>
  <c r="C30"/>
  <c r="F29"/>
  <c r="E29"/>
  <c r="D29"/>
  <c r="C29"/>
  <c r="F26"/>
  <c r="E26"/>
  <c r="D26"/>
  <c r="C26"/>
  <c r="F25"/>
  <c r="E25"/>
  <c r="D25"/>
  <c r="C25"/>
  <c r="F24"/>
  <c r="F31" s="1"/>
  <c r="E24"/>
  <c r="E31" s="1"/>
  <c r="D24"/>
  <c r="C24"/>
  <c r="W88" i="8"/>
  <c r="S88"/>
  <c r="O88"/>
  <c r="K88"/>
  <c r="G88"/>
  <c r="A82"/>
  <c r="E21"/>
  <c r="F21" s="1"/>
  <c r="G21" s="1"/>
  <c r="H21" s="1"/>
  <c r="I21" s="1"/>
  <c r="J21" s="1"/>
  <c r="K21" s="1"/>
  <c r="L21" s="1"/>
  <c r="M21" s="1"/>
  <c r="N21" s="1"/>
  <c r="O21" s="1"/>
  <c r="P21" s="1"/>
  <c r="Q21" s="1"/>
  <c r="R21" s="1"/>
  <c r="S21" s="1"/>
  <c r="T21" s="1"/>
  <c r="U21" s="1"/>
  <c r="V21" s="1"/>
  <c r="W21" s="1"/>
  <c r="X21" s="1"/>
  <c r="A81"/>
  <c r="A80"/>
  <c r="A79"/>
  <c r="A78"/>
  <c r="A77"/>
  <c r="A76"/>
  <c r="A75"/>
  <c r="A74"/>
  <c r="E19"/>
  <c r="F19" s="1"/>
  <c r="G19" s="1"/>
  <c r="H19" s="1"/>
  <c r="I19" s="1"/>
  <c r="J19" s="1"/>
  <c r="K19" s="1"/>
  <c r="L19" s="1"/>
  <c r="M19" s="1"/>
  <c r="N19" s="1"/>
  <c r="O19" s="1"/>
  <c r="P19" s="1"/>
  <c r="Q19" s="1"/>
  <c r="R19" s="1"/>
  <c r="S19" s="1"/>
  <c r="T19" s="1"/>
  <c r="U19" s="1"/>
  <c r="V19" s="1"/>
  <c r="W19" s="1"/>
  <c r="X19" s="1"/>
  <c r="A73"/>
  <c r="A72"/>
  <c r="A71"/>
  <c r="A70"/>
  <c r="E70" s="1"/>
  <c r="A69"/>
  <c r="A68"/>
  <c r="A67"/>
  <c r="A66"/>
  <c r="A65"/>
  <c r="A64"/>
  <c r="A63"/>
  <c r="A62"/>
  <c r="E22"/>
  <c r="F22" s="1"/>
  <c r="G22" s="1"/>
  <c r="H22" s="1"/>
  <c r="I22" s="1"/>
  <c r="J22" s="1"/>
  <c r="K22" s="1"/>
  <c r="L22" s="1"/>
  <c r="M22" s="1"/>
  <c r="N22" s="1"/>
  <c r="O22" s="1"/>
  <c r="P22" s="1"/>
  <c r="Q22" s="1"/>
  <c r="R22" s="1"/>
  <c r="S22" s="1"/>
  <c r="T22" s="1"/>
  <c r="U22" s="1"/>
  <c r="V22" s="1"/>
  <c r="W22" s="1"/>
  <c r="X22" s="1"/>
  <c r="A61"/>
  <c r="A60"/>
  <c r="A59"/>
  <c r="A58"/>
  <c r="A57"/>
  <c r="A56"/>
  <c r="A55"/>
  <c r="A54"/>
  <c r="E18"/>
  <c r="F18" s="1"/>
  <c r="G18" s="1"/>
  <c r="H18" s="1"/>
  <c r="I18" s="1"/>
  <c r="J18" s="1"/>
  <c r="K18" s="1"/>
  <c r="L18" s="1"/>
  <c r="M18" s="1"/>
  <c r="N18" s="1"/>
  <c r="O18" s="1"/>
  <c r="P18" s="1"/>
  <c r="Q18" s="1"/>
  <c r="R18" s="1"/>
  <c r="S18" s="1"/>
  <c r="T18" s="1"/>
  <c r="U18" s="1"/>
  <c r="V18" s="1"/>
  <c r="W18" s="1"/>
  <c r="X18" s="1"/>
  <c r="A53"/>
  <c r="A52"/>
  <c r="A51"/>
  <c r="A50"/>
  <c r="E17"/>
  <c r="F17" s="1"/>
  <c r="G17" s="1"/>
  <c r="H17" s="1"/>
  <c r="I17" s="1"/>
  <c r="J17" s="1"/>
  <c r="K17" s="1"/>
  <c r="L17" s="1"/>
  <c r="M17" s="1"/>
  <c r="N17" s="1"/>
  <c r="O17" s="1"/>
  <c r="P17" s="1"/>
  <c r="Q17" s="1"/>
  <c r="R17" s="1"/>
  <c r="S17" s="1"/>
  <c r="T17" s="1"/>
  <c r="U17" s="1"/>
  <c r="V17" s="1"/>
  <c r="W17" s="1"/>
  <c r="X17" s="1"/>
  <c r="A49"/>
  <c r="A48"/>
  <c r="A47"/>
  <c r="A46"/>
  <c r="A45"/>
  <c r="A44"/>
  <c r="A43"/>
  <c r="A42"/>
  <c r="E15"/>
  <c r="F15" s="1"/>
  <c r="G15" s="1"/>
  <c r="H15" s="1"/>
  <c r="I15" s="1"/>
  <c r="J15" s="1"/>
  <c r="K15" s="1"/>
  <c r="L15" s="1"/>
  <c r="M15" s="1"/>
  <c r="N15" s="1"/>
  <c r="O15" s="1"/>
  <c r="P15" s="1"/>
  <c r="Q15" s="1"/>
  <c r="R15" s="1"/>
  <c r="S15" s="1"/>
  <c r="T15" s="1"/>
  <c r="U15" s="1"/>
  <c r="V15" s="1"/>
  <c r="W15" s="1"/>
  <c r="X15" s="1"/>
  <c r="A41"/>
  <c r="A40"/>
  <c r="A39"/>
  <c r="A38"/>
  <c r="E14"/>
  <c r="F14" s="1"/>
  <c r="G14" s="1"/>
  <c r="H14" s="1"/>
  <c r="I14" s="1"/>
  <c r="J14" s="1"/>
  <c r="K14" s="1"/>
  <c r="L14" s="1"/>
  <c r="M14" s="1"/>
  <c r="N14" s="1"/>
  <c r="O14" s="1"/>
  <c r="P14" s="1"/>
  <c r="Q14" s="1"/>
  <c r="R14" s="1"/>
  <c r="S14" s="1"/>
  <c r="T14" s="1"/>
  <c r="U14" s="1"/>
  <c r="V14" s="1"/>
  <c r="W14" s="1"/>
  <c r="X14" s="1"/>
  <c r="A37"/>
  <c r="A36"/>
  <c r="A35"/>
  <c r="A34"/>
  <c r="A33"/>
  <c r="A32"/>
  <c r="A31"/>
  <c r="E24"/>
  <c r="E23"/>
  <c r="F23" s="1"/>
  <c r="G23" s="1"/>
  <c r="H23" s="1"/>
  <c r="I23" s="1"/>
  <c r="J23" s="1"/>
  <c r="K23" s="1"/>
  <c r="L23" s="1"/>
  <c r="M23" s="1"/>
  <c r="N23" s="1"/>
  <c r="O23" s="1"/>
  <c r="P23" s="1"/>
  <c r="Q23" s="1"/>
  <c r="R23" s="1"/>
  <c r="S23" s="1"/>
  <c r="T23" s="1"/>
  <c r="U23" s="1"/>
  <c r="V23" s="1"/>
  <c r="W23" s="1"/>
  <c r="X23" s="1"/>
  <c r="E20"/>
  <c r="F20" s="1"/>
  <c r="G20" s="1"/>
  <c r="H20" s="1"/>
  <c r="I20" s="1"/>
  <c r="J20" s="1"/>
  <c r="K20" s="1"/>
  <c r="L20" s="1"/>
  <c r="M20" s="1"/>
  <c r="N20" s="1"/>
  <c r="O20" s="1"/>
  <c r="P20" s="1"/>
  <c r="Q20" s="1"/>
  <c r="R20" s="1"/>
  <c r="S20" s="1"/>
  <c r="T20" s="1"/>
  <c r="U20" s="1"/>
  <c r="V20" s="1"/>
  <c r="W20" s="1"/>
  <c r="X20" s="1"/>
  <c r="E16"/>
  <c r="F16" s="1"/>
  <c r="G16" s="1"/>
  <c r="H16" s="1"/>
  <c r="I16" s="1"/>
  <c r="J16" s="1"/>
  <c r="K16" s="1"/>
  <c r="L16" s="1"/>
  <c r="M16" s="1"/>
  <c r="N16" s="1"/>
  <c r="O16" s="1"/>
  <c r="P16" s="1"/>
  <c r="Q16" s="1"/>
  <c r="R16" s="1"/>
  <c r="S16" s="1"/>
  <c r="T16" s="1"/>
  <c r="U16" s="1"/>
  <c r="V16" s="1"/>
  <c r="W16" s="1"/>
  <c r="X16" s="1"/>
  <c r="N22" i="37"/>
  <c r="N24"/>
  <c r="J23"/>
  <c r="J21"/>
  <c r="F22"/>
  <c r="F24" s="1"/>
  <c r="B15" i="32" s="1"/>
  <c r="B24" i="37"/>
  <c r="B22"/>
  <c r="A57" i="35"/>
  <c r="A7"/>
  <c r="A8"/>
  <c r="A9"/>
  <c r="A10"/>
  <c r="A11"/>
  <c r="A12"/>
  <c r="A13"/>
  <c r="A14"/>
  <c r="A15"/>
  <c r="C15"/>
  <c r="B17" i="3"/>
  <c r="A16" i="35"/>
  <c r="A17"/>
  <c r="A18"/>
  <c r="A19"/>
  <c r="B21" i="3"/>
  <c r="A20" i="35"/>
  <c r="A22" i="3"/>
  <c r="A21" i="35"/>
  <c r="A22"/>
  <c r="A23"/>
  <c r="A24"/>
  <c r="A25"/>
  <c r="A26"/>
  <c r="A27"/>
  <c r="A28"/>
  <c r="A29"/>
  <c r="A30"/>
  <c r="A31"/>
  <c r="A32"/>
  <c r="A33"/>
  <c r="A34"/>
  <c r="A35"/>
  <c r="A36"/>
  <c r="A37"/>
  <c r="A38"/>
  <c r="A39"/>
  <c r="B41" i="3"/>
  <c r="A40" i="35"/>
  <c r="A41"/>
  <c r="A42"/>
  <c r="A43"/>
  <c r="A44"/>
  <c r="A45"/>
  <c r="A46"/>
  <c r="A47"/>
  <c r="A48"/>
  <c r="A49"/>
  <c r="A50"/>
  <c r="A51"/>
  <c r="A52"/>
  <c r="A53"/>
  <c r="A54"/>
  <c r="A55"/>
  <c r="A56"/>
  <c r="A6"/>
  <c r="B90" i="8"/>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89"/>
  <c r="Z32"/>
  <c r="Z33"/>
  <c r="Z34"/>
  <c r="Z35"/>
  <c r="Z36"/>
  <c r="Z37"/>
  <c r="Z38"/>
  <c r="Z39"/>
  <c r="Z40"/>
  <c r="Z41"/>
  <c r="Z42"/>
  <c r="Z43"/>
  <c r="Z44"/>
  <c r="Z45"/>
  <c r="Z46"/>
  <c r="Z47"/>
  <c r="Z48"/>
  <c r="Z49"/>
  <c r="Z50"/>
  <c r="Z51"/>
  <c r="Z52"/>
  <c r="Z53"/>
  <c r="Z54"/>
  <c r="Z55"/>
  <c r="Z56"/>
  <c r="Z57"/>
  <c r="Z58"/>
  <c r="Z59"/>
  <c r="Z60"/>
  <c r="Z61"/>
  <c r="Z62"/>
  <c r="Z63"/>
  <c r="Z64"/>
  <c r="Z65"/>
  <c r="Z66"/>
  <c r="Z67"/>
  <c r="Z68"/>
  <c r="Z69"/>
  <c r="Z70"/>
  <c r="Z71"/>
  <c r="Z72"/>
  <c r="Z73"/>
  <c r="Z74"/>
  <c r="Z75"/>
  <c r="Z76"/>
  <c r="Z77"/>
  <c r="Z78"/>
  <c r="Z79"/>
  <c r="Z80"/>
  <c r="Z81"/>
  <c r="Z82"/>
  <c r="Z31"/>
  <c r="A150"/>
  <c r="G4" i="39" s="1"/>
  <c r="B150" i="8"/>
  <c r="H4" i="39" s="1"/>
  <c r="A151" i="8"/>
  <c r="G5" i="39" s="1"/>
  <c r="B151" i="8"/>
  <c r="H5" i="39" s="1"/>
  <c r="A152" i="8"/>
  <c r="G6" i="39" s="1"/>
  <c r="B152" i="8"/>
  <c r="H6" i="39" s="1"/>
  <c r="A153" i="8"/>
  <c r="G7" i="39" s="1"/>
  <c r="B153" i="8"/>
  <c r="H7" i="39" s="1"/>
  <c r="A154" i="8"/>
  <c r="G8" i="39" s="1"/>
  <c r="B154" i="8"/>
  <c r="H8" i="39" s="1"/>
  <c r="A155" i="8"/>
  <c r="G9" i="39" s="1"/>
  <c r="B155" i="8"/>
  <c r="H9" i="39" s="1"/>
  <c r="A156" i="8"/>
  <c r="G10" i="39" s="1"/>
  <c r="B156" i="8"/>
  <c r="H10" i="39" s="1"/>
  <c r="A157" i="8"/>
  <c r="G11" i="39" s="1"/>
  <c r="B157" i="8"/>
  <c r="H11" i="39" s="1"/>
  <c r="A158" i="8"/>
  <c r="G12" i="39" s="1"/>
  <c r="B158" i="8"/>
  <c r="H12" i="39" s="1"/>
  <c r="A159" i="8"/>
  <c r="G13" i="39" s="1"/>
  <c r="B159" i="8"/>
  <c r="H13" i="39" s="1"/>
  <c r="A160" i="8"/>
  <c r="G14" i="39" s="1"/>
  <c r="B160" i="8"/>
  <c r="H14" i="39" s="1"/>
  <c r="A161" i="8"/>
  <c r="G15" i="39" s="1"/>
  <c r="B161" i="8"/>
  <c r="H15" i="39" s="1"/>
  <c r="A162" i="8"/>
  <c r="G16" i="39" s="1"/>
  <c r="B162" i="8"/>
  <c r="H16" i="39" s="1"/>
  <c r="A163" i="8"/>
  <c r="G17" i="39" s="1"/>
  <c r="B163" i="8"/>
  <c r="H17" i="39" s="1"/>
  <c r="A164" i="8"/>
  <c r="G18" i="39" s="1"/>
  <c r="B164" i="8"/>
  <c r="H18" i="39" s="1"/>
  <c r="A165" i="8"/>
  <c r="G19" i="39" s="1"/>
  <c r="B165" i="8"/>
  <c r="H19" i="39" s="1"/>
  <c r="A166" i="8"/>
  <c r="G20" i="39" s="1"/>
  <c r="B166" i="8"/>
  <c r="H20" i="39" s="1"/>
  <c r="A167" i="8"/>
  <c r="G21" i="39" s="1"/>
  <c r="B167" i="8"/>
  <c r="H21" i="39" s="1"/>
  <c r="A168" i="8"/>
  <c r="G22" i="39" s="1"/>
  <c r="B168" i="8"/>
  <c r="H22" i="39" s="1"/>
  <c r="A169" i="8"/>
  <c r="G23" i="39" s="1"/>
  <c r="B169" i="8"/>
  <c r="H23" i="39" s="1"/>
  <c r="A170" i="8"/>
  <c r="G24" i="39" s="1"/>
  <c r="B170" i="8"/>
  <c r="H24" i="39" s="1"/>
  <c r="A171" i="8"/>
  <c r="G25" i="39" s="1"/>
  <c r="B171" i="8"/>
  <c r="H25" i="39" s="1"/>
  <c r="A172" i="8"/>
  <c r="G26" i="39" s="1"/>
  <c r="B172" i="8"/>
  <c r="H26" i="39" s="1"/>
  <c r="A173" i="8"/>
  <c r="G27" i="39" s="1"/>
  <c r="B173" i="8"/>
  <c r="H27" i="39" s="1"/>
  <c r="A174" i="8"/>
  <c r="G28" i="39" s="1"/>
  <c r="B174" i="8"/>
  <c r="H28" i="39" s="1"/>
  <c r="A175" i="8"/>
  <c r="G29" i="39" s="1"/>
  <c r="B175" i="8"/>
  <c r="H29" i="39" s="1"/>
  <c r="A176" i="8"/>
  <c r="G30" i="39" s="1"/>
  <c r="B176" i="8"/>
  <c r="H30" i="39" s="1"/>
  <c r="A177" i="8"/>
  <c r="G31" i="39" s="1"/>
  <c r="B177" i="8"/>
  <c r="H31" i="39" s="1"/>
  <c r="A178" i="8"/>
  <c r="G32" i="39" s="1"/>
  <c r="B178" i="8"/>
  <c r="H32" i="39" s="1"/>
  <c r="A179" i="8"/>
  <c r="G33" i="39" s="1"/>
  <c r="B179" i="8"/>
  <c r="H33" i="39" s="1"/>
  <c r="A180" i="8"/>
  <c r="G34" i="39" s="1"/>
  <c r="B180" i="8"/>
  <c r="H34" i="39" s="1"/>
  <c r="A181" i="8"/>
  <c r="G35" i="39" s="1"/>
  <c r="B181" i="8"/>
  <c r="H35" i="39" s="1"/>
  <c r="A182" i="8"/>
  <c r="G36" i="39" s="1"/>
  <c r="B182" i="8"/>
  <c r="H36" i="39" s="1"/>
  <c r="A183" i="8"/>
  <c r="G37" i="39" s="1"/>
  <c r="B183" i="8"/>
  <c r="H37" i="39" s="1"/>
  <c r="A184" i="8"/>
  <c r="G38" i="39" s="1"/>
  <c r="B184" i="8"/>
  <c r="H38" i="39" s="1"/>
  <c r="A185" i="8"/>
  <c r="G39" i="39" s="1"/>
  <c r="B185" i="8"/>
  <c r="H39" i="39" s="1"/>
  <c r="A186" i="8"/>
  <c r="G40" i="39" s="1"/>
  <c r="B186" i="8"/>
  <c r="H40" i="39" s="1"/>
  <c r="A187" i="8"/>
  <c r="G41" i="39" s="1"/>
  <c r="B187" i="8"/>
  <c r="H41" i="39" s="1"/>
  <c r="A188" i="8"/>
  <c r="G42" i="39" s="1"/>
  <c r="B188" i="8"/>
  <c r="H42" i="39" s="1"/>
  <c r="A189" i="8"/>
  <c r="G43" i="39" s="1"/>
  <c r="B189" i="8"/>
  <c r="H43" i="39" s="1"/>
  <c r="A190" i="8"/>
  <c r="G44" i="39" s="1"/>
  <c r="B190" i="8"/>
  <c r="H44" i="39" s="1"/>
  <c r="A191" i="8"/>
  <c r="G45" i="39" s="1"/>
  <c r="B191" i="8"/>
  <c r="H45" i="39" s="1"/>
  <c r="A192" i="8"/>
  <c r="G46" i="39" s="1"/>
  <c r="B192" i="8"/>
  <c r="H46" i="39" s="1"/>
  <c r="A193" i="8"/>
  <c r="G47" i="39" s="1"/>
  <c r="B193" i="8"/>
  <c r="H47" i="39" s="1"/>
  <c r="A194" i="8"/>
  <c r="G48" i="39" s="1"/>
  <c r="B194" i="8"/>
  <c r="H48" i="39" s="1"/>
  <c r="A195" i="8"/>
  <c r="G49" i="39" s="1"/>
  <c r="B195" i="8"/>
  <c r="H49" i="39" s="1"/>
  <c r="A196" i="8"/>
  <c r="G50" i="39" s="1"/>
  <c r="B196" i="8"/>
  <c r="H50" i="39" s="1"/>
  <c r="A197" i="8"/>
  <c r="G51" i="39" s="1"/>
  <c r="B197" i="8"/>
  <c r="H51" i="39" s="1"/>
  <c r="A198" i="8"/>
  <c r="G52" i="39" s="1"/>
  <c r="B198" i="8"/>
  <c r="H52" i="39" s="1"/>
  <c r="A199" i="8"/>
  <c r="G53" i="39" s="1"/>
  <c r="B199" i="8"/>
  <c r="H53" i="39" s="1"/>
  <c r="A200" i="8"/>
  <c r="G54" i="39" s="1"/>
  <c r="B200" i="8"/>
  <c r="H54" i="39" s="1"/>
  <c r="B149" i="8"/>
  <c r="A149"/>
  <c r="G3" i="39" s="1"/>
  <c r="K83" i="19"/>
  <c r="P83"/>
  <c r="O84"/>
  <c r="O11" i="35" s="1"/>
  <c r="P85" i="19"/>
  <c r="M88"/>
  <c r="M15" i="35" s="1"/>
  <c r="I89" i="19"/>
  <c r="I102" s="1"/>
  <c r="H90"/>
  <c r="H103" s="1"/>
  <c r="M103"/>
  <c r="M116" s="1"/>
  <c r="L91"/>
  <c r="Q121"/>
  <c r="Q110"/>
  <c r="Q123" s="1"/>
  <c r="N104"/>
  <c r="N117" s="1"/>
  <c r="E86"/>
  <c r="E99" s="1"/>
  <c r="C81"/>
  <c r="C8" i="35" s="1"/>
  <c r="B10" i="3" s="1"/>
  <c r="C22" i="35"/>
  <c r="B24" i="3" s="1"/>
  <c r="C101" i="19"/>
  <c r="C28" i="35" s="1"/>
  <c r="B30" i="3" s="1"/>
  <c r="C111" i="19"/>
  <c r="C38" i="35" s="1"/>
  <c r="B40" i="3" s="1"/>
  <c r="C117" i="19"/>
  <c r="C44" i="35" s="1"/>
  <c r="B46" i="3" s="1"/>
  <c r="B102" i="19"/>
  <c r="B29" i="35" s="1"/>
  <c r="A31" i="3" s="1"/>
  <c r="B113" i="19"/>
  <c r="B40" i="35" s="1"/>
  <c r="A42" i="3" s="1"/>
  <c r="B129" i="19"/>
  <c r="B56" i="35" s="1"/>
  <c r="A58" i="3"/>
  <c r="B66" i="19"/>
  <c r="C66"/>
  <c r="G66"/>
  <c r="H66"/>
  <c r="I66"/>
  <c r="J66"/>
  <c r="K66"/>
  <c r="L66"/>
  <c r="M66"/>
  <c r="N66"/>
  <c r="O66"/>
  <c r="P66"/>
  <c r="Q66"/>
  <c r="B67"/>
  <c r="C67"/>
  <c r="G67"/>
  <c r="H67"/>
  <c r="I67"/>
  <c r="J67"/>
  <c r="K67"/>
  <c r="L67"/>
  <c r="M67"/>
  <c r="N67"/>
  <c r="O67"/>
  <c r="P67"/>
  <c r="Q67"/>
  <c r="B68"/>
  <c r="C68"/>
  <c r="G68"/>
  <c r="H68"/>
  <c r="I68"/>
  <c r="J68"/>
  <c r="K68"/>
  <c r="L68"/>
  <c r="M68"/>
  <c r="N68"/>
  <c r="O68"/>
  <c r="P68"/>
  <c r="Q68"/>
  <c r="B69"/>
  <c r="C69"/>
  <c r="G69"/>
  <c r="H69"/>
  <c r="I69"/>
  <c r="J69"/>
  <c r="K69"/>
  <c r="L69"/>
  <c r="M69"/>
  <c r="N69"/>
  <c r="O69"/>
  <c r="P69"/>
  <c r="Q69"/>
  <c r="B70"/>
  <c r="C70"/>
  <c r="G70"/>
  <c r="H70"/>
  <c r="I70"/>
  <c r="J70"/>
  <c r="K70"/>
  <c r="L70"/>
  <c r="M70"/>
  <c r="N70"/>
  <c r="O70"/>
  <c r="P70"/>
  <c r="Q70"/>
  <c r="B71"/>
  <c r="C71"/>
  <c r="G71"/>
  <c r="H71"/>
  <c r="I71"/>
  <c r="J71"/>
  <c r="K71"/>
  <c r="L71"/>
  <c r="M71"/>
  <c r="N71"/>
  <c r="O71"/>
  <c r="P71"/>
  <c r="Q71"/>
  <c r="B54"/>
  <c r="B126" s="1"/>
  <c r="B53" i="35"/>
  <c r="A55" i="3" s="1"/>
  <c r="C54" i="19"/>
  <c r="C126" s="1"/>
  <c r="C53" i="35" s="1"/>
  <c r="B55" i="3" s="1"/>
  <c r="G54" i="19"/>
  <c r="H54"/>
  <c r="I54"/>
  <c r="J54"/>
  <c r="K54"/>
  <c r="L54"/>
  <c r="M54"/>
  <c r="N54"/>
  <c r="O54"/>
  <c r="P54"/>
  <c r="Q54"/>
  <c r="B55"/>
  <c r="B127"/>
  <c r="B54" i="35"/>
  <c r="A56" i="3" s="1"/>
  <c r="C55" i="19"/>
  <c r="C127" s="1"/>
  <c r="C54" i="35" s="1"/>
  <c r="G55" i="19"/>
  <c r="H55"/>
  <c r="I55"/>
  <c r="J55"/>
  <c r="K55"/>
  <c r="L55"/>
  <c r="M55"/>
  <c r="N55"/>
  <c r="O55"/>
  <c r="P55"/>
  <c r="Q55"/>
  <c r="B56"/>
  <c r="B128"/>
  <c r="B55" i="35" s="1"/>
  <c r="A57" i="3"/>
  <c r="C56" i="19"/>
  <c r="C128" s="1"/>
  <c r="C55" i="35" s="1"/>
  <c r="B57" i="3" s="1"/>
  <c r="G56" i="19"/>
  <c r="H56"/>
  <c r="I56"/>
  <c r="J56"/>
  <c r="K56"/>
  <c r="L56"/>
  <c r="M56"/>
  <c r="N56"/>
  <c r="O56"/>
  <c r="P56"/>
  <c r="Q56"/>
  <c r="B57"/>
  <c r="C57"/>
  <c r="C129" s="1"/>
  <c r="C56" i="35" s="1"/>
  <c r="B58" i="3" s="1"/>
  <c r="G57" i="19"/>
  <c r="H57"/>
  <c r="I57"/>
  <c r="J57"/>
  <c r="K57"/>
  <c r="L57"/>
  <c r="M57"/>
  <c r="N57"/>
  <c r="O57"/>
  <c r="P57"/>
  <c r="Q57"/>
  <c r="B58"/>
  <c r="B130"/>
  <c r="B57" i="35" s="1"/>
  <c r="A59" i="3" s="1"/>
  <c r="C58" i="19"/>
  <c r="C130"/>
  <c r="C57" i="35" s="1"/>
  <c r="B59" i="3"/>
  <c r="G58" i="19"/>
  <c r="H58"/>
  <c r="I58"/>
  <c r="J58"/>
  <c r="K58"/>
  <c r="L58"/>
  <c r="M58"/>
  <c r="N58"/>
  <c r="O58"/>
  <c r="P58"/>
  <c r="Q58"/>
  <c r="B59"/>
  <c r="C59"/>
  <c r="G59"/>
  <c r="H59"/>
  <c r="I59"/>
  <c r="J59"/>
  <c r="K59"/>
  <c r="L59"/>
  <c r="M59"/>
  <c r="N59"/>
  <c r="O59"/>
  <c r="P59"/>
  <c r="Q59"/>
  <c r="B60"/>
  <c r="C60"/>
  <c r="G60"/>
  <c r="H60"/>
  <c r="I60"/>
  <c r="J60"/>
  <c r="K60"/>
  <c r="L60"/>
  <c r="M60"/>
  <c r="N60"/>
  <c r="O60"/>
  <c r="P60"/>
  <c r="Q60"/>
  <c r="B61"/>
  <c r="C61"/>
  <c r="G61"/>
  <c r="H61"/>
  <c r="I61"/>
  <c r="J61"/>
  <c r="K61"/>
  <c r="L61"/>
  <c r="M61"/>
  <c r="N61"/>
  <c r="O61"/>
  <c r="P61"/>
  <c r="Q61"/>
  <c r="B62"/>
  <c r="C62"/>
  <c r="G62"/>
  <c r="H62"/>
  <c r="I62"/>
  <c r="J62"/>
  <c r="K62"/>
  <c r="L62"/>
  <c r="M62"/>
  <c r="N62"/>
  <c r="O62"/>
  <c r="P62"/>
  <c r="Q62"/>
  <c r="B63"/>
  <c r="C63"/>
  <c r="G63"/>
  <c r="H63"/>
  <c r="I63"/>
  <c r="J63"/>
  <c r="K63"/>
  <c r="L63"/>
  <c r="M63"/>
  <c r="N63"/>
  <c r="O63"/>
  <c r="P63"/>
  <c r="Q63"/>
  <c r="B64"/>
  <c r="C64"/>
  <c r="G64"/>
  <c r="H64"/>
  <c r="I64"/>
  <c r="J64"/>
  <c r="K64"/>
  <c r="L64"/>
  <c r="M64"/>
  <c r="N64"/>
  <c r="O64"/>
  <c r="P64"/>
  <c r="Q64"/>
  <c r="B65"/>
  <c r="C65"/>
  <c r="G65"/>
  <c r="H65"/>
  <c r="I65"/>
  <c r="J65"/>
  <c r="K65"/>
  <c r="L65"/>
  <c r="M65"/>
  <c r="N65"/>
  <c r="O65"/>
  <c r="P65"/>
  <c r="Q65"/>
  <c r="B37"/>
  <c r="B109"/>
  <c r="B36" i="35" s="1"/>
  <c r="A38" i="3" s="1"/>
  <c r="C37" i="19"/>
  <c r="C109" s="1"/>
  <c r="C36" i="35" s="1"/>
  <c r="B38" i="3" s="1"/>
  <c r="G37" i="19"/>
  <c r="H37"/>
  <c r="I37"/>
  <c r="J37"/>
  <c r="K37"/>
  <c r="L37"/>
  <c r="M37"/>
  <c r="N37"/>
  <c r="O37"/>
  <c r="P37"/>
  <c r="Q37"/>
  <c r="B38"/>
  <c r="B110" s="1"/>
  <c r="B37" i="35"/>
  <c r="A39" i="3" s="1"/>
  <c r="C38" i="19"/>
  <c r="C110" s="1"/>
  <c r="C37" i="35"/>
  <c r="B39" i="3"/>
  <c r="G38" i="19"/>
  <c r="H38"/>
  <c r="I38"/>
  <c r="J38"/>
  <c r="K38"/>
  <c r="L38"/>
  <c r="M38"/>
  <c r="N38"/>
  <c r="O38"/>
  <c r="P38"/>
  <c r="Q38"/>
  <c r="A39"/>
  <c r="B39"/>
  <c r="B111" s="1"/>
  <c r="B38" i="35" s="1"/>
  <c r="A40" i="3" s="1"/>
  <c r="C39" i="19"/>
  <c r="G39"/>
  <c r="H39"/>
  <c r="I39"/>
  <c r="J39"/>
  <c r="K39"/>
  <c r="L39"/>
  <c r="M39"/>
  <c r="N39"/>
  <c r="O39"/>
  <c r="P39"/>
  <c r="Q39"/>
  <c r="B40"/>
  <c r="B112"/>
  <c r="B39" i="35"/>
  <c r="A41" i="3" s="1"/>
  <c r="C40" i="19"/>
  <c r="C112"/>
  <c r="C39" i="35" s="1"/>
  <c r="G40" i="19"/>
  <c r="H40"/>
  <c r="I40"/>
  <c r="J40"/>
  <c r="K40"/>
  <c r="L40"/>
  <c r="M40"/>
  <c r="N40"/>
  <c r="O40"/>
  <c r="P40"/>
  <c r="Q40"/>
  <c r="B41"/>
  <c r="C41"/>
  <c r="C113" s="1"/>
  <c r="C40" i="35" s="1"/>
  <c r="B42" i="3" s="1"/>
  <c r="G41" i="19"/>
  <c r="H41"/>
  <c r="I41"/>
  <c r="J41"/>
  <c r="K41"/>
  <c r="L41"/>
  <c r="M41"/>
  <c r="N41"/>
  <c r="O41"/>
  <c r="P41"/>
  <c r="Q41"/>
  <c r="B42"/>
  <c r="B114" s="1"/>
  <c r="B41" i="35"/>
  <c r="A43" i="3" s="1"/>
  <c r="C42" i="19"/>
  <c r="C114" s="1"/>
  <c r="C41" i="35" s="1"/>
  <c r="B43" i="3" s="1"/>
  <c r="G42" i="19"/>
  <c r="H42"/>
  <c r="I42"/>
  <c r="J42"/>
  <c r="K42"/>
  <c r="L42"/>
  <c r="M42"/>
  <c r="N42"/>
  <c r="O42"/>
  <c r="P42"/>
  <c r="Q42"/>
  <c r="B43"/>
  <c r="B115"/>
  <c r="B42" i="35"/>
  <c r="A44" i="3" s="1"/>
  <c r="C43" i="19"/>
  <c r="C115" s="1"/>
  <c r="C42" i="35" s="1"/>
  <c r="B44" i="3" s="1"/>
  <c r="G43" i="19"/>
  <c r="H43"/>
  <c r="I43"/>
  <c r="J43"/>
  <c r="K43"/>
  <c r="L43"/>
  <c r="M43"/>
  <c r="N43"/>
  <c r="O43"/>
  <c r="P43"/>
  <c r="Q43"/>
  <c r="B44"/>
  <c r="B116"/>
  <c r="B43" i="35" s="1"/>
  <c r="A45" i="3" s="1"/>
  <c r="C44" i="19"/>
  <c r="C116"/>
  <c r="C43" i="35" s="1"/>
  <c r="B45" i="3" s="1"/>
  <c r="G44" i="19"/>
  <c r="H44"/>
  <c r="I44"/>
  <c r="J44"/>
  <c r="K44"/>
  <c r="L44"/>
  <c r="M44"/>
  <c r="N44"/>
  <c r="O44"/>
  <c r="P44"/>
  <c r="Q44"/>
  <c r="A45"/>
  <c r="B45"/>
  <c r="B117"/>
  <c r="B44" i="35" s="1"/>
  <c r="A46" i="3" s="1"/>
  <c r="C45" i="19"/>
  <c r="G45"/>
  <c r="H45"/>
  <c r="I45"/>
  <c r="J45"/>
  <c r="K45"/>
  <c r="L45"/>
  <c r="M45"/>
  <c r="N45"/>
  <c r="O45"/>
  <c r="P45"/>
  <c r="Q45"/>
  <c r="B46"/>
  <c r="B118" s="1"/>
  <c r="B45" i="35"/>
  <c r="A47" i="3" s="1"/>
  <c r="C46" i="19"/>
  <c r="C118" s="1"/>
  <c r="C45" i="35" s="1"/>
  <c r="B47" i="3"/>
  <c r="G46" i="19"/>
  <c r="H46"/>
  <c r="I46"/>
  <c r="J46"/>
  <c r="K46"/>
  <c r="L46"/>
  <c r="M46"/>
  <c r="N46"/>
  <c r="O46"/>
  <c r="P46"/>
  <c r="Q46"/>
  <c r="B47"/>
  <c r="B119" s="1"/>
  <c r="B46" i="35" s="1"/>
  <c r="A48" i="3" s="1"/>
  <c r="C47" i="19"/>
  <c r="C119" s="1"/>
  <c r="C46" i="35" s="1"/>
  <c r="B48" i="3" s="1"/>
  <c r="G47" i="19"/>
  <c r="H47"/>
  <c r="I47"/>
  <c r="J47"/>
  <c r="K47"/>
  <c r="L47"/>
  <c r="M47"/>
  <c r="N47"/>
  <c r="O47"/>
  <c r="P47"/>
  <c r="Q47"/>
  <c r="B48"/>
  <c r="B120" s="1"/>
  <c r="B47" i="35"/>
  <c r="A49" i="3"/>
  <c r="C48" i="19"/>
  <c r="C120" s="1"/>
  <c r="C47" i="35" s="1"/>
  <c r="B49" i="3" s="1"/>
  <c r="G48" i="19"/>
  <c r="H48"/>
  <c r="I48"/>
  <c r="J48"/>
  <c r="K48"/>
  <c r="L48"/>
  <c r="M48"/>
  <c r="N48"/>
  <c r="O48"/>
  <c r="P48"/>
  <c r="Q48"/>
  <c r="B49"/>
  <c r="B121" s="1"/>
  <c r="B48" i="35" s="1"/>
  <c r="A50" i="3" s="1"/>
  <c r="C49" i="19"/>
  <c r="C121"/>
  <c r="C48" i="35" s="1"/>
  <c r="B50" i="3" s="1"/>
  <c r="G49" i="19"/>
  <c r="H49"/>
  <c r="I49"/>
  <c r="J49"/>
  <c r="K49"/>
  <c r="L49"/>
  <c r="M49"/>
  <c r="N49"/>
  <c r="O49"/>
  <c r="P49"/>
  <c r="Q49"/>
  <c r="B50"/>
  <c r="B122"/>
  <c r="B49" i="35" s="1"/>
  <c r="A51" i="3" s="1"/>
  <c r="C50" i="19"/>
  <c r="C122" s="1"/>
  <c r="C49" i="35" s="1"/>
  <c r="B51" i="3" s="1"/>
  <c r="G50" i="19"/>
  <c r="H50"/>
  <c r="I50"/>
  <c r="J50"/>
  <c r="K50"/>
  <c r="L50"/>
  <c r="M50"/>
  <c r="N50"/>
  <c r="O50"/>
  <c r="P50"/>
  <c r="Q50"/>
  <c r="B51"/>
  <c r="B123"/>
  <c r="B50" i="35" s="1"/>
  <c r="A52" i="3" s="1"/>
  <c r="C51" i="19"/>
  <c r="C123" s="1"/>
  <c r="C50" i="35" s="1"/>
  <c r="B52" i="3" s="1"/>
  <c r="G51" i="19"/>
  <c r="H51"/>
  <c r="I51"/>
  <c r="J51"/>
  <c r="K51"/>
  <c r="L51"/>
  <c r="M51"/>
  <c r="N51"/>
  <c r="O51"/>
  <c r="P51"/>
  <c r="Q51"/>
  <c r="B52"/>
  <c r="B124" s="1"/>
  <c r="B51" i="35" s="1"/>
  <c r="A53" i="3" s="1"/>
  <c r="C52" i="19"/>
  <c r="C124"/>
  <c r="C51" i="35" s="1"/>
  <c r="B53" i="3" s="1"/>
  <c r="G52" i="19"/>
  <c r="H52"/>
  <c r="I52"/>
  <c r="J52"/>
  <c r="K52"/>
  <c r="L52"/>
  <c r="M52"/>
  <c r="N52"/>
  <c r="O52"/>
  <c r="P52"/>
  <c r="Q52"/>
  <c r="A53"/>
  <c r="B53"/>
  <c r="B125"/>
  <c r="B52" i="35"/>
  <c r="A54" i="3"/>
  <c r="C53" i="19"/>
  <c r="C125"/>
  <c r="C52" i="35"/>
  <c r="B54" i="3"/>
  <c r="G53" i="19"/>
  <c r="H53"/>
  <c r="I53"/>
  <c r="J53"/>
  <c r="K53"/>
  <c r="L53"/>
  <c r="M53"/>
  <c r="N53"/>
  <c r="O53"/>
  <c r="P53"/>
  <c r="Q53"/>
  <c r="A20"/>
  <c r="A23"/>
  <c r="A24"/>
  <c r="A28"/>
  <c r="A29"/>
  <c r="A30"/>
  <c r="A33"/>
  <c r="A9" i="18"/>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8"/>
  <c r="B8" i="19"/>
  <c r="B80" s="1"/>
  <c r="B7" i="35" s="1"/>
  <c r="A9" i="3" s="1"/>
  <c r="C8" i="19"/>
  <c r="C80" s="1"/>
  <c r="C7" i="35"/>
  <c r="B9" i="3"/>
  <c r="G8" i="19"/>
  <c r="G80" s="1"/>
  <c r="H8"/>
  <c r="H80"/>
  <c r="I8"/>
  <c r="I80" s="1"/>
  <c r="J8"/>
  <c r="J80" s="1"/>
  <c r="J93" s="1"/>
  <c r="K8"/>
  <c r="K80"/>
  <c r="L8"/>
  <c r="L80" s="1"/>
  <c r="L93" s="1"/>
  <c r="M8"/>
  <c r="M80"/>
  <c r="M7" i="35"/>
  <c r="L9" i="3" s="1"/>
  <c r="N8" i="19"/>
  <c r="N80"/>
  <c r="O8"/>
  <c r="O80" s="1"/>
  <c r="O93" s="1"/>
  <c r="P8"/>
  <c r="P80" s="1"/>
  <c r="P93" s="1"/>
  <c r="Q8"/>
  <c r="Q80" s="1"/>
  <c r="Q93" s="1"/>
  <c r="Q106" s="1"/>
  <c r="Q119" s="1"/>
  <c r="B9"/>
  <c r="B81" s="1"/>
  <c r="B8" i="35" s="1"/>
  <c r="A10" i="3" s="1"/>
  <c r="C9" i="19"/>
  <c r="G9"/>
  <c r="G81" s="1"/>
  <c r="H9"/>
  <c r="H81" s="1"/>
  <c r="H94" s="1"/>
  <c r="I9"/>
  <c r="I81"/>
  <c r="J9"/>
  <c r="J81"/>
  <c r="J94" s="1"/>
  <c r="J107" s="1"/>
  <c r="J120" s="1"/>
  <c r="K9"/>
  <c r="K81" s="1"/>
  <c r="K94" s="1"/>
  <c r="L9"/>
  <c r="L81" s="1"/>
  <c r="M9"/>
  <c r="M81"/>
  <c r="N9"/>
  <c r="N81"/>
  <c r="O9"/>
  <c r="O81" s="1"/>
  <c r="P9"/>
  <c r="P81" s="1"/>
  <c r="P8" i="35" s="1"/>
  <c r="Q9" i="19"/>
  <c r="Q81"/>
  <c r="Q94" s="1"/>
  <c r="Q107"/>
  <c r="Q120" s="1"/>
  <c r="B10"/>
  <c r="B82" s="1"/>
  <c r="B9" i="35" s="1"/>
  <c r="A11" i="3" s="1"/>
  <c r="C10" i="19"/>
  <c r="C82" s="1"/>
  <c r="C9" i="35" s="1"/>
  <c r="B11" i="3" s="1"/>
  <c r="G10" i="19"/>
  <c r="G82" s="1"/>
  <c r="H10"/>
  <c r="H82"/>
  <c r="H95" s="1"/>
  <c r="H108" s="1"/>
  <c r="I10"/>
  <c r="I82" s="1"/>
  <c r="I95" s="1"/>
  <c r="J10"/>
  <c r="J82"/>
  <c r="K10"/>
  <c r="K82" s="1"/>
  <c r="K9" i="35" s="1"/>
  <c r="J11" i="3" s="1"/>
  <c r="L10" i="19"/>
  <c r="L82" s="1"/>
  <c r="M10"/>
  <c r="M82"/>
  <c r="N10"/>
  <c r="N82"/>
  <c r="N95" s="1"/>
  <c r="O10"/>
  <c r="O82" s="1"/>
  <c r="O95" s="1"/>
  <c r="P10"/>
  <c r="P82"/>
  <c r="Q10"/>
  <c r="Q82"/>
  <c r="Q95" s="1"/>
  <c r="Q108" s="1"/>
  <c r="B11"/>
  <c r="B83"/>
  <c r="B10" i="35" s="1"/>
  <c r="A12" i="3" s="1"/>
  <c r="C11" i="19"/>
  <c r="C83" s="1"/>
  <c r="C10" i="35" s="1"/>
  <c r="B12" i="3"/>
  <c r="G11" i="19"/>
  <c r="G83" s="1"/>
  <c r="G10" i="35" s="1"/>
  <c r="H11" i="19"/>
  <c r="H83" s="1"/>
  <c r="I11"/>
  <c r="I83"/>
  <c r="J11"/>
  <c r="J83" s="1"/>
  <c r="J10" i="35" s="1"/>
  <c r="K11" i="19"/>
  <c r="L11"/>
  <c r="L83"/>
  <c r="L10" i="35" s="1"/>
  <c r="K12" i="3" s="1"/>
  <c r="M11" i="19"/>
  <c r="M83"/>
  <c r="M10" i="35"/>
  <c r="L12" i="3"/>
  <c r="N11" i="19"/>
  <c r="N83"/>
  <c r="O11"/>
  <c r="O83"/>
  <c r="O10" i="35" s="1"/>
  <c r="N12" i="3" s="1"/>
  <c r="P11" i="19"/>
  <c r="Q11"/>
  <c r="Q83"/>
  <c r="Q96"/>
  <c r="Q109" s="1"/>
  <c r="Q122" s="1"/>
  <c r="B12"/>
  <c r="B84"/>
  <c r="B11" i="35" s="1"/>
  <c r="A13" i="3"/>
  <c r="C12" i="19"/>
  <c r="C84" s="1"/>
  <c r="C11" i="35" s="1"/>
  <c r="B13" i="3" s="1"/>
  <c r="G12" i="19"/>
  <c r="G84" s="1"/>
  <c r="G97" s="1"/>
  <c r="G110" s="1"/>
  <c r="H12"/>
  <c r="H84" s="1"/>
  <c r="H11" i="35" s="1"/>
  <c r="I12" i="19"/>
  <c r="I84"/>
  <c r="I97" s="1"/>
  <c r="J12"/>
  <c r="J84"/>
  <c r="J97"/>
  <c r="J110" s="1"/>
  <c r="J123" s="1"/>
  <c r="J50" i="35" s="1"/>
  <c r="I52" i="3" s="1"/>
  <c r="K12" i="19"/>
  <c r="K84"/>
  <c r="L12"/>
  <c r="L84" s="1"/>
  <c r="L97" s="1"/>
  <c r="M12"/>
  <c r="M84"/>
  <c r="M11" i="35" s="1"/>
  <c r="L13" i="3" s="1"/>
  <c r="N12" i="19"/>
  <c r="N84"/>
  <c r="N97"/>
  <c r="O12"/>
  <c r="P12"/>
  <c r="P84"/>
  <c r="Q12"/>
  <c r="Q84"/>
  <c r="Q97" s="1"/>
  <c r="B13"/>
  <c r="B85"/>
  <c r="B12" i="35" s="1"/>
  <c r="A14" i="3" s="1"/>
  <c r="C13" i="19"/>
  <c r="C85" s="1"/>
  <c r="C12" i="35" s="1"/>
  <c r="G13" i="19"/>
  <c r="G85"/>
  <c r="G98" s="1"/>
  <c r="H13"/>
  <c r="H85" s="1"/>
  <c r="I13"/>
  <c r="I85"/>
  <c r="J13"/>
  <c r="J85"/>
  <c r="K13"/>
  <c r="K85"/>
  <c r="L13"/>
  <c r="L85"/>
  <c r="M13"/>
  <c r="M85"/>
  <c r="M98" s="1"/>
  <c r="M25" i="35" s="1"/>
  <c r="M12"/>
  <c r="L14" i="3"/>
  <c r="N13" i="19"/>
  <c r="N85"/>
  <c r="O13"/>
  <c r="O85"/>
  <c r="O12" i="35" s="1"/>
  <c r="N14" i="3" s="1"/>
  <c r="P13" i="19"/>
  <c r="Q13"/>
  <c r="Q85"/>
  <c r="Q98"/>
  <c r="Q111" s="1"/>
  <c r="Q124" s="1"/>
  <c r="B14"/>
  <c r="B86" s="1"/>
  <c r="B13" i="35" s="1"/>
  <c r="A15" i="3" s="1"/>
  <c r="C14" i="19"/>
  <c r="C86" s="1"/>
  <c r="C13" i="35"/>
  <c r="G14" i="19"/>
  <c r="G86" s="1"/>
  <c r="H14"/>
  <c r="H86" s="1"/>
  <c r="H99" s="1"/>
  <c r="H112" s="1"/>
  <c r="I14"/>
  <c r="I86" s="1"/>
  <c r="I99" s="1"/>
  <c r="I112" s="1"/>
  <c r="J14"/>
  <c r="J86"/>
  <c r="K14"/>
  <c r="K86" s="1"/>
  <c r="K99" s="1"/>
  <c r="L14"/>
  <c r="L86" s="1"/>
  <c r="L99" s="1"/>
  <c r="L112" s="1"/>
  <c r="L125" s="1"/>
  <c r="M14"/>
  <c r="M86"/>
  <c r="M13" i="35" s="1"/>
  <c r="L15" i="3" s="1"/>
  <c r="N14" i="19"/>
  <c r="N86" s="1"/>
  <c r="N99" s="1"/>
  <c r="N112" s="1"/>
  <c r="N39" i="35" s="1"/>
  <c r="M41" i="3" s="1"/>
  <c r="O14" i="19"/>
  <c r="O86"/>
  <c r="O99" s="1"/>
  <c r="O112" s="1"/>
  <c r="O125" s="1"/>
  <c r="O52" i="35" s="1"/>
  <c r="N54" i="3" s="1"/>
  <c r="P14" i="19"/>
  <c r="P86"/>
  <c r="P13" i="35" s="1"/>
  <c r="Q14" i="19"/>
  <c r="Q86" s="1"/>
  <c r="Q99" s="1"/>
  <c r="Q112" s="1"/>
  <c r="Q125" s="1"/>
  <c r="B15"/>
  <c r="B87"/>
  <c r="B14" i="35" s="1"/>
  <c r="A16" i="3" s="1"/>
  <c r="C15" i="19"/>
  <c r="C87"/>
  <c r="C14" i="35" s="1"/>
  <c r="G15" i="19"/>
  <c r="G87"/>
  <c r="H15"/>
  <c r="H87" s="1"/>
  <c r="H100" s="1"/>
  <c r="H113" s="1"/>
  <c r="H126" s="1"/>
  <c r="I15"/>
  <c r="I87"/>
  <c r="I14" i="35" s="1"/>
  <c r="H16" i="3" s="1"/>
  <c r="J15" i="19"/>
  <c r="J87" s="1"/>
  <c r="K15"/>
  <c r="K87"/>
  <c r="L15"/>
  <c r="L87" s="1"/>
  <c r="M15"/>
  <c r="M87" s="1"/>
  <c r="M100" s="1"/>
  <c r="N15"/>
  <c r="N87"/>
  <c r="O15"/>
  <c r="O87" s="1"/>
  <c r="P15"/>
  <c r="P87"/>
  <c r="P100" s="1"/>
  <c r="P113" s="1"/>
  <c r="P126" s="1"/>
  <c r="P53" i="35" s="1"/>
  <c r="O55" i="3" s="1"/>
  <c r="Q15" i="19"/>
  <c r="Q87" s="1"/>
  <c r="Q100" s="1"/>
  <c r="Q113" s="1"/>
  <c r="Q126"/>
  <c r="B16"/>
  <c r="B88"/>
  <c r="B15" i="35" s="1"/>
  <c r="A17" i="3"/>
  <c r="C16" i="19"/>
  <c r="C88"/>
  <c r="G16"/>
  <c r="G88"/>
  <c r="H16"/>
  <c r="H88"/>
  <c r="I16"/>
  <c r="I88"/>
  <c r="I101" s="1"/>
  <c r="I114" s="1"/>
  <c r="I41" i="35" s="1"/>
  <c r="J16" i="19"/>
  <c r="J88"/>
  <c r="J101" s="1"/>
  <c r="J114" s="1"/>
  <c r="K16"/>
  <c r="K88"/>
  <c r="K101" s="1"/>
  <c r="K114" s="1"/>
  <c r="K28" i="35"/>
  <c r="J30" i="3" s="1"/>
  <c r="L16" i="19"/>
  <c r="L88" s="1"/>
  <c r="M16"/>
  <c r="N16"/>
  <c r="N88" s="1"/>
  <c r="N101" s="1"/>
  <c r="N114" s="1"/>
  <c r="O16"/>
  <c r="O88"/>
  <c r="O15" i="35" s="1"/>
  <c r="P16" i="19"/>
  <c r="P88" s="1"/>
  <c r="P15" i="35" s="1"/>
  <c r="O17" i="3" s="1"/>
  <c r="Q16" i="19"/>
  <c r="Q88"/>
  <c r="Q101" s="1"/>
  <c r="Q114" s="1"/>
  <c r="Q127" s="1"/>
  <c r="B17"/>
  <c r="B89"/>
  <c r="B16" i="35" s="1"/>
  <c r="A18" i="3" s="1"/>
  <c r="C17" i="19"/>
  <c r="C89" s="1"/>
  <c r="C16" i="35" s="1"/>
  <c r="G17" i="19"/>
  <c r="G89" s="1"/>
  <c r="G102"/>
  <c r="G115" s="1"/>
  <c r="H17"/>
  <c r="H89" s="1"/>
  <c r="H16" i="35" s="1"/>
  <c r="I17" i="19"/>
  <c r="J17"/>
  <c r="J89" s="1"/>
  <c r="K17"/>
  <c r="K89"/>
  <c r="K16" i="35" s="1"/>
  <c r="J18" i="3" s="1"/>
  <c r="L17" i="19"/>
  <c r="L89" s="1"/>
  <c r="M17"/>
  <c r="M89"/>
  <c r="M102" s="1"/>
  <c r="M115" s="1"/>
  <c r="N17"/>
  <c r="N89" s="1"/>
  <c r="O17"/>
  <c r="O89" s="1"/>
  <c r="P17"/>
  <c r="P89" s="1"/>
  <c r="Q17"/>
  <c r="Q89" s="1"/>
  <c r="Q102" s="1"/>
  <c r="Q115" s="1"/>
  <c r="Q128" s="1"/>
  <c r="B18"/>
  <c r="B90" s="1"/>
  <c r="B17" i="35" s="1"/>
  <c r="A19" i="3" s="1"/>
  <c r="C18" i="19"/>
  <c r="C90" s="1"/>
  <c r="C17" i="35" s="1"/>
  <c r="B19" i="3" s="1"/>
  <c r="G18" i="19"/>
  <c r="G90"/>
  <c r="H18"/>
  <c r="I18"/>
  <c r="I90"/>
  <c r="I17" i="35" s="1"/>
  <c r="J18" i="19"/>
  <c r="J90" s="1"/>
  <c r="K18"/>
  <c r="K90" s="1"/>
  <c r="L18"/>
  <c r="L90" s="1"/>
  <c r="L17" i="35" s="1"/>
  <c r="M18" i="19"/>
  <c r="M90" s="1"/>
  <c r="M17" i="35" s="1"/>
  <c r="L19" i="3" s="1"/>
  <c r="N18" i="19"/>
  <c r="N90" s="1"/>
  <c r="N17" i="35" s="1"/>
  <c r="M19" i="3" s="1"/>
  <c r="O18" i="19"/>
  <c r="O90"/>
  <c r="O17" i="35" s="1"/>
  <c r="P18" i="19"/>
  <c r="P90" s="1"/>
  <c r="P17" i="35" s="1"/>
  <c r="Q18" i="19"/>
  <c r="Q90" s="1"/>
  <c r="Q103"/>
  <c r="Q116" s="1"/>
  <c r="Q129" s="1"/>
  <c r="B19"/>
  <c r="B91" s="1"/>
  <c r="B18" i="35" s="1"/>
  <c r="A20" i="3"/>
  <c r="C19" i="19"/>
  <c r="C91" s="1"/>
  <c r="C18" i="35" s="1"/>
  <c r="G19" i="19"/>
  <c r="G91" s="1"/>
  <c r="G104" s="1"/>
  <c r="G117" s="1"/>
  <c r="H19"/>
  <c r="H91" s="1"/>
  <c r="H104" s="1"/>
  <c r="I19"/>
  <c r="I91" s="1"/>
  <c r="J19"/>
  <c r="J91" s="1"/>
  <c r="J104" s="1"/>
  <c r="K19"/>
  <c r="K91"/>
  <c r="K104" s="1"/>
  <c r="L19"/>
  <c r="M19"/>
  <c r="M91"/>
  <c r="M18" i="35" s="1"/>
  <c r="L20" i="3" s="1"/>
  <c r="N19" i="19"/>
  <c r="N91"/>
  <c r="O19"/>
  <c r="O91"/>
  <c r="O18" i="35" s="1"/>
  <c r="N20" i="3" s="1"/>
  <c r="P19" i="19"/>
  <c r="P91"/>
  <c r="Q19"/>
  <c r="Q91"/>
  <c r="Q104" s="1"/>
  <c r="Q117" s="1"/>
  <c r="Q130" s="1"/>
  <c r="B20"/>
  <c r="B92" s="1"/>
  <c r="B19" i="35" s="1"/>
  <c r="A21" i="3" s="1"/>
  <c r="C20" i="19"/>
  <c r="C92" s="1"/>
  <c r="C19" i="35" s="1"/>
  <c r="G20" i="19"/>
  <c r="H20"/>
  <c r="I20"/>
  <c r="J20"/>
  <c r="K20"/>
  <c r="L20"/>
  <c r="M20"/>
  <c r="N20"/>
  <c r="O20"/>
  <c r="P20"/>
  <c r="Q20"/>
  <c r="B21"/>
  <c r="B93" s="1"/>
  <c r="B20" i="35" s="1"/>
  <c r="C21" i="19"/>
  <c r="C93"/>
  <c r="C20" i="35" s="1"/>
  <c r="G21" i="19"/>
  <c r="H21"/>
  <c r="I21"/>
  <c r="J21"/>
  <c r="K21"/>
  <c r="L21"/>
  <c r="M21"/>
  <c r="N21"/>
  <c r="O21"/>
  <c r="P21"/>
  <c r="Q21"/>
  <c r="B22"/>
  <c r="B94" s="1"/>
  <c r="B21" i="35"/>
  <c r="A23" i="3"/>
  <c r="C22" i="19"/>
  <c r="C94" s="1"/>
  <c r="C21" i="35" s="1"/>
  <c r="B23" i="3"/>
  <c r="G22" i="19"/>
  <c r="H22"/>
  <c r="I22"/>
  <c r="J22"/>
  <c r="K22"/>
  <c r="L22"/>
  <c r="M22"/>
  <c r="N22"/>
  <c r="O22"/>
  <c r="P22"/>
  <c r="Q22"/>
  <c r="B23"/>
  <c r="B95" s="1"/>
  <c r="B22" i="35" s="1"/>
  <c r="A24" i="3" s="1"/>
  <c r="C23" i="19"/>
  <c r="C95" s="1"/>
  <c r="G23"/>
  <c r="H23"/>
  <c r="I23"/>
  <c r="J23"/>
  <c r="K23"/>
  <c r="L23"/>
  <c r="M23"/>
  <c r="N23"/>
  <c r="O23"/>
  <c r="P23"/>
  <c r="Q23"/>
  <c r="B24"/>
  <c r="B96"/>
  <c r="B23" i="35" s="1"/>
  <c r="A25" i="3" s="1"/>
  <c r="C24" i="19"/>
  <c r="C96" s="1"/>
  <c r="C23" i="35" s="1"/>
  <c r="P23" s="1"/>
  <c r="B25" i="3"/>
  <c r="G24" i="19"/>
  <c r="H24"/>
  <c r="I24"/>
  <c r="J24"/>
  <c r="K24"/>
  <c r="L24"/>
  <c r="M24"/>
  <c r="N24"/>
  <c r="O24"/>
  <c r="P24"/>
  <c r="Q24"/>
  <c r="B25"/>
  <c r="B97" s="1"/>
  <c r="B24" i="35" s="1"/>
  <c r="A26" i="3" s="1"/>
  <c r="C25" i="19"/>
  <c r="C97" s="1"/>
  <c r="C24" i="35" s="1"/>
  <c r="B26" i="3" s="1"/>
  <c r="G25" i="19"/>
  <c r="H25"/>
  <c r="I25"/>
  <c r="J25"/>
  <c r="K25"/>
  <c r="L25"/>
  <c r="M25"/>
  <c r="N25"/>
  <c r="O25"/>
  <c r="P25"/>
  <c r="Q25"/>
  <c r="B26"/>
  <c r="B98" s="1"/>
  <c r="B25" i="35" s="1"/>
  <c r="A27" i="3" s="1"/>
  <c r="C26" i="19"/>
  <c r="C98" s="1"/>
  <c r="C25" i="35" s="1"/>
  <c r="B27" i="3" s="1"/>
  <c r="G26" i="19"/>
  <c r="H26"/>
  <c r="I26"/>
  <c r="J26"/>
  <c r="K26"/>
  <c r="L26"/>
  <c r="M26"/>
  <c r="N26"/>
  <c r="O26"/>
  <c r="P26"/>
  <c r="Q26"/>
  <c r="B27"/>
  <c r="B99"/>
  <c r="B26" i="35" s="1"/>
  <c r="A28" i="3" s="1"/>
  <c r="C27" i="19"/>
  <c r="C99"/>
  <c r="C26" i="35" s="1"/>
  <c r="G27" i="19"/>
  <c r="H27"/>
  <c r="I27"/>
  <c r="J27"/>
  <c r="K27"/>
  <c r="L27"/>
  <c r="M27"/>
  <c r="N27"/>
  <c r="O27"/>
  <c r="P27"/>
  <c r="Q27"/>
  <c r="B28"/>
  <c r="B100" s="1"/>
  <c r="B27" i="35" s="1"/>
  <c r="A29" i="3" s="1"/>
  <c r="C28" i="19"/>
  <c r="C100"/>
  <c r="C27" i="35" s="1"/>
  <c r="B29" i="3" s="1"/>
  <c r="G28" i="19"/>
  <c r="H28"/>
  <c r="I28"/>
  <c r="J28"/>
  <c r="K28"/>
  <c r="L28"/>
  <c r="M28"/>
  <c r="N28"/>
  <c r="O28"/>
  <c r="P28"/>
  <c r="Q28"/>
  <c r="B29"/>
  <c r="B101" s="1"/>
  <c r="B28" i="35" s="1"/>
  <c r="A30" i="3" s="1"/>
  <c r="C29" i="19"/>
  <c r="G29"/>
  <c r="H29"/>
  <c r="I29"/>
  <c r="J29"/>
  <c r="K29"/>
  <c r="L29"/>
  <c r="M29"/>
  <c r="N29"/>
  <c r="O29"/>
  <c r="P29"/>
  <c r="Q29"/>
  <c r="B30"/>
  <c r="C30"/>
  <c r="C102" s="1"/>
  <c r="C29" i="35" s="1"/>
  <c r="B31" i="3"/>
  <c r="G30" i="19"/>
  <c r="H30"/>
  <c r="I30"/>
  <c r="J30"/>
  <c r="K30"/>
  <c r="L30"/>
  <c r="M30"/>
  <c r="N30"/>
  <c r="O30"/>
  <c r="P30"/>
  <c r="Q30"/>
  <c r="B31"/>
  <c r="B103" s="1"/>
  <c r="B30" i="35" s="1"/>
  <c r="A32" i="3" s="1"/>
  <c r="C31" i="19"/>
  <c r="C103"/>
  <c r="C30" i="35" s="1"/>
  <c r="B32" i="3"/>
  <c r="G31" i="19"/>
  <c r="H31"/>
  <c r="I31"/>
  <c r="J31"/>
  <c r="K31"/>
  <c r="L31"/>
  <c r="M31"/>
  <c r="N31"/>
  <c r="O31"/>
  <c r="P31"/>
  <c r="Q31"/>
  <c r="B32"/>
  <c r="B104" s="1"/>
  <c r="B31" i="35" s="1"/>
  <c r="A33" i="3" s="1"/>
  <c r="C32" i="19"/>
  <c r="C104" s="1"/>
  <c r="C31" i="35" s="1"/>
  <c r="B33" i="3" s="1"/>
  <c r="G32" i="19"/>
  <c r="H32"/>
  <c r="I32"/>
  <c r="J32"/>
  <c r="K32"/>
  <c r="L32"/>
  <c r="M32"/>
  <c r="N32"/>
  <c r="O32"/>
  <c r="P32"/>
  <c r="Q32"/>
  <c r="B33"/>
  <c r="B105" s="1"/>
  <c r="B32" i="35" s="1"/>
  <c r="A34" i="3" s="1"/>
  <c r="C33" i="19"/>
  <c r="C105"/>
  <c r="C32" i="35" s="1"/>
  <c r="B34" i="3" s="1"/>
  <c r="G33" i="19"/>
  <c r="H33"/>
  <c r="I33"/>
  <c r="J33"/>
  <c r="K33"/>
  <c r="L33"/>
  <c r="M33"/>
  <c r="N33"/>
  <c r="O33"/>
  <c r="P33"/>
  <c r="Q33"/>
  <c r="B34"/>
  <c r="B106" s="1"/>
  <c r="B33" i="35"/>
  <c r="A35" i="3" s="1"/>
  <c r="C34" i="19"/>
  <c r="C106" s="1"/>
  <c r="C33" i="35" s="1"/>
  <c r="B35" i="3" s="1"/>
  <c r="G34" i="19"/>
  <c r="H34"/>
  <c r="I34"/>
  <c r="J34"/>
  <c r="K34"/>
  <c r="L34"/>
  <c r="M34"/>
  <c r="N34"/>
  <c r="O34"/>
  <c r="P34"/>
  <c r="Q34"/>
  <c r="B35"/>
  <c r="B107"/>
  <c r="B34" i="35"/>
  <c r="A36" i="3" s="1"/>
  <c r="C35" i="19"/>
  <c r="C107"/>
  <c r="C34" i="35"/>
  <c r="B36" i="3" s="1"/>
  <c r="G35" i="19"/>
  <c r="H35"/>
  <c r="I35"/>
  <c r="J35"/>
  <c r="K35"/>
  <c r="L35"/>
  <c r="M35"/>
  <c r="N35"/>
  <c r="O35"/>
  <c r="P35"/>
  <c r="Q35"/>
  <c r="B36"/>
  <c r="B108" s="1"/>
  <c r="B35" i="35" s="1"/>
  <c r="A37" i="3" s="1"/>
  <c r="C36" i="19"/>
  <c r="C108"/>
  <c r="C35" i="35" s="1"/>
  <c r="B37" i="3" s="1"/>
  <c r="G36" i="19"/>
  <c r="H36"/>
  <c r="I36"/>
  <c r="J36"/>
  <c r="K36"/>
  <c r="L36"/>
  <c r="M36"/>
  <c r="N36"/>
  <c r="O36"/>
  <c r="P36"/>
  <c r="Q36"/>
  <c r="E15" i="27"/>
  <c r="E16" s="1"/>
  <c r="E17" s="1"/>
  <c r="D90" i="8"/>
  <c r="D91"/>
  <c r="D92"/>
  <c r="D93"/>
  <c r="D94"/>
  <c r="D95"/>
  <c r="D96"/>
  <c r="D97"/>
  <c r="D98"/>
  <c r="D99"/>
  <c r="D100"/>
  <c r="D101"/>
  <c r="D103"/>
  <c r="D104"/>
  <c r="D105"/>
  <c r="D106"/>
  <c r="D107"/>
  <c r="D108"/>
  <c r="D109"/>
  <c r="D110"/>
  <c r="D111"/>
  <c r="D112"/>
  <c r="D113"/>
  <c r="D114"/>
  <c r="D116"/>
  <c r="D117"/>
  <c r="D118"/>
  <c r="D119"/>
  <c r="D120"/>
  <c r="D121"/>
  <c r="D122"/>
  <c r="D123"/>
  <c r="D124"/>
  <c r="D125"/>
  <c r="D126"/>
  <c r="D127"/>
  <c r="B14"/>
  <c r="B15"/>
  <c r="B16"/>
  <c r="B17"/>
  <c r="B18"/>
  <c r="B19"/>
  <c r="B20"/>
  <c r="B21"/>
  <c r="B22"/>
  <c r="B23"/>
  <c r="B24"/>
  <c r="B13"/>
  <c r="D115"/>
  <c r="D102"/>
  <c r="D31"/>
  <c r="D70"/>
  <c r="D89"/>
  <c r="X12"/>
  <c r="W12"/>
  <c r="V12"/>
  <c r="U12"/>
  <c r="T12"/>
  <c r="S12"/>
  <c r="R12"/>
  <c r="Q12"/>
  <c r="P12"/>
  <c r="O12"/>
  <c r="N12"/>
  <c r="M12"/>
  <c r="L12"/>
  <c r="K12"/>
  <c r="J12"/>
  <c r="I12"/>
  <c r="H12"/>
  <c r="G12"/>
  <c r="F12"/>
  <c r="E12"/>
  <c r="I6" i="24"/>
  <c r="R2264" i="31"/>
  <c r="R2235"/>
  <c r="R2142"/>
  <c r="R2090"/>
  <c r="R2051"/>
  <c r="R2046"/>
  <c r="R2038"/>
  <c r="R2023"/>
  <c r="R1967"/>
  <c r="R1903"/>
  <c r="R1768"/>
  <c r="Q1624"/>
  <c r="R1556"/>
  <c r="S1423"/>
  <c r="R1411"/>
  <c r="S1295"/>
  <c r="R1287"/>
  <c r="R1269"/>
  <c r="R1087"/>
  <c r="R1014"/>
  <c r="R1011"/>
  <c r="R998"/>
  <c r="R992"/>
  <c r="R989"/>
  <c r="R984"/>
  <c r="R982"/>
  <c r="R975"/>
  <c r="R1017"/>
  <c r="R971"/>
  <c r="R952"/>
  <c r="S821"/>
  <c r="R812"/>
  <c r="R702"/>
  <c r="S647"/>
  <c r="R638"/>
  <c r="BR614"/>
  <c r="BO614"/>
  <c r="BK614"/>
  <c r="BJ614"/>
  <c r="BI614"/>
  <c r="BM613"/>
  <c r="BP613"/>
  <c r="BP612"/>
  <c r="BM612"/>
  <c r="BM611"/>
  <c r="BP611"/>
  <c r="BP610"/>
  <c r="BM610"/>
  <c r="BM609"/>
  <c r="BP609"/>
  <c r="BP608"/>
  <c r="BM608"/>
  <c r="BM607"/>
  <c r="BP607"/>
  <c r="BP606"/>
  <c r="BM606"/>
  <c r="BM605"/>
  <c r="BP605"/>
  <c r="BP604"/>
  <c r="BM604"/>
  <c r="BM603"/>
  <c r="BP603"/>
  <c r="BP602"/>
  <c r="BM602"/>
  <c r="BM601"/>
  <c r="BP601"/>
  <c r="BP600"/>
  <c r="BM600"/>
  <c r="BM599"/>
  <c r="BP599"/>
  <c r="BP598"/>
  <c r="BM598"/>
  <c r="BM597"/>
  <c r="BP597"/>
  <c r="BP596"/>
  <c r="BM596"/>
  <c r="BP594"/>
  <c r="BM594"/>
  <c r="BP593"/>
  <c r="BM593"/>
  <c r="BM592"/>
  <c r="BP592"/>
  <c r="BP591"/>
  <c r="BM591"/>
  <c r="BP590"/>
  <c r="BM590"/>
  <c r="BP589"/>
  <c r="BM589"/>
  <c r="BP588"/>
  <c r="BM588"/>
  <c r="BP587"/>
  <c r="BM587"/>
  <c r="BP586"/>
  <c r="BM586"/>
  <c r="BP585"/>
  <c r="BM585"/>
  <c r="BP584"/>
  <c r="BM584"/>
  <c r="BP583"/>
  <c r="BM583"/>
  <c r="BP582"/>
  <c r="BW594"/>
  <c r="BM582"/>
  <c r="BP581"/>
  <c r="BM581"/>
  <c r="BR576"/>
  <c r="BQ576"/>
  <c r="BO576"/>
  <c r="BK576"/>
  <c r="BJ576"/>
  <c r="BI576"/>
  <c r="BH576"/>
  <c r="BP574"/>
  <c r="BM574"/>
  <c r="BP573"/>
  <c r="BM573"/>
  <c r="BP572"/>
  <c r="BM572"/>
  <c r="BP571"/>
  <c r="BM571"/>
  <c r="BP570"/>
  <c r="BM570"/>
  <c r="BP569"/>
  <c r="BM569"/>
  <c r="BP568"/>
  <c r="BM568"/>
  <c r="BP567"/>
  <c r="BM567"/>
  <c r="BP566"/>
  <c r="BM566"/>
  <c r="BP565"/>
  <c r="BM565"/>
  <c r="BP563"/>
  <c r="BM563"/>
  <c r="BP562"/>
  <c r="BM562"/>
  <c r="BP561"/>
  <c r="BM561"/>
  <c r="BM560"/>
  <c r="BP559"/>
  <c r="BM559"/>
  <c r="BM558"/>
  <c r="BP558"/>
  <c r="BP557"/>
  <c r="BM557"/>
  <c r="BW591"/>
  <c r="BP614"/>
  <c r="BP615"/>
  <c r="BW592"/>
  <c r="BM614"/>
  <c r="BW593"/>
  <c r="BW595"/>
  <c r="BM554"/>
  <c r="BP554"/>
  <c r="BM552"/>
  <c r="BP552"/>
  <c r="BM551"/>
  <c r="BP551"/>
  <c r="BP550"/>
  <c r="BM550"/>
  <c r="BM549"/>
  <c r="BP549"/>
  <c r="BP547"/>
  <c r="BM547"/>
  <c r="BM546"/>
  <c r="BP546"/>
  <c r="S546"/>
  <c r="BM545"/>
  <c r="BP545"/>
  <c r="BP544"/>
  <c r="BM544"/>
  <c r="BM543"/>
  <c r="BP543"/>
  <c r="BP542"/>
  <c r="BM542"/>
  <c r="BM541"/>
  <c r="BP541"/>
  <c r="BP540"/>
  <c r="BM540"/>
  <c r="BM538"/>
  <c r="BP538"/>
  <c r="BP537"/>
  <c r="BM537"/>
  <c r="R537"/>
  <c r="BR532"/>
  <c r="BQ532"/>
  <c r="BO532"/>
  <c r="BK531"/>
  <c r="BJ531"/>
  <c r="BI531"/>
  <c r="BH531"/>
  <c r="BP530"/>
  <c r="BM530"/>
  <c r="BM529"/>
  <c r="BP529"/>
  <c r="BP528"/>
  <c r="BM528"/>
  <c r="BM527"/>
  <c r="BP527"/>
  <c r="BP526"/>
  <c r="BM526"/>
  <c r="BM525"/>
  <c r="BP525"/>
  <c r="BP524"/>
  <c r="BM524"/>
  <c r="BM523"/>
  <c r="BP523"/>
  <c r="BP522"/>
  <c r="BM522"/>
  <c r="BM521"/>
  <c r="BP521"/>
  <c r="BP520"/>
  <c r="BM520"/>
  <c r="BM519"/>
  <c r="BP519"/>
  <c r="BP518"/>
  <c r="BM518"/>
  <c r="BM517"/>
  <c r="BP517"/>
  <c r="BP516"/>
  <c r="BM516"/>
  <c r="BM515"/>
  <c r="BP515"/>
  <c r="BP514"/>
  <c r="BM514"/>
  <c r="BM512"/>
  <c r="BP512"/>
  <c r="BP511"/>
  <c r="BM511"/>
  <c r="BP576"/>
  <c r="BP577"/>
  <c r="BW550"/>
  <c r="BM576"/>
  <c r="BW551"/>
  <c r="BW553"/>
  <c r="BW552"/>
  <c r="BW554"/>
  <c r="BP510"/>
  <c r="BM510"/>
  <c r="BP509"/>
  <c r="BM509"/>
  <c r="BP508"/>
  <c r="BM508"/>
  <c r="BM507"/>
  <c r="BP507"/>
  <c r="BP506"/>
  <c r="BM506"/>
  <c r="BP505"/>
  <c r="BM505"/>
  <c r="BM504"/>
  <c r="BP504"/>
  <c r="BP503"/>
  <c r="BM503"/>
  <c r="BM502"/>
  <c r="BP502"/>
  <c r="BP501"/>
  <c r="BM501"/>
  <c r="BM500"/>
  <c r="BP500"/>
  <c r="BP499"/>
  <c r="BM499"/>
  <c r="BM498"/>
  <c r="BP498"/>
  <c r="BP497"/>
  <c r="BM497"/>
  <c r="BM496"/>
  <c r="BM531"/>
  <c r="BR489"/>
  <c r="BO489"/>
  <c r="BK489"/>
  <c r="BI489"/>
  <c r="BH489"/>
  <c r="BP488"/>
  <c r="BM488"/>
  <c r="BM487"/>
  <c r="BP487"/>
  <c r="BP486"/>
  <c r="BM486"/>
  <c r="BM485"/>
  <c r="BP485"/>
  <c r="BP484"/>
  <c r="BM484"/>
  <c r="R484"/>
  <c r="BP483"/>
  <c r="BM483"/>
  <c r="BP482"/>
  <c r="BM482"/>
  <c r="BP481"/>
  <c r="BM481"/>
  <c r="BP479"/>
  <c r="BM479"/>
  <c r="BP478"/>
  <c r="BM478"/>
  <c r="BP477"/>
  <c r="BM477"/>
  <c r="BP476"/>
  <c r="BM476"/>
  <c r="BP475"/>
  <c r="BM475"/>
  <c r="BP474"/>
  <c r="BM474"/>
  <c r="BP473"/>
  <c r="BM473"/>
  <c r="BP472"/>
  <c r="BM472"/>
  <c r="BP471"/>
  <c r="BM471"/>
  <c r="BP469"/>
  <c r="BM469"/>
  <c r="BP468"/>
  <c r="BM468"/>
  <c r="BP467"/>
  <c r="BM467"/>
  <c r="BP466"/>
  <c r="BM466"/>
  <c r="BP465"/>
  <c r="BM465"/>
  <c r="BP464"/>
  <c r="BM464"/>
  <c r="BM463"/>
  <c r="BP463"/>
  <c r="AT462"/>
  <c r="AS462"/>
  <c r="AQ462"/>
  <c r="AM462"/>
  <c r="AL462"/>
  <c r="AK462"/>
  <c r="AJ462"/>
  <c r="BM461"/>
  <c r="BP461"/>
  <c r="AR461"/>
  <c r="AO461"/>
  <c r="BM460"/>
  <c r="BP460"/>
  <c r="AR460"/>
  <c r="AO460"/>
  <c r="BP496"/>
  <c r="BP459"/>
  <c r="BM459"/>
  <c r="AR459"/>
  <c r="AO459"/>
  <c r="BP458"/>
  <c r="BM458"/>
  <c r="AO458"/>
  <c r="AR458"/>
  <c r="BP457"/>
  <c r="BM457"/>
  <c r="BP456"/>
  <c r="BM456"/>
  <c r="AO456"/>
  <c r="AR456"/>
  <c r="BP455"/>
  <c r="BM455"/>
  <c r="AR455"/>
  <c r="AO455"/>
  <c r="BM454"/>
  <c r="BP454"/>
  <c r="AR454"/>
  <c r="AO454"/>
  <c r="BM453"/>
  <c r="BP453"/>
  <c r="AR453"/>
  <c r="AO453"/>
  <c r="BM452"/>
  <c r="BP452"/>
  <c r="AR452"/>
  <c r="AO452"/>
  <c r="BM451"/>
  <c r="BP451"/>
  <c r="BP450"/>
  <c r="BM450"/>
  <c r="AO450"/>
  <c r="AR450"/>
  <c r="BP449"/>
  <c r="BM449"/>
  <c r="AO449"/>
  <c r="AR449"/>
  <c r="BP448"/>
  <c r="BM448"/>
  <c r="BM447"/>
  <c r="BP447"/>
  <c r="AR447"/>
  <c r="AO447"/>
  <c r="BM446"/>
  <c r="BP446"/>
  <c r="AR446"/>
  <c r="AO446"/>
  <c r="BM445"/>
  <c r="BP445"/>
  <c r="AR445"/>
  <c r="AO445"/>
  <c r="BM444"/>
  <c r="BP444"/>
  <c r="AR444"/>
  <c r="AO444"/>
  <c r="BM443"/>
  <c r="BP443"/>
  <c r="BP442"/>
  <c r="BM442"/>
  <c r="AO442"/>
  <c r="AR442"/>
  <c r="BP441"/>
  <c r="BM441"/>
  <c r="AO441"/>
  <c r="AR441"/>
  <c r="BP440"/>
  <c r="BM440"/>
  <c r="AO440"/>
  <c r="AR440"/>
  <c r="BP439"/>
  <c r="BM439"/>
  <c r="AO439"/>
  <c r="AR439"/>
  <c r="BP438"/>
  <c r="BM438"/>
  <c r="AO438"/>
  <c r="AR438"/>
  <c r="AR437"/>
  <c r="AO437"/>
  <c r="AR435"/>
  <c r="AO435"/>
  <c r="AR434"/>
  <c r="AO434"/>
  <c r="BR433"/>
  <c r="BQ433"/>
  <c r="BO433"/>
  <c r="BI433"/>
  <c r="BH433"/>
  <c r="AR433"/>
  <c r="AO433"/>
  <c r="BP432"/>
  <c r="BM432"/>
  <c r="BP431"/>
  <c r="BM431"/>
  <c r="AO431"/>
  <c r="AR431"/>
  <c r="BP430"/>
  <c r="BM430"/>
  <c r="AO430"/>
  <c r="AR430"/>
  <c r="BP429"/>
  <c r="BM429"/>
  <c r="BM428"/>
  <c r="BP428"/>
  <c r="AR428"/>
  <c r="AO428"/>
  <c r="BM427"/>
  <c r="BP427"/>
  <c r="BP426"/>
  <c r="BM426"/>
  <c r="BM425"/>
  <c r="BP425"/>
  <c r="AR425"/>
  <c r="AO425"/>
  <c r="BM424"/>
  <c r="BP424"/>
  <c r="AR424"/>
  <c r="AO424"/>
  <c r="BM423"/>
  <c r="BP423"/>
  <c r="AR423"/>
  <c r="AO423"/>
  <c r="BM422"/>
  <c r="BP422"/>
  <c r="AR422"/>
  <c r="AO422"/>
  <c r="BM421"/>
  <c r="BP421"/>
  <c r="BP420"/>
  <c r="BM420"/>
  <c r="BM419"/>
  <c r="BP419"/>
  <c r="BP418"/>
  <c r="BM418"/>
  <c r="AO418"/>
  <c r="AO462"/>
  <c r="BP417"/>
  <c r="BM417"/>
  <c r="BM416"/>
  <c r="BP416"/>
  <c r="BP415"/>
  <c r="BM415"/>
  <c r="BW458"/>
  <c r="BW456"/>
  <c r="AY437"/>
  <c r="BP532"/>
  <c r="BP533"/>
  <c r="BW507"/>
  <c r="BW508"/>
  <c r="BW506"/>
  <c r="BW509"/>
  <c r="BW505"/>
  <c r="BP489"/>
  <c r="BP490"/>
  <c r="BW455"/>
  <c r="BW457"/>
  <c r="BM489"/>
  <c r="BW454"/>
  <c r="AR418"/>
  <c r="BM414"/>
  <c r="BP414"/>
  <c r="BM413"/>
  <c r="BP413"/>
  <c r="AT413"/>
  <c r="AS413"/>
  <c r="AQ413"/>
  <c r="AM413"/>
  <c r="AK413"/>
  <c r="AJ413"/>
  <c r="BP412"/>
  <c r="BM412"/>
  <c r="AR412"/>
  <c r="AO412"/>
  <c r="BM411"/>
  <c r="BP411"/>
  <c r="BW409"/>
  <c r="AR411"/>
  <c r="AO411"/>
  <c r="BP410"/>
  <c r="BM410"/>
  <c r="AR410"/>
  <c r="AO410"/>
  <c r="BP409"/>
  <c r="BM409"/>
  <c r="AO409"/>
  <c r="AR409"/>
  <c r="BP408"/>
  <c r="BM408"/>
  <c r="AO408"/>
  <c r="AR408"/>
  <c r="BP407"/>
  <c r="BM407"/>
  <c r="AO407"/>
  <c r="AR407"/>
  <c r="BP406"/>
  <c r="BM406"/>
  <c r="AO406"/>
  <c r="AR406"/>
  <c r="BP405"/>
  <c r="BW412"/>
  <c r="BM405"/>
  <c r="AO405"/>
  <c r="AR405"/>
  <c r="S405"/>
  <c r="BP404"/>
  <c r="BM404"/>
  <c r="AR404"/>
  <c r="AO404"/>
  <c r="BP403"/>
  <c r="BM403"/>
  <c r="AR403"/>
  <c r="AO403"/>
  <c r="BP402"/>
  <c r="BM402"/>
  <c r="AR402"/>
  <c r="AO402"/>
  <c r="BP401"/>
  <c r="BM401"/>
  <c r="AR401"/>
  <c r="AO401"/>
  <c r="AR400"/>
  <c r="AO400"/>
  <c r="AR398"/>
  <c r="AO398"/>
  <c r="AO397"/>
  <c r="AR397"/>
  <c r="BR396"/>
  <c r="BO396"/>
  <c r="BK396"/>
  <c r="BI396"/>
  <c r="BH396"/>
  <c r="AR396"/>
  <c r="AO396"/>
  <c r="BP395"/>
  <c r="BM395"/>
  <c r="AR395"/>
  <c r="AO395"/>
  <c r="BP394"/>
  <c r="BM394"/>
  <c r="AR462"/>
  <c r="AR463"/>
  <c r="AY434"/>
  <c r="AY432"/>
  <c r="AY433"/>
  <c r="AY435"/>
  <c r="AY436"/>
  <c r="BP433"/>
  <c r="BP434"/>
  <c r="BW411"/>
  <c r="BW413"/>
  <c r="BM433"/>
  <c r="BW410"/>
  <c r="R394"/>
  <c r="BM393"/>
  <c r="BP393"/>
  <c r="AR393"/>
  <c r="AO393"/>
  <c r="BP392"/>
  <c r="BM392"/>
  <c r="AO392"/>
  <c r="AR392"/>
  <c r="BP391"/>
  <c r="BM391"/>
  <c r="AR391"/>
  <c r="AO391"/>
  <c r="BP390"/>
  <c r="BM390"/>
  <c r="AR390"/>
  <c r="AO390"/>
  <c r="BM389"/>
  <c r="BP389"/>
  <c r="AR389"/>
  <c r="AO389"/>
  <c r="BP388"/>
  <c r="BM388"/>
  <c r="AR388"/>
  <c r="AO388"/>
  <c r="BP387"/>
  <c r="BM387"/>
  <c r="AR387"/>
  <c r="AO387"/>
  <c r="BP386"/>
  <c r="BM386"/>
  <c r="BP385"/>
  <c r="BM385"/>
  <c r="AR385"/>
  <c r="AO385"/>
  <c r="BP384"/>
  <c r="BM384"/>
  <c r="AR384"/>
  <c r="AO384"/>
  <c r="BP383"/>
  <c r="BM383"/>
  <c r="AR383"/>
  <c r="AO383"/>
  <c r="BP382"/>
  <c r="BM382"/>
  <c r="BP381"/>
  <c r="BM381"/>
  <c r="AR381"/>
  <c r="AO381"/>
  <c r="BP380"/>
  <c r="BM380"/>
  <c r="AR380"/>
  <c r="AO380"/>
  <c r="BP379"/>
  <c r="BM379"/>
  <c r="AO379"/>
  <c r="AR379"/>
  <c r="BP378"/>
  <c r="BM378"/>
  <c r="AO378"/>
  <c r="AR378"/>
  <c r="BM377"/>
  <c r="BP377"/>
  <c r="AR377"/>
  <c r="AO377"/>
  <c r="BM376"/>
  <c r="BP376"/>
  <c r="BM375"/>
  <c r="BP375"/>
  <c r="BP374"/>
  <c r="BM374"/>
  <c r="BM373"/>
  <c r="BP373"/>
  <c r="BM372"/>
  <c r="BP372"/>
  <c r="AT372"/>
  <c r="AS372"/>
  <c r="AQ372"/>
  <c r="AM372"/>
  <c r="AK372"/>
  <c r="AJ372"/>
  <c r="BP371"/>
  <c r="BM371"/>
  <c r="AO371"/>
  <c r="AR371"/>
  <c r="BP370"/>
  <c r="BM370"/>
  <c r="AO370"/>
  <c r="AR370"/>
  <c r="BP369"/>
  <c r="BM369"/>
  <c r="AO369"/>
  <c r="AR369"/>
  <c r="BP368"/>
  <c r="BM368"/>
  <c r="AO368"/>
  <c r="AR368"/>
  <c r="BP367"/>
  <c r="BM367"/>
  <c r="BM366"/>
  <c r="BP366"/>
  <c r="AR366"/>
  <c r="AO366"/>
  <c r="BM365"/>
  <c r="BP365"/>
  <c r="BP364"/>
  <c r="BM364"/>
  <c r="AO363"/>
  <c r="AR363"/>
  <c r="AR362"/>
  <c r="AO362"/>
  <c r="AO361"/>
  <c r="AR361"/>
  <c r="AR360"/>
  <c r="AO360"/>
  <c r="AO358"/>
  <c r="AR358"/>
  <c r="BR357"/>
  <c r="BQ357"/>
  <c r="BO357"/>
  <c r="BJ357"/>
  <c r="BI357"/>
  <c r="BH357"/>
  <c r="AR357"/>
  <c r="AO357"/>
  <c r="BM356"/>
  <c r="BP356"/>
  <c r="AR356"/>
  <c r="AO356"/>
  <c r="BM355"/>
  <c r="BP355"/>
  <c r="AR355"/>
  <c r="AO355"/>
  <c r="BM354"/>
  <c r="BP354"/>
  <c r="AR354"/>
  <c r="AO354"/>
  <c r="BM353"/>
  <c r="BP353"/>
  <c r="AR353"/>
  <c r="AO353"/>
  <c r="BM352"/>
  <c r="BP352"/>
  <c r="BP351"/>
  <c r="BM351"/>
  <c r="AO351"/>
  <c r="AR351"/>
  <c r="BP350"/>
  <c r="BM350"/>
  <c r="AO350"/>
  <c r="AR350"/>
  <c r="BP349"/>
  <c r="BM349"/>
  <c r="AO349"/>
  <c r="AR349"/>
  <c r="BP348"/>
  <c r="BM348"/>
  <c r="AO348"/>
  <c r="AR348"/>
  <c r="BP347"/>
  <c r="BM347"/>
  <c r="AR347"/>
  <c r="AO347"/>
  <c r="BM346"/>
  <c r="BP346"/>
  <c r="AR346"/>
  <c r="AO346"/>
  <c r="BM345"/>
  <c r="BP345"/>
  <c r="AO345"/>
  <c r="AR345"/>
  <c r="BP344"/>
  <c r="BM344"/>
  <c r="AO344"/>
  <c r="AR344"/>
  <c r="BP343"/>
  <c r="BM343"/>
  <c r="AR343"/>
  <c r="AO343"/>
  <c r="BM342"/>
  <c r="BP342"/>
  <c r="BP341"/>
  <c r="BM341"/>
  <c r="BM340"/>
  <c r="BP340"/>
  <c r="AR340"/>
  <c r="AO340"/>
  <c r="AR413"/>
  <c r="AR414"/>
  <c r="AY392"/>
  <c r="AY393"/>
  <c r="AY391"/>
  <c r="AY389"/>
  <c r="AY390"/>
  <c r="BP396"/>
  <c r="BP397"/>
  <c r="BW374"/>
  <c r="BW378"/>
  <c r="BM396"/>
  <c r="BW375"/>
  <c r="AO413"/>
  <c r="BW377"/>
  <c r="BW376"/>
  <c r="BM339"/>
  <c r="BP339"/>
  <c r="AR339"/>
  <c r="AO339"/>
  <c r="BM338"/>
  <c r="BP338"/>
  <c r="AR338"/>
  <c r="AO338"/>
  <c r="BP337"/>
  <c r="BM337"/>
  <c r="AO337"/>
  <c r="AR337"/>
  <c r="C337"/>
  <c r="BM336"/>
  <c r="BP336"/>
  <c r="BP335"/>
  <c r="BM335"/>
  <c r="AO335"/>
  <c r="AR335"/>
  <c r="BM334"/>
  <c r="BP334"/>
  <c r="AR334"/>
  <c r="AO334"/>
  <c r="BM333"/>
  <c r="BP333"/>
  <c r="AR333"/>
  <c r="AO333"/>
  <c r="BM332"/>
  <c r="BP332"/>
  <c r="BP331"/>
  <c r="BM331"/>
  <c r="BM330"/>
  <c r="BP330"/>
  <c r="BP329"/>
  <c r="BM329"/>
  <c r="BM328"/>
  <c r="BP328"/>
  <c r="R328"/>
  <c r="BM327"/>
  <c r="BP327"/>
  <c r="AT327"/>
  <c r="AQ327"/>
  <c r="AM327"/>
  <c r="AK327"/>
  <c r="AJ327"/>
  <c r="BM326"/>
  <c r="BP326"/>
  <c r="AR326"/>
  <c r="AO326"/>
  <c r="BM325"/>
  <c r="BP325"/>
  <c r="AR325"/>
  <c r="AO325"/>
  <c r="BM324"/>
  <c r="BM357"/>
  <c r="AR324"/>
  <c r="AO324"/>
  <c r="AO322"/>
  <c r="AR322"/>
  <c r="AR321"/>
  <c r="AO321"/>
  <c r="AR320"/>
  <c r="AO320"/>
  <c r="BR319"/>
  <c r="BQ319"/>
  <c r="BO319"/>
  <c r="BK319"/>
  <c r="BI319"/>
  <c r="BH319"/>
  <c r="AO319"/>
  <c r="AR319"/>
  <c r="BP318"/>
  <c r="BM318"/>
  <c r="BM317"/>
  <c r="BP317"/>
  <c r="AR317"/>
  <c r="AO317"/>
  <c r="BM316"/>
  <c r="BP316"/>
  <c r="BP315"/>
  <c r="BM315"/>
  <c r="AO315"/>
  <c r="AR315"/>
  <c r="BP314"/>
  <c r="BM314"/>
  <c r="BM313"/>
  <c r="BP313"/>
  <c r="AR313"/>
  <c r="AO313"/>
  <c r="BM312"/>
  <c r="BP312"/>
  <c r="BP311"/>
  <c r="BM311"/>
  <c r="AR311"/>
  <c r="AO311"/>
  <c r="BM310"/>
  <c r="BP310"/>
  <c r="AR310"/>
  <c r="AO310"/>
  <c r="BM309"/>
  <c r="BP309"/>
  <c r="AO309"/>
  <c r="AR309"/>
  <c r="BP308"/>
  <c r="BM308"/>
  <c r="AO308"/>
  <c r="AR308"/>
  <c r="BP307"/>
  <c r="BM307"/>
  <c r="AR307"/>
  <c r="AO307"/>
  <c r="BM306"/>
  <c r="BP306"/>
  <c r="AR306"/>
  <c r="AO306"/>
  <c r="BM305"/>
  <c r="BP305"/>
  <c r="AR305"/>
  <c r="AO305"/>
  <c r="BM304"/>
  <c r="BP304"/>
  <c r="AR304"/>
  <c r="AO304"/>
  <c r="BM303"/>
  <c r="BP303"/>
  <c r="AR303"/>
  <c r="AO303"/>
  <c r="BM302"/>
  <c r="BP302"/>
  <c r="AR302"/>
  <c r="AO302"/>
  <c r="AY347"/>
  <c r="AY343"/>
  <c r="AY346"/>
  <c r="AY342"/>
  <c r="AR372"/>
  <c r="AY344"/>
  <c r="AY345"/>
  <c r="AO372"/>
  <c r="BP324"/>
  <c r="BP301"/>
  <c r="BM301"/>
  <c r="AR301"/>
  <c r="AO301"/>
  <c r="AO327"/>
  <c r="BP300"/>
  <c r="BM300"/>
  <c r="BP299"/>
  <c r="BM299"/>
  <c r="BM298"/>
  <c r="BP298"/>
  <c r="BP297"/>
  <c r="BM297"/>
  <c r="BP296"/>
  <c r="BM296"/>
  <c r="AT296"/>
  <c r="AS296"/>
  <c r="AQ296"/>
  <c r="AM296"/>
  <c r="AL296"/>
  <c r="AK296"/>
  <c r="AJ296"/>
  <c r="BP295"/>
  <c r="BM295"/>
  <c r="AO295"/>
  <c r="AR295"/>
  <c r="BP294"/>
  <c r="BM294"/>
  <c r="AO294"/>
  <c r="AR294"/>
  <c r="BP293"/>
  <c r="BM293"/>
  <c r="BM292"/>
  <c r="BP292"/>
  <c r="AR292"/>
  <c r="AO292"/>
  <c r="BM291"/>
  <c r="BP291"/>
  <c r="BW300"/>
  <c r="BP290"/>
  <c r="BM290"/>
  <c r="AO290"/>
  <c r="AR290"/>
  <c r="BP289"/>
  <c r="BM289"/>
  <c r="AO289"/>
  <c r="AR289"/>
  <c r="BP288"/>
  <c r="BM288"/>
  <c r="AO288"/>
  <c r="AR288"/>
  <c r="BP287"/>
  <c r="BM287"/>
  <c r="AO287"/>
  <c r="AR287"/>
  <c r="AR286"/>
  <c r="AO286"/>
  <c r="AO285"/>
  <c r="AR285"/>
  <c r="AR284"/>
  <c r="AO284"/>
  <c r="AO283"/>
  <c r="AR283"/>
  <c r="AR282"/>
  <c r="AO282"/>
  <c r="BR281"/>
  <c r="BO281"/>
  <c r="AR281"/>
  <c r="AO281"/>
  <c r="BI280"/>
  <c r="BH280"/>
  <c r="BP357"/>
  <c r="BP358"/>
  <c r="BW337"/>
  <c r="BW338"/>
  <c r="BW336"/>
  <c r="BW334"/>
  <c r="BW335"/>
  <c r="BP319"/>
  <c r="BP320"/>
  <c r="BW296"/>
  <c r="BW299"/>
  <c r="AR373"/>
  <c r="AY311"/>
  <c r="AY307"/>
  <c r="AR327"/>
  <c r="AR328"/>
  <c r="AY309"/>
  <c r="AY308"/>
  <c r="AY312"/>
  <c r="AY310"/>
  <c r="BW297"/>
  <c r="BM319"/>
  <c r="BW298"/>
  <c r="AO280"/>
  <c r="AR280"/>
  <c r="BP279"/>
  <c r="BM279"/>
  <c r="AR279"/>
  <c r="AO279"/>
  <c r="BP278"/>
  <c r="BM278"/>
  <c r="AR278"/>
  <c r="AO278"/>
  <c r="BM277"/>
  <c r="BP277"/>
  <c r="AR277"/>
  <c r="AO277"/>
  <c r="BP276"/>
  <c r="BM276"/>
  <c r="AO276"/>
  <c r="AR276"/>
  <c r="BP275"/>
  <c r="BM275"/>
  <c r="AR275"/>
  <c r="AO275"/>
  <c r="BP274"/>
  <c r="BM274"/>
  <c r="AR274"/>
  <c r="AO274"/>
  <c r="BP273"/>
  <c r="BM273"/>
  <c r="AR273"/>
  <c r="AO273"/>
  <c r="BP272"/>
  <c r="BM272"/>
  <c r="AR272"/>
  <c r="AO272"/>
  <c r="BP271"/>
  <c r="BM271"/>
  <c r="AR271"/>
  <c r="AO271"/>
  <c r="BP270"/>
  <c r="BM270"/>
  <c r="AR270"/>
  <c r="AO270"/>
  <c r="BP269"/>
  <c r="BM269"/>
  <c r="AR269"/>
  <c r="AO269"/>
  <c r="BP268"/>
  <c r="BM268"/>
  <c r="AR268"/>
  <c r="AO268"/>
  <c r="BP267"/>
  <c r="BM267"/>
  <c r="AR267"/>
  <c r="AO267"/>
  <c r="BP266"/>
  <c r="BM266"/>
  <c r="AR266"/>
  <c r="AO266"/>
  <c r="BP265"/>
  <c r="BM265"/>
  <c r="AR265"/>
  <c r="AO265"/>
  <c r="BP264"/>
  <c r="BM264"/>
  <c r="AR264"/>
  <c r="AO264"/>
  <c r="AR296"/>
  <c r="AR297"/>
  <c r="AO296"/>
  <c r="AY276"/>
  <c r="AY275"/>
  <c r="AY279"/>
  <c r="AY278"/>
  <c r="AY277"/>
  <c r="BM263"/>
  <c r="BP263"/>
  <c r="BM262"/>
  <c r="BP262"/>
  <c r="BM261"/>
  <c r="BP261"/>
  <c r="BP260"/>
  <c r="BM260"/>
  <c r="BP259"/>
  <c r="BM259"/>
  <c r="AT259"/>
  <c r="AS259"/>
  <c r="AQ259"/>
  <c r="AM259"/>
  <c r="AL259"/>
  <c r="AK259"/>
  <c r="AJ259"/>
  <c r="BP258"/>
  <c r="BM258"/>
  <c r="AO258"/>
  <c r="AR258"/>
  <c r="BP257"/>
  <c r="BM257"/>
  <c r="AO257"/>
  <c r="AR257"/>
  <c r="BP256"/>
  <c r="BM256"/>
  <c r="AO256"/>
  <c r="AR256"/>
  <c r="AR255"/>
  <c r="AO255"/>
  <c r="BM254"/>
  <c r="BP254"/>
  <c r="AR254"/>
  <c r="AO254"/>
  <c r="BM253"/>
  <c r="BP253"/>
  <c r="AR253"/>
  <c r="AO253"/>
  <c r="BM252"/>
  <c r="BP252"/>
  <c r="AR252"/>
  <c r="AO252"/>
  <c r="BM251"/>
  <c r="BP251"/>
  <c r="AR251"/>
  <c r="AO251"/>
  <c r="BM250"/>
  <c r="BP250"/>
  <c r="AR250"/>
  <c r="AO250"/>
  <c r="AO249"/>
  <c r="AR249"/>
  <c r="BP248"/>
  <c r="BM248"/>
  <c r="AO248"/>
  <c r="AR248"/>
  <c r="BP247"/>
  <c r="BM247"/>
  <c r="AO247"/>
  <c r="AR247"/>
  <c r="BP246"/>
  <c r="BM246"/>
  <c r="AO246"/>
  <c r="AR246"/>
  <c r="BP245"/>
  <c r="BM245"/>
  <c r="AO245"/>
  <c r="AR245"/>
  <c r="AR244"/>
  <c r="AO244"/>
  <c r="AO243"/>
  <c r="AR243"/>
  <c r="BW260"/>
  <c r="BW259"/>
  <c r="BW258"/>
  <c r="BP281"/>
  <c r="BP282"/>
  <c r="BW261"/>
  <c r="BW262"/>
  <c r="BM280"/>
  <c r="BQ262"/>
  <c r="BQ281"/>
  <c r="AR242"/>
  <c r="AO242"/>
  <c r="AR241"/>
  <c r="AO241"/>
  <c r="DR240"/>
  <c r="DQ240"/>
  <c r="DJ240"/>
  <c r="DI240"/>
  <c r="DG240"/>
  <c r="BR240"/>
  <c r="BO240"/>
  <c r="BJ240"/>
  <c r="BI240"/>
  <c r="AO240"/>
  <c r="AR240"/>
  <c r="DM239"/>
  <c r="BP239"/>
  <c r="BM239"/>
  <c r="AR239"/>
  <c r="AO239"/>
  <c r="DM238"/>
  <c r="BM238"/>
  <c r="BP238"/>
  <c r="AO238"/>
  <c r="AR238"/>
  <c r="DM237"/>
  <c r="BP237"/>
  <c r="BM237"/>
  <c r="AR237"/>
  <c r="AO237"/>
  <c r="DM236"/>
  <c r="BM236"/>
  <c r="BP236"/>
  <c r="AR236"/>
  <c r="AO236"/>
  <c r="DM235"/>
  <c r="BP235"/>
  <c r="BM235"/>
  <c r="AO235"/>
  <c r="AR235"/>
  <c r="DM234"/>
  <c r="BP234"/>
  <c r="BM234"/>
  <c r="AO234"/>
  <c r="AR234"/>
  <c r="BP233"/>
  <c r="BM233"/>
  <c r="AO233"/>
  <c r="AR233"/>
  <c r="DM232"/>
  <c r="BM232"/>
  <c r="BP232"/>
  <c r="AR232"/>
  <c r="AO232"/>
  <c r="DM231"/>
  <c r="BM231"/>
  <c r="BP231"/>
  <c r="AR231"/>
  <c r="AO231"/>
  <c r="DM230"/>
  <c r="BP230"/>
  <c r="BM230"/>
  <c r="AO230"/>
  <c r="AR230"/>
  <c r="BP229"/>
  <c r="BM229"/>
  <c r="AO229"/>
  <c r="AR229"/>
  <c r="BP228"/>
  <c r="BM228"/>
  <c r="AO228"/>
  <c r="AR228"/>
  <c r="BP227"/>
  <c r="BM227"/>
  <c r="AO227"/>
  <c r="AR227"/>
  <c r="BP226"/>
  <c r="BM226"/>
  <c r="BM225"/>
  <c r="BP225"/>
  <c r="BP224"/>
  <c r="BM224"/>
  <c r="AR259"/>
  <c r="AR260"/>
  <c r="AY241"/>
  <c r="AY239"/>
  <c r="AY240"/>
  <c r="AY238"/>
  <c r="AY237"/>
  <c r="AO259"/>
  <c r="BP223"/>
  <c r="BM223"/>
  <c r="BM222"/>
  <c r="BP222"/>
  <c r="BP221"/>
  <c r="BM221"/>
  <c r="BP220"/>
  <c r="BM220"/>
  <c r="AT220"/>
  <c r="AQ220"/>
  <c r="AM220"/>
  <c r="AL220"/>
  <c r="AK220"/>
  <c r="AJ220"/>
  <c r="BP219"/>
  <c r="BW221"/>
  <c r="BM219"/>
  <c r="AO219"/>
  <c r="AR219"/>
  <c r="BP218"/>
  <c r="BM218"/>
  <c r="AR218"/>
  <c r="AO218"/>
  <c r="BP217"/>
  <c r="BM217"/>
  <c r="AR217"/>
  <c r="AO217"/>
  <c r="BP216"/>
  <c r="BM216"/>
  <c r="AR216"/>
  <c r="AO216"/>
  <c r="BP215"/>
  <c r="BM215"/>
  <c r="AR215"/>
  <c r="AO215"/>
  <c r="BP214"/>
  <c r="BM214"/>
  <c r="AR214"/>
  <c r="AO214"/>
  <c r="BP213"/>
  <c r="BM213"/>
  <c r="AR213"/>
  <c r="AO213"/>
  <c r="BP212"/>
  <c r="BM212"/>
  <c r="AR212"/>
  <c r="AO212"/>
  <c r="AR211"/>
  <c r="AO211"/>
  <c r="AR210"/>
  <c r="AO210"/>
  <c r="AR209"/>
  <c r="AO209"/>
  <c r="AR208"/>
  <c r="AO208"/>
  <c r="AO207"/>
  <c r="AR207"/>
  <c r="BR206"/>
  <c r="BQ206"/>
  <c r="BO206"/>
  <c r="BK206"/>
  <c r="BJ206"/>
  <c r="BI206"/>
  <c r="BH206"/>
  <c r="BW218"/>
  <c r="BW219"/>
  <c r="BW220"/>
  <c r="BP240"/>
  <c r="BP241"/>
  <c r="BW222"/>
  <c r="BM240"/>
  <c r="AR206"/>
  <c r="AO206"/>
  <c r="S206"/>
  <c r="BP205"/>
  <c r="BM205"/>
  <c r="AO205"/>
  <c r="AR205"/>
  <c r="BP204"/>
  <c r="BM204"/>
  <c r="AR204"/>
  <c r="AO204"/>
  <c r="BP203"/>
  <c r="BM203"/>
  <c r="BP202"/>
  <c r="BM202"/>
  <c r="AR202"/>
  <c r="AO202"/>
  <c r="D202"/>
  <c r="BM201"/>
  <c r="BP201"/>
  <c r="AR201"/>
  <c r="AO201"/>
  <c r="BP200"/>
  <c r="BM200"/>
  <c r="AR200"/>
  <c r="AO200"/>
  <c r="BP199"/>
  <c r="BM199"/>
  <c r="AR199"/>
  <c r="AO199"/>
  <c r="BP198"/>
  <c r="BM198"/>
  <c r="AR198"/>
  <c r="AO198"/>
  <c r="BP197"/>
  <c r="BM197"/>
  <c r="AR197"/>
  <c r="AO197"/>
  <c r="BP196"/>
  <c r="BM196"/>
  <c r="AR196"/>
  <c r="AO196"/>
  <c r="BP195"/>
  <c r="BM195"/>
  <c r="AR195"/>
  <c r="AO195"/>
  <c r="BP194"/>
  <c r="BM194"/>
  <c r="AO194"/>
  <c r="AR194"/>
  <c r="BP193"/>
  <c r="BM193"/>
  <c r="AO193"/>
  <c r="AR193"/>
  <c r="BM192"/>
  <c r="BP192"/>
  <c r="AR192"/>
  <c r="AO192"/>
  <c r="BP191"/>
  <c r="BM191"/>
  <c r="AR191"/>
  <c r="AO191"/>
  <c r="BP190"/>
  <c r="BM190"/>
  <c r="AO190"/>
  <c r="AR190"/>
  <c r="BP189"/>
  <c r="BM189"/>
  <c r="AR189"/>
  <c r="AO189"/>
  <c r="BM188"/>
  <c r="BP188"/>
  <c r="BP187"/>
  <c r="BM187"/>
  <c r="BP186"/>
  <c r="BV190"/>
  <c r="BM186"/>
  <c r="BP185"/>
  <c r="BM185"/>
  <c r="BP184"/>
  <c r="BV189"/>
  <c r="BM184"/>
  <c r="AT184"/>
  <c r="AQ184"/>
  <c r="AM184"/>
  <c r="AK184"/>
  <c r="AJ184"/>
  <c r="BP183"/>
  <c r="BM183"/>
  <c r="AR183"/>
  <c r="AO183"/>
  <c r="BP182"/>
  <c r="BM182"/>
  <c r="AR182"/>
  <c r="AO182"/>
  <c r="BP181"/>
  <c r="BM181"/>
  <c r="AR181"/>
  <c r="AO181"/>
  <c r="AR180"/>
  <c r="AO180"/>
  <c r="AR179"/>
  <c r="AO179"/>
  <c r="AR178"/>
  <c r="AO178"/>
  <c r="AR177"/>
  <c r="AO177"/>
  <c r="BR176"/>
  <c r="BQ176"/>
  <c r="BO176"/>
  <c r="BK176"/>
  <c r="BJ176"/>
  <c r="BI176"/>
  <c r="BH176"/>
  <c r="AR176"/>
  <c r="AO176"/>
  <c r="BP175"/>
  <c r="BM175"/>
  <c r="AR175"/>
  <c r="AO175"/>
  <c r="BP174"/>
  <c r="BM174"/>
  <c r="AR174"/>
  <c r="AO174"/>
  <c r="AR173"/>
  <c r="AO173"/>
  <c r="BP172"/>
  <c r="BM172"/>
  <c r="AR172"/>
  <c r="AO172"/>
  <c r="BP171"/>
  <c r="BM171"/>
  <c r="AR171"/>
  <c r="AO171"/>
  <c r="BP170"/>
  <c r="BM170"/>
  <c r="AR170"/>
  <c r="AO170"/>
  <c r="BP169"/>
  <c r="BM169"/>
  <c r="AR169"/>
  <c r="AO169"/>
  <c r="BP168"/>
  <c r="BM168"/>
  <c r="BP167"/>
  <c r="BM167"/>
  <c r="AR220"/>
  <c r="AY205"/>
  <c r="AY201"/>
  <c r="AY203"/>
  <c r="AY204"/>
  <c r="AY202"/>
  <c r="BV187"/>
  <c r="BP206"/>
  <c r="BP207"/>
  <c r="BV188"/>
  <c r="BM206"/>
  <c r="BV191"/>
  <c r="AO220"/>
  <c r="AO167"/>
  <c r="AR167"/>
  <c r="BP166"/>
  <c r="BM166"/>
  <c r="AR166"/>
  <c r="AO166"/>
  <c r="C166"/>
  <c r="BM165"/>
  <c r="BP165"/>
  <c r="AR165"/>
  <c r="AO165"/>
  <c r="BP164"/>
  <c r="BM164"/>
  <c r="AO164"/>
  <c r="AR164"/>
  <c r="BP163"/>
  <c r="BM163"/>
  <c r="AR163"/>
  <c r="AO163"/>
  <c r="BP162"/>
  <c r="BM162"/>
  <c r="AR162"/>
  <c r="AO162"/>
  <c r="BM161"/>
  <c r="BP161"/>
  <c r="AR161"/>
  <c r="AO161"/>
  <c r="BM160"/>
  <c r="BP160"/>
  <c r="AR221"/>
  <c r="BP159"/>
  <c r="BM159"/>
  <c r="AO159"/>
  <c r="AR159"/>
  <c r="BM158"/>
  <c r="BP158"/>
  <c r="AR158"/>
  <c r="AO158"/>
  <c r="BM157"/>
  <c r="BP157"/>
  <c r="AR157"/>
  <c r="AO157"/>
  <c r="BP156"/>
  <c r="BM156"/>
  <c r="AO156"/>
  <c r="AR156"/>
  <c r="BP155"/>
  <c r="BM155"/>
  <c r="AO155"/>
  <c r="AR155"/>
  <c r="BM154"/>
  <c r="BP154"/>
  <c r="AR154"/>
  <c r="AO154"/>
  <c r="BM153"/>
  <c r="BP153"/>
  <c r="AR153"/>
  <c r="AO153"/>
  <c r="BM152"/>
  <c r="BP152"/>
  <c r="AR152"/>
  <c r="AO152"/>
  <c r="BM151"/>
  <c r="BP151"/>
  <c r="BP150"/>
  <c r="BM150"/>
  <c r="BM149"/>
  <c r="BP149"/>
  <c r="AT146"/>
  <c r="AQ146"/>
  <c r="AM146"/>
  <c r="AK146"/>
  <c r="AJ146"/>
  <c r="AO145"/>
  <c r="AR145"/>
  <c r="BR144"/>
  <c r="BO144"/>
  <c r="BK144"/>
  <c r="BI144"/>
  <c r="AO144"/>
  <c r="AR144"/>
  <c r="BP143"/>
  <c r="BM143"/>
  <c r="BL143"/>
  <c r="AO143"/>
  <c r="AR143"/>
  <c r="BP142"/>
  <c r="BM142"/>
  <c r="BL142"/>
  <c r="AR142"/>
  <c r="AO142"/>
  <c r="BL141"/>
  <c r="BM141"/>
  <c r="BP141"/>
  <c r="AR141"/>
  <c r="AO141"/>
  <c r="BM140"/>
  <c r="BP140"/>
  <c r="BL140"/>
  <c r="AR140"/>
  <c r="AO140"/>
  <c r="BP139"/>
  <c r="BM139"/>
  <c r="BL139"/>
  <c r="AO139"/>
  <c r="AR139"/>
  <c r="BP138"/>
  <c r="BM138"/>
  <c r="BL138"/>
  <c r="BP137"/>
  <c r="BM137"/>
  <c r="BL137"/>
  <c r="AO137"/>
  <c r="AR137"/>
  <c r="BP136"/>
  <c r="BM136"/>
  <c r="BL136"/>
  <c r="AR136"/>
  <c r="AO136"/>
  <c r="BL135"/>
  <c r="BM135"/>
  <c r="BP135"/>
  <c r="AR135"/>
  <c r="AO135"/>
  <c r="BM134"/>
  <c r="BP134"/>
  <c r="BL134"/>
  <c r="AR134"/>
  <c r="AO134"/>
  <c r="BP133"/>
  <c r="BM133"/>
  <c r="BL133"/>
  <c r="AO133"/>
  <c r="AR133"/>
  <c r="BP132"/>
  <c r="BM132"/>
  <c r="BL132"/>
  <c r="AR132"/>
  <c r="AO132"/>
  <c r="BL131"/>
  <c r="BM131"/>
  <c r="BP131"/>
  <c r="AR131"/>
  <c r="AO131"/>
  <c r="BM130"/>
  <c r="BP130"/>
  <c r="BL130"/>
  <c r="AR130"/>
  <c r="AO130"/>
  <c r="BP129"/>
  <c r="BM129"/>
  <c r="BL129"/>
  <c r="AR129"/>
  <c r="AO129"/>
  <c r="BL128"/>
  <c r="BM128"/>
  <c r="BP128"/>
  <c r="AO128"/>
  <c r="AR128"/>
  <c r="BP127"/>
  <c r="BM127"/>
  <c r="BL127"/>
  <c r="AR127"/>
  <c r="AO127"/>
  <c r="BL126"/>
  <c r="BM126"/>
  <c r="AO126"/>
  <c r="AR126"/>
  <c r="BP125"/>
  <c r="BM125"/>
  <c r="BL125"/>
  <c r="AR125"/>
  <c r="AO125"/>
  <c r="BL124"/>
  <c r="BM124"/>
  <c r="BP124"/>
  <c r="AO124"/>
  <c r="AR124"/>
  <c r="BP123"/>
  <c r="BM123"/>
  <c r="BL123"/>
  <c r="AO123"/>
  <c r="AR123"/>
  <c r="BL122"/>
  <c r="BM122"/>
  <c r="BP122"/>
  <c r="AR122"/>
  <c r="AO122"/>
  <c r="BL121"/>
  <c r="BM121"/>
  <c r="BP121"/>
  <c r="AR121"/>
  <c r="AO121"/>
  <c r="BM120"/>
  <c r="BP120"/>
  <c r="BL120"/>
  <c r="AR120"/>
  <c r="AO120"/>
  <c r="BP119"/>
  <c r="BM119"/>
  <c r="BL119"/>
  <c r="AO119"/>
  <c r="AR119"/>
  <c r="R119"/>
  <c r="BL118"/>
  <c r="BM118"/>
  <c r="BP118"/>
  <c r="AR118"/>
  <c r="AO118"/>
  <c r="BM117"/>
  <c r="BP117"/>
  <c r="BL117"/>
  <c r="AR117"/>
  <c r="AO117"/>
  <c r="BP116"/>
  <c r="BM116"/>
  <c r="BL116"/>
  <c r="AR116"/>
  <c r="AY128"/>
  <c r="AO116"/>
  <c r="BM115"/>
  <c r="BP115"/>
  <c r="BL115"/>
  <c r="AR115"/>
  <c r="AY129"/>
  <c r="AO115"/>
  <c r="BP114"/>
  <c r="BM114"/>
  <c r="BL114"/>
  <c r="BP113"/>
  <c r="BM113"/>
  <c r="BL113"/>
  <c r="BP112"/>
  <c r="BM112"/>
  <c r="BL112"/>
  <c r="BP111"/>
  <c r="BM111"/>
  <c r="BL111"/>
  <c r="BP110"/>
  <c r="BM110"/>
  <c r="BL110"/>
  <c r="BP109"/>
  <c r="BM109"/>
  <c r="BL109"/>
  <c r="AT109"/>
  <c r="AS109"/>
  <c r="AM109"/>
  <c r="AK109"/>
  <c r="AJ109"/>
  <c r="BM108"/>
  <c r="BP108"/>
  <c r="BL108"/>
  <c r="AO108"/>
  <c r="AR108"/>
  <c r="BP107"/>
  <c r="BM107"/>
  <c r="BL107"/>
  <c r="AO107"/>
  <c r="AR107"/>
  <c r="AR106"/>
  <c r="AO106"/>
  <c r="AO105"/>
  <c r="AR105"/>
  <c r="AR104"/>
  <c r="AO104"/>
  <c r="AR103"/>
  <c r="AO103"/>
  <c r="DP102"/>
  <c r="BR102"/>
  <c r="BO102"/>
  <c r="BI102"/>
  <c r="AR102"/>
  <c r="AO102"/>
  <c r="BM101"/>
  <c r="BP101"/>
  <c r="AR101"/>
  <c r="AO101"/>
  <c r="R101"/>
  <c r="BM100"/>
  <c r="BP100"/>
  <c r="AR100"/>
  <c r="AO100"/>
  <c r="BM99"/>
  <c r="BP99"/>
  <c r="AR99"/>
  <c r="AO99"/>
  <c r="BP98"/>
  <c r="BM98"/>
  <c r="AR98"/>
  <c r="AO98"/>
  <c r="DY97"/>
  <c r="DX97"/>
  <c r="DW97"/>
  <c r="DV97"/>
  <c r="DR97"/>
  <c r="DQ97"/>
  <c r="DO97"/>
  <c r="DK97"/>
  <c r="DJ97"/>
  <c r="DI97"/>
  <c r="DG97"/>
  <c r="BP97"/>
  <c r="BM97"/>
  <c r="AO97"/>
  <c r="AR97"/>
  <c r="DP96"/>
  <c r="DM96"/>
  <c r="BM96"/>
  <c r="BP96"/>
  <c r="AR96"/>
  <c r="AO96"/>
  <c r="DP95"/>
  <c r="BM95"/>
  <c r="BP95"/>
  <c r="AR95"/>
  <c r="AO95"/>
  <c r="DM94"/>
  <c r="DP94"/>
  <c r="BP94"/>
  <c r="BM94"/>
  <c r="AO94"/>
  <c r="AR94"/>
  <c r="DP93"/>
  <c r="DM93"/>
  <c r="BM93"/>
  <c r="BP93"/>
  <c r="AR93"/>
  <c r="AO93"/>
  <c r="DM92"/>
  <c r="DP92"/>
  <c r="BP92"/>
  <c r="BM92"/>
  <c r="AR92"/>
  <c r="AO92"/>
  <c r="DP91"/>
  <c r="DM91"/>
  <c r="BP91"/>
  <c r="BM91"/>
  <c r="AO91"/>
  <c r="AR91"/>
  <c r="DP90"/>
  <c r="DM90"/>
  <c r="BM90"/>
  <c r="BP90"/>
  <c r="AR90"/>
  <c r="AO90"/>
  <c r="C90"/>
  <c r="DP89"/>
  <c r="DM89"/>
  <c r="BP89"/>
  <c r="BM89"/>
  <c r="AO89"/>
  <c r="AR89"/>
  <c r="DM88"/>
  <c r="DP88"/>
  <c r="BP88"/>
  <c r="BM88"/>
  <c r="AO88"/>
  <c r="AR88"/>
  <c r="DM87"/>
  <c r="DP87"/>
  <c r="BP87"/>
  <c r="BM87"/>
  <c r="AO87"/>
  <c r="AR87"/>
  <c r="DM86"/>
  <c r="DP86"/>
  <c r="BP86"/>
  <c r="BM86"/>
  <c r="AO86"/>
  <c r="AR86"/>
  <c r="DP85"/>
  <c r="DM85"/>
  <c r="BM85"/>
  <c r="BP85"/>
  <c r="AR85"/>
  <c r="AO85"/>
  <c r="DP84"/>
  <c r="DM84"/>
  <c r="BP84"/>
  <c r="BM84"/>
  <c r="AR84"/>
  <c r="AO84"/>
  <c r="DP83"/>
  <c r="DM83"/>
  <c r="BP176"/>
  <c r="BP177"/>
  <c r="BW156"/>
  <c r="BW157"/>
  <c r="BW158"/>
  <c r="BW154"/>
  <c r="BW155"/>
  <c r="BP126"/>
  <c r="BP144"/>
  <c r="BP145"/>
  <c r="BM145"/>
  <c r="BM144"/>
  <c r="BW113"/>
  <c r="AO146"/>
  <c r="R195"/>
  <c r="BW115"/>
  <c r="AR146"/>
  <c r="AR184"/>
  <c r="AR185"/>
  <c r="AY165"/>
  <c r="AY162"/>
  <c r="AY166"/>
  <c r="AY163"/>
  <c r="AY164"/>
  <c r="BW111"/>
  <c r="BW114"/>
  <c r="BW116"/>
  <c r="AY124"/>
  <c r="AY126"/>
  <c r="AO184"/>
  <c r="AY125"/>
  <c r="AY127"/>
  <c r="BM176"/>
  <c r="BM83"/>
  <c r="BP83"/>
  <c r="AR83"/>
  <c r="AO83"/>
  <c r="DM82"/>
  <c r="DP82"/>
  <c r="BM82"/>
  <c r="BP82"/>
  <c r="AR82"/>
  <c r="AO82"/>
  <c r="DM81"/>
  <c r="DP81"/>
  <c r="BP81"/>
  <c r="BM81"/>
  <c r="AO81"/>
  <c r="AR81"/>
  <c r="DP80"/>
  <c r="DM80"/>
  <c r="BP80"/>
  <c r="BM80"/>
  <c r="AO80"/>
  <c r="AR80"/>
  <c r="BP79"/>
  <c r="BM79"/>
  <c r="AO79"/>
  <c r="AO109"/>
  <c r="BM78"/>
  <c r="BP78"/>
  <c r="BP77"/>
  <c r="BM77"/>
  <c r="BM76"/>
  <c r="BP76"/>
  <c r="R76"/>
  <c r="DR75"/>
  <c r="DQ75"/>
  <c r="DO75"/>
  <c r="DJ75"/>
  <c r="DI75"/>
  <c r="DG75"/>
  <c r="BM75"/>
  <c r="BP75"/>
  <c r="DP74"/>
  <c r="DM74"/>
  <c r="BM74"/>
  <c r="BP74"/>
  <c r="DM73"/>
  <c r="DP73"/>
  <c r="BP73"/>
  <c r="BM73"/>
  <c r="AT73"/>
  <c r="AS73"/>
  <c r="AQ73"/>
  <c r="AM73"/>
  <c r="AM465"/>
  <c r="AK73"/>
  <c r="AJ73"/>
  <c r="DP72"/>
  <c r="DM72"/>
  <c r="BM72"/>
  <c r="BP72"/>
  <c r="AR72"/>
  <c r="AO72"/>
  <c r="DM71"/>
  <c r="DP71"/>
  <c r="BP71"/>
  <c r="BM71"/>
  <c r="AO71"/>
  <c r="AR71"/>
  <c r="DM70"/>
  <c r="DP70"/>
  <c r="BP70"/>
  <c r="BM70"/>
  <c r="AO70"/>
  <c r="AR70"/>
  <c r="DP69"/>
  <c r="DX72"/>
  <c r="DM69"/>
  <c r="AO69"/>
  <c r="AR69"/>
  <c r="AR68"/>
  <c r="AO68"/>
  <c r="BK65"/>
  <c r="BJ65"/>
  <c r="BI65"/>
  <c r="BH65"/>
  <c r="BH759"/>
  <c r="AO65"/>
  <c r="AR65"/>
  <c r="DR64"/>
  <c r="DQ64"/>
  <c r="DK64"/>
  <c r="DJ64"/>
  <c r="DI64"/>
  <c r="DG64"/>
  <c r="DO63"/>
  <c r="AR63"/>
  <c r="AO63"/>
  <c r="DM62"/>
  <c r="DP62"/>
  <c r="AR62"/>
  <c r="AO62"/>
  <c r="DP61"/>
  <c r="AR61"/>
  <c r="AO61"/>
  <c r="DM60"/>
  <c r="DP60"/>
  <c r="AR60"/>
  <c r="AO60"/>
  <c r="DP59"/>
  <c r="BP102"/>
  <c r="BP103"/>
  <c r="DX74"/>
  <c r="BM102"/>
  <c r="BW78"/>
  <c r="DX71"/>
  <c r="DX73"/>
  <c r="DX75"/>
  <c r="BW112"/>
  <c r="DX84"/>
  <c r="DX89"/>
  <c r="DX88"/>
  <c r="DX85"/>
  <c r="DP97"/>
  <c r="DP98"/>
  <c r="DX87"/>
  <c r="DX86"/>
  <c r="BW79"/>
  <c r="BW81"/>
  <c r="DX70"/>
  <c r="DP75"/>
  <c r="DP76"/>
  <c r="BW82"/>
  <c r="AR79"/>
  <c r="BW80"/>
  <c r="AR147"/>
  <c r="DP58"/>
  <c r="DM58"/>
  <c r="DP57"/>
  <c r="DM57"/>
  <c r="AO57"/>
  <c r="AR57"/>
  <c r="DM56"/>
  <c r="DP56"/>
  <c r="DM55"/>
  <c r="DP55"/>
  <c r="AO55"/>
  <c r="AR55"/>
  <c r="AR52"/>
  <c r="AO52"/>
  <c r="AR49"/>
  <c r="AO49"/>
  <c r="DR48"/>
  <c r="DQ48"/>
  <c r="DK48"/>
  <c r="DJ48"/>
  <c r="DI48"/>
  <c r="DG48"/>
  <c r="AO48"/>
  <c r="AO73"/>
  <c r="DO47"/>
  <c r="DP46"/>
  <c r="DM46"/>
  <c r="DP45"/>
  <c r="DM45"/>
  <c r="BR45"/>
  <c r="BQ45"/>
  <c r="BO45"/>
  <c r="BK45"/>
  <c r="BK759"/>
  <c r="BJ45"/>
  <c r="BJ759"/>
  <c r="BI45"/>
  <c r="BI759"/>
  <c r="DP44"/>
  <c r="DM44"/>
  <c r="BM44"/>
  <c r="BP44"/>
  <c r="DP43"/>
  <c r="DM43"/>
  <c r="BP43"/>
  <c r="BM43"/>
  <c r="DM42"/>
  <c r="DP42"/>
  <c r="BM42"/>
  <c r="BP42"/>
  <c r="AT42"/>
  <c r="AQ42"/>
  <c r="AL42"/>
  <c r="AL465"/>
  <c r="AK42"/>
  <c r="AK465"/>
  <c r="AJ42"/>
  <c r="AJ465"/>
  <c r="DM41"/>
  <c r="DP41"/>
  <c r="BP41"/>
  <c r="BM41"/>
  <c r="AR41"/>
  <c r="AO41"/>
  <c r="BM40"/>
  <c r="BP40"/>
  <c r="AR40"/>
  <c r="AO40"/>
  <c r="DM39"/>
  <c r="DP39"/>
  <c r="BP39"/>
  <c r="BM39"/>
  <c r="AR39"/>
  <c r="AO39"/>
  <c r="DP38"/>
  <c r="DM38"/>
  <c r="BP38"/>
  <c r="BM38"/>
  <c r="AO38"/>
  <c r="AR38"/>
  <c r="DP37"/>
  <c r="BM37"/>
  <c r="BP37"/>
  <c r="AR37"/>
  <c r="AO37"/>
  <c r="DM36"/>
  <c r="DP36"/>
  <c r="BP36"/>
  <c r="BM36"/>
  <c r="AR36"/>
  <c r="AO36"/>
  <c r="DM35"/>
  <c r="DP35"/>
  <c r="BP35"/>
  <c r="BM35"/>
  <c r="AO35"/>
  <c r="AR35"/>
  <c r="DP34"/>
  <c r="DM34"/>
  <c r="BP34"/>
  <c r="BM34"/>
  <c r="AO34"/>
  <c r="AR34"/>
  <c r="DP33"/>
  <c r="DM33"/>
  <c r="BM33"/>
  <c r="BP33"/>
  <c r="AR33"/>
  <c r="AO33"/>
  <c r="C33"/>
  <c r="DP32"/>
  <c r="BM32"/>
  <c r="BP32"/>
  <c r="AR32"/>
  <c r="AO32"/>
  <c r="DM31"/>
  <c r="DP31"/>
  <c r="BP31"/>
  <c r="BM31"/>
  <c r="AO31"/>
  <c r="AR31"/>
  <c r="BM30"/>
  <c r="BP30"/>
  <c r="AR30"/>
  <c r="AO30"/>
  <c r="DM29"/>
  <c r="DP29"/>
  <c r="BP29"/>
  <c r="BM29"/>
  <c r="AO29"/>
  <c r="AR29"/>
  <c r="DP28"/>
  <c r="DM28"/>
  <c r="BP28"/>
  <c r="BM28"/>
  <c r="AO28"/>
  <c r="AR28"/>
  <c r="DP27"/>
  <c r="DM27"/>
  <c r="BM27"/>
  <c r="BP27"/>
  <c r="AR27"/>
  <c r="AO27"/>
  <c r="DM26"/>
  <c r="DP26"/>
  <c r="BM26"/>
  <c r="BP26"/>
  <c r="AR26"/>
  <c r="AO26"/>
  <c r="DM25"/>
  <c r="DP25"/>
  <c r="BP25"/>
  <c r="BM25"/>
  <c r="AO25"/>
  <c r="AR25"/>
  <c r="DP24"/>
  <c r="DM24"/>
  <c r="BP24"/>
  <c r="BM24"/>
  <c r="AO24"/>
  <c r="AR24"/>
  <c r="BM23"/>
  <c r="BP23"/>
  <c r="AR23"/>
  <c r="AO23"/>
  <c r="DM22"/>
  <c r="DP22"/>
  <c r="DP63"/>
  <c r="DP64"/>
  <c r="DX59"/>
  <c r="DX60"/>
  <c r="DX58"/>
  <c r="DX57"/>
  <c r="DX56"/>
  <c r="DX55"/>
  <c r="C257" i="30"/>
  <c r="AQ465" i="31"/>
  <c r="C255" i="30"/>
  <c r="B255"/>
  <c r="B258" s="1"/>
  <c r="J6" i="24" s="1"/>
  <c r="J14" s="1"/>
  <c r="AY92" i="31"/>
  <c r="AR109"/>
  <c r="AR110"/>
  <c r="AQ109"/>
  <c r="B257" i="30"/>
  <c r="AY91" i="31"/>
  <c r="AY89"/>
  <c r="AY88"/>
  <c r="AY87"/>
  <c r="AY90"/>
  <c r="C256" i="30"/>
  <c r="B256"/>
  <c r="AR48" i="31"/>
  <c r="BM22"/>
  <c r="BP22"/>
  <c r="AR22"/>
  <c r="AO22"/>
  <c r="DP21"/>
  <c r="DM21"/>
  <c r="BP21"/>
  <c r="BM21"/>
  <c r="AR73"/>
  <c r="AR74"/>
  <c r="AY54"/>
  <c r="AY56"/>
  <c r="AY58"/>
  <c r="AY57"/>
  <c r="AY55"/>
  <c r="AO21"/>
  <c r="AR21"/>
  <c r="DP20"/>
  <c r="DM20"/>
  <c r="BP20"/>
  <c r="BM20"/>
  <c r="DP19"/>
  <c r="DM19"/>
  <c r="BP19"/>
  <c r="BM19"/>
  <c r="AR19"/>
  <c r="AO19"/>
  <c r="DM18"/>
  <c r="DP18"/>
  <c r="BM18"/>
  <c r="BP18"/>
  <c r="AR18"/>
  <c r="AO18"/>
  <c r="DP17"/>
  <c r="DM17"/>
  <c r="BP17"/>
  <c r="BM17"/>
  <c r="AO17"/>
  <c r="AR17"/>
  <c r="DP16"/>
  <c r="DM16"/>
  <c r="BP16"/>
  <c r="BM16"/>
  <c r="AO16"/>
  <c r="AR16"/>
  <c r="DP15"/>
  <c r="DM15"/>
  <c r="BP15"/>
  <c r="BM15"/>
  <c r="AR15"/>
  <c r="AO15"/>
  <c r="DP14"/>
  <c r="DM14"/>
  <c r="BM14"/>
  <c r="BP14"/>
  <c r="AR14"/>
  <c r="AO14"/>
  <c r="DM13"/>
  <c r="DP13"/>
  <c r="BP13"/>
  <c r="BM13"/>
  <c r="AR13"/>
  <c r="AO13"/>
  <c r="DP12"/>
  <c r="DM12"/>
  <c r="BP12"/>
  <c r="BW18"/>
  <c r="BM12"/>
  <c r="AO12"/>
  <c r="AR12"/>
  <c r="DP11"/>
  <c r="DM11"/>
  <c r="AR11"/>
  <c r="AO11"/>
  <c r="DP10"/>
  <c r="DM10"/>
  <c r="CC10"/>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CC48"/>
  <c r="CC49"/>
  <c r="CC50"/>
  <c r="CC51"/>
  <c r="CC52"/>
  <c r="CC53"/>
  <c r="CC54"/>
  <c r="CC55"/>
  <c r="AR10"/>
  <c r="AO10"/>
  <c r="DM9"/>
  <c r="DP9"/>
  <c r="CC9"/>
  <c r="DP8"/>
  <c r="DM8"/>
  <c r="AR8"/>
  <c r="AO8"/>
  <c r="G45" i="24"/>
  <c r="G40"/>
  <c r="B22" i="27" s="1"/>
  <c r="B35" s="1"/>
  <c r="B48" s="1"/>
  <c r="B61" s="1"/>
  <c r="G39" i="24"/>
  <c r="J39" s="1"/>
  <c r="B8" i="27" s="1"/>
  <c r="G38" i="24"/>
  <c r="J38" s="1"/>
  <c r="B7" i="27" s="1"/>
  <c r="G37" i="24"/>
  <c r="B19" i="27" s="1"/>
  <c r="B32" s="1"/>
  <c r="G36" i="24"/>
  <c r="J36"/>
  <c r="G35"/>
  <c r="F41"/>
  <c r="G41"/>
  <c r="F33"/>
  <c r="J238" i="30"/>
  <c r="K238"/>
  <c r="P10"/>
  <c r="K237"/>
  <c r="J237"/>
  <c r="K236"/>
  <c r="J236"/>
  <c r="K235"/>
  <c r="J235"/>
  <c r="K234"/>
  <c r="J234"/>
  <c r="K233"/>
  <c r="J233"/>
  <c r="K232"/>
  <c r="J232"/>
  <c r="K231"/>
  <c r="J231"/>
  <c r="K230"/>
  <c r="J230"/>
  <c r="K228"/>
  <c r="J228"/>
  <c r="K227"/>
  <c r="J227"/>
  <c r="K226"/>
  <c r="J226"/>
  <c r="K225"/>
  <c r="J225"/>
  <c r="K224"/>
  <c r="J224"/>
  <c r="K223"/>
  <c r="J223"/>
  <c r="K222"/>
  <c r="J222"/>
  <c r="K221"/>
  <c r="J221"/>
  <c r="K220"/>
  <c r="J220"/>
  <c r="K219"/>
  <c r="J219"/>
  <c r="K218"/>
  <c r="J218"/>
  <c r="K217"/>
  <c r="J217"/>
  <c r="K216"/>
  <c r="J216"/>
  <c r="K215"/>
  <c r="J215"/>
  <c r="K214"/>
  <c r="J214"/>
  <c r="K211"/>
  <c r="J211"/>
  <c r="K210"/>
  <c r="J210"/>
  <c r="K209"/>
  <c r="J209"/>
  <c r="K208"/>
  <c r="J208"/>
  <c r="I202"/>
  <c r="J202"/>
  <c r="H202"/>
  <c r="J201"/>
  <c r="I201"/>
  <c r="H201"/>
  <c r="J200"/>
  <c r="I200"/>
  <c r="H200"/>
  <c r="J199"/>
  <c r="J203"/>
  <c r="F205"/>
  <c r="I199"/>
  <c r="I203"/>
  <c r="H199"/>
  <c r="H203"/>
  <c r="F204"/>
  <c r="J193"/>
  <c r="I193"/>
  <c r="H193"/>
  <c r="I192"/>
  <c r="J192"/>
  <c r="H192"/>
  <c r="J191"/>
  <c r="I191"/>
  <c r="H191"/>
  <c r="J190"/>
  <c r="I190"/>
  <c r="H190"/>
  <c r="J189"/>
  <c r="I189"/>
  <c r="H189"/>
  <c r="I188"/>
  <c r="J188"/>
  <c r="H188"/>
  <c r="J187"/>
  <c r="I187"/>
  <c r="H187"/>
  <c r="J186"/>
  <c r="I186"/>
  <c r="H186"/>
  <c r="J185"/>
  <c r="I185"/>
  <c r="H185"/>
  <c r="I184"/>
  <c r="J184"/>
  <c r="H184"/>
  <c r="J183"/>
  <c r="I183"/>
  <c r="H183"/>
  <c r="J182"/>
  <c r="I182"/>
  <c r="I194"/>
  <c r="H182"/>
  <c r="H194"/>
  <c r="F195"/>
  <c r="J176"/>
  <c r="I176"/>
  <c r="H176"/>
  <c r="J175"/>
  <c r="I175"/>
  <c r="H175"/>
  <c r="I174"/>
  <c r="J174"/>
  <c r="H174"/>
  <c r="J173"/>
  <c r="I173"/>
  <c r="H173"/>
  <c r="J172"/>
  <c r="I172"/>
  <c r="H172"/>
  <c r="J171"/>
  <c r="I171"/>
  <c r="H171"/>
  <c r="I170"/>
  <c r="J170"/>
  <c r="H170"/>
  <c r="J169"/>
  <c r="I169"/>
  <c r="H169"/>
  <c r="J168"/>
  <c r="I168"/>
  <c r="H168"/>
  <c r="J167"/>
  <c r="I167"/>
  <c r="H167"/>
  <c r="I166"/>
  <c r="J166"/>
  <c r="H166"/>
  <c r="J165"/>
  <c r="I165"/>
  <c r="H165"/>
  <c r="H177"/>
  <c r="F178"/>
  <c r="J164"/>
  <c r="I164"/>
  <c r="H164"/>
  <c r="J163"/>
  <c r="I163"/>
  <c r="I177"/>
  <c r="H163"/>
  <c r="I162"/>
  <c r="H162"/>
  <c r="J161"/>
  <c r="I161"/>
  <c r="H161"/>
  <c r="S150"/>
  <c r="R150"/>
  <c r="S149"/>
  <c r="R149"/>
  <c r="S148"/>
  <c r="R148"/>
  <c r="S147"/>
  <c r="R147"/>
  <c r="S146"/>
  <c r="R146"/>
  <c r="S145"/>
  <c r="R145"/>
  <c r="S144"/>
  <c r="R144"/>
  <c r="S143"/>
  <c r="R143"/>
  <c r="S142"/>
  <c r="R142"/>
  <c r="S141"/>
  <c r="R141"/>
  <c r="S140"/>
  <c r="R140"/>
  <c r="O139"/>
  <c r="N139"/>
  <c r="M139"/>
  <c r="L139"/>
  <c r="O138"/>
  <c r="N138"/>
  <c r="M138"/>
  <c r="L138"/>
  <c r="O137"/>
  <c r="N137"/>
  <c r="M137"/>
  <c r="L137"/>
  <c r="O136"/>
  <c r="N136"/>
  <c r="M136"/>
  <c r="L136"/>
  <c r="O135"/>
  <c r="N135"/>
  <c r="M135"/>
  <c r="L135"/>
  <c r="O134"/>
  <c r="N134"/>
  <c r="M134"/>
  <c r="L134"/>
  <c r="O133"/>
  <c r="N133"/>
  <c r="M133"/>
  <c r="L133"/>
  <c r="P132"/>
  <c r="O132"/>
  <c r="N132"/>
  <c r="M132"/>
  <c r="L132"/>
  <c r="O131"/>
  <c r="N131"/>
  <c r="M131"/>
  <c r="L131"/>
  <c r="P130"/>
  <c r="O130"/>
  <c r="N130"/>
  <c r="M130"/>
  <c r="L130"/>
  <c r="P129"/>
  <c r="O129"/>
  <c r="N129"/>
  <c r="M129"/>
  <c r="L129"/>
  <c r="O128"/>
  <c r="N128"/>
  <c r="M128"/>
  <c r="L128"/>
  <c r="O127"/>
  <c r="N127"/>
  <c r="M127"/>
  <c r="L127"/>
  <c r="O126"/>
  <c r="N126"/>
  <c r="M126"/>
  <c r="L126"/>
  <c r="O125"/>
  <c r="N125"/>
  <c r="M125"/>
  <c r="L125"/>
  <c r="P124"/>
  <c r="O124"/>
  <c r="N124"/>
  <c r="M124"/>
  <c r="L124"/>
  <c r="P123"/>
  <c r="O123"/>
  <c r="N123"/>
  <c r="M123"/>
  <c r="L123"/>
  <c r="P122"/>
  <c r="O122"/>
  <c r="N122"/>
  <c r="M122"/>
  <c r="L122"/>
  <c r="P121"/>
  <c r="O121"/>
  <c r="N121"/>
  <c r="M121"/>
  <c r="L121"/>
  <c r="O120"/>
  <c r="N120"/>
  <c r="M120"/>
  <c r="L120"/>
  <c r="P119"/>
  <c r="O119"/>
  <c r="N119"/>
  <c r="M119"/>
  <c r="L119"/>
  <c r="P118"/>
  <c r="O118"/>
  <c r="N118"/>
  <c r="M118"/>
  <c r="L118"/>
  <c r="P117"/>
  <c r="O117"/>
  <c r="N117"/>
  <c r="M117"/>
  <c r="L117"/>
  <c r="O116"/>
  <c r="N116"/>
  <c r="M116"/>
  <c r="L116"/>
  <c r="O115"/>
  <c r="N115"/>
  <c r="M115"/>
  <c r="L115"/>
  <c r="O113"/>
  <c r="N113"/>
  <c r="M113"/>
  <c r="P112"/>
  <c r="O112"/>
  <c r="N112"/>
  <c r="M112"/>
  <c r="L112"/>
  <c r="P111"/>
  <c r="O111"/>
  <c r="N111"/>
  <c r="M111"/>
  <c r="L111"/>
  <c r="O110"/>
  <c r="N110"/>
  <c r="M110"/>
  <c r="L110"/>
  <c r="J105"/>
  <c r="I105"/>
  <c r="J104"/>
  <c r="I104"/>
  <c r="J103"/>
  <c r="I103"/>
  <c r="J102"/>
  <c r="I102"/>
  <c r="J101"/>
  <c r="I101"/>
  <c r="J100"/>
  <c r="I100"/>
  <c r="J99"/>
  <c r="I99"/>
  <c r="J98"/>
  <c r="I98"/>
  <c r="J97"/>
  <c r="I97"/>
  <c r="J96"/>
  <c r="I96"/>
  <c r="J95"/>
  <c r="I95"/>
  <c r="J94"/>
  <c r="I94"/>
  <c r="E90"/>
  <c r="B90"/>
  <c r="J89"/>
  <c r="I89"/>
  <c r="J88"/>
  <c r="I88"/>
  <c r="J87"/>
  <c r="I87"/>
  <c r="G87"/>
  <c r="J86"/>
  <c r="I86"/>
  <c r="J85"/>
  <c r="I85"/>
  <c r="J84"/>
  <c r="I84"/>
  <c r="J83"/>
  <c r="I83"/>
  <c r="J82"/>
  <c r="I82"/>
  <c r="J81"/>
  <c r="I81"/>
  <c r="J80"/>
  <c r="I80"/>
  <c r="J79"/>
  <c r="I79"/>
  <c r="E75"/>
  <c r="J74"/>
  <c r="I74"/>
  <c r="J73"/>
  <c r="I73"/>
  <c r="J72"/>
  <c r="I72"/>
  <c r="G72"/>
  <c r="J71"/>
  <c r="I71"/>
  <c r="J70"/>
  <c r="I70"/>
  <c r="J69"/>
  <c r="I69"/>
  <c r="J68"/>
  <c r="I68"/>
  <c r="J67"/>
  <c r="I67"/>
  <c r="J66"/>
  <c r="I66"/>
  <c r="J65"/>
  <c r="I65"/>
  <c r="J64"/>
  <c r="I64"/>
  <c r="J63"/>
  <c r="I63"/>
  <c r="B59"/>
  <c r="H57"/>
  <c r="H56"/>
  <c r="H55"/>
  <c r="H54"/>
  <c r="H53"/>
  <c r="B49"/>
  <c r="H47"/>
  <c r="H46"/>
  <c r="H45"/>
  <c r="H44"/>
  <c r="H43"/>
  <c r="H42"/>
  <c r="H41"/>
  <c r="H40"/>
  <c r="H39"/>
  <c r="H38"/>
  <c r="H37"/>
  <c r="H36"/>
  <c r="B32"/>
  <c r="H30"/>
  <c r="H29"/>
  <c r="H28"/>
  <c r="H27"/>
  <c r="H26"/>
  <c r="H25"/>
  <c r="H24"/>
  <c r="H23"/>
  <c r="H22"/>
  <c r="H21"/>
  <c r="H20"/>
  <c r="H19"/>
  <c r="H18"/>
  <c r="S17"/>
  <c r="P17"/>
  <c r="H17"/>
  <c r="S16"/>
  <c r="P16"/>
  <c r="H16"/>
  <c r="S15"/>
  <c r="R15"/>
  <c r="P15"/>
  <c r="H15"/>
  <c r="S14"/>
  <c r="R14"/>
  <c r="P14"/>
  <c r="S13"/>
  <c r="P13"/>
  <c r="S12"/>
  <c r="P12"/>
  <c r="S11"/>
  <c r="P11"/>
  <c r="R10"/>
  <c r="R9"/>
  <c r="R17"/>
  <c r="P9"/>
  <c r="F9"/>
  <c r="P8"/>
  <c r="F8"/>
  <c r="F10"/>
  <c r="R7"/>
  <c r="R16"/>
  <c r="P7"/>
  <c r="F7"/>
  <c r="M45" i="24"/>
  <c r="N45" s="1"/>
  <c r="L45"/>
  <c r="F20" i="18"/>
  <c r="F33" s="1"/>
  <c r="F32" i="19" s="1"/>
  <c r="B21" i="27"/>
  <c r="I18" i="24"/>
  <c r="K41" i="27"/>
  <c r="I14" i="24"/>
  <c r="K28" i="27" s="1"/>
  <c r="K29" s="1"/>
  <c r="K30" s="1"/>
  <c r="I16" i="24"/>
  <c r="K31" i="27"/>
  <c r="F12" i="24"/>
  <c r="F13" s="1"/>
  <c r="E11"/>
  <c r="E13"/>
  <c r="D11"/>
  <c r="D10" s="1"/>
  <c r="J10"/>
  <c r="H34"/>
  <c r="F10"/>
  <c r="F11" s="1"/>
  <c r="E10"/>
  <c r="E12"/>
  <c r="D9"/>
  <c r="D8" s="1"/>
  <c r="F8"/>
  <c r="F9" s="1"/>
  <c r="E7"/>
  <c r="F6"/>
  <c r="F7"/>
  <c r="E6"/>
  <c r="E8" s="1"/>
  <c r="D7"/>
  <c r="D6" s="1"/>
  <c r="G6" s="1"/>
  <c r="O292" i="28"/>
  <c r="O296"/>
  <c r="R291"/>
  <c r="S292"/>
  <c r="O298"/>
  <c r="P291"/>
  <c r="Q292"/>
  <c r="O297"/>
  <c r="N291"/>
  <c r="T74"/>
  <c r="F42" i="24"/>
  <c r="I42"/>
  <c r="E20" i="18"/>
  <c r="E19" i="19"/>
  <c r="E91" s="1"/>
  <c r="E104" s="1"/>
  <c r="E31" i="35" s="1"/>
  <c r="D33" i="3" s="1"/>
  <c r="F19" i="18"/>
  <c r="F32"/>
  <c r="F45" s="1"/>
  <c r="F58" s="1"/>
  <c r="F71" s="1"/>
  <c r="F70" i="19" s="1"/>
  <c r="E19" i="18"/>
  <c r="F18"/>
  <c r="F17" i="19" s="1"/>
  <c r="F89" s="1"/>
  <c r="E18" i="18"/>
  <c r="F17"/>
  <c r="E17"/>
  <c r="E30" s="1"/>
  <c r="E29" i="19" s="1"/>
  <c r="E16" i="18"/>
  <c r="F15"/>
  <c r="F28" s="1"/>
  <c r="F27" i="19" s="1"/>
  <c r="F41" i="18"/>
  <c r="E15"/>
  <c r="F14"/>
  <c r="F13" i="19" s="1"/>
  <c r="F85" s="1"/>
  <c r="F98" s="1"/>
  <c r="F25" i="35" s="1"/>
  <c r="E27" i="3" s="1"/>
  <c r="E14" i="18"/>
  <c r="E27" s="1"/>
  <c r="F13"/>
  <c r="F26" s="1"/>
  <c r="F25" i="19" s="1"/>
  <c r="E13" i="18"/>
  <c r="E26" s="1"/>
  <c r="E39" s="1"/>
  <c r="F12"/>
  <c r="E12"/>
  <c r="E25" s="1"/>
  <c r="E24" i="19" s="1"/>
  <c r="F11" i="18"/>
  <c r="F10" i="19"/>
  <c r="F82" s="1"/>
  <c r="E11" i="18"/>
  <c r="E24" s="1"/>
  <c r="F10"/>
  <c r="E10"/>
  <c r="F9"/>
  <c r="F22" s="1"/>
  <c r="E9"/>
  <c r="E8" i="19" s="1"/>
  <c r="E80" s="1"/>
  <c r="F8" i="18"/>
  <c r="E8"/>
  <c r="E7" i="19"/>
  <c r="E79"/>
  <c r="B72" i="18"/>
  <c r="B71"/>
  <c r="B70"/>
  <c r="B69"/>
  <c r="B68"/>
  <c r="B67"/>
  <c r="B66"/>
  <c r="B65"/>
  <c r="B64"/>
  <c r="B63"/>
  <c r="B62"/>
  <c r="B61"/>
  <c r="B60"/>
  <c r="B59"/>
  <c r="B58"/>
  <c r="B57"/>
  <c r="B56"/>
  <c r="B55"/>
  <c r="B54"/>
  <c r="B53"/>
  <c r="B52"/>
  <c r="B51"/>
  <c r="B50"/>
  <c r="B49"/>
  <c r="B48"/>
  <c r="B47"/>
  <c r="B46"/>
  <c r="B45"/>
  <c r="B44"/>
  <c r="B43"/>
  <c r="B42"/>
  <c r="B41"/>
  <c r="B40"/>
  <c r="B39"/>
  <c r="B38"/>
  <c r="B37"/>
  <c r="B36"/>
  <c r="B35"/>
  <c r="B34"/>
  <c r="E33"/>
  <c r="E32" i="19" s="1"/>
  <c r="B33" i="18"/>
  <c r="E32"/>
  <c r="B32"/>
  <c r="F31"/>
  <c r="F44" s="1"/>
  <c r="B31"/>
  <c r="B30"/>
  <c r="B29"/>
  <c r="E28"/>
  <c r="B28"/>
  <c r="B27"/>
  <c r="B26"/>
  <c r="B25"/>
  <c r="F24"/>
  <c r="B24"/>
  <c r="B23"/>
  <c r="F35"/>
  <c r="F34" i="19" s="1"/>
  <c r="B22" i="18"/>
  <c r="B21"/>
  <c r="B20"/>
  <c r="B19"/>
  <c r="B18"/>
  <c r="B17"/>
  <c r="B16"/>
  <c r="B15"/>
  <c r="B14"/>
  <c r="B13"/>
  <c r="B12"/>
  <c r="B11"/>
  <c r="B10"/>
  <c r="B9"/>
  <c r="B8"/>
  <c r="F66" i="27"/>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B26"/>
  <c r="F25"/>
  <c r="F24"/>
  <c r="F23"/>
  <c r="F22"/>
  <c r="F21"/>
  <c r="F20"/>
  <c r="F19"/>
  <c r="F18"/>
  <c r="F17"/>
  <c r="F16"/>
  <c r="K15"/>
  <c r="K16"/>
  <c r="K17"/>
  <c r="K18" s="1"/>
  <c r="F15"/>
  <c r="F14"/>
  <c r="F13"/>
  <c r="F12"/>
  <c r="F11"/>
  <c r="F10"/>
  <c r="F9"/>
  <c r="F8"/>
  <c r="F7"/>
  <c r="F6"/>
  <c r="F5"/>
  <c r="F4"/>
  <c r="F3"/>
  <c r="F2"/>
  <c r="B39"/>
  <c r="B52" s="1"/>
  <c r="I649" i="26"/>
  <c r="H649"/>
  <c r="G649"/>
  <c r="F649"/>
  <c r="E649"/>
  <c r="C649"/>
  <c r="B649"/>
  <c r="I648"/>
  <c r="H648"/>
  <c r="G648"/>
  <c r="F648"/>
  <c r="E648"/>
  <c r="C648"/>
  <c r="B648"/>
  <c r="I647"/>
  <c r="H647"/>
  <c r="G647"/>
  <c r="F647"/>
  <c r="E647"/>
  <c r="C647"/>
  <c r="B647"/>
  <c r="I646"/>
  <c r="H646"/>
  <c r="G646"/>
  <c r="F646"/>
  <c r="E646"/>
  <c r="C646"/>
  <c r="B646"/>
  <c r="I645"/>
  <c r="H645"/>
  <c r="G645"/>
  <c r="F645"/>
  <c r="E645"/>
  <c r="C645"/>
  <c r="B645"/>
  <c r="J643"/>
  <c r="J642"/>
  <c r="J641"/>
  <c r="J640"/>
  <c r="J639"/>
  <c r="J637"/>
  <c r="J635"/>
  <c r="J634"/>
  <c r="J633"/>
  <c r="J632"/>
  <c r="J631"/>
  <c r="J630"/>
  <c r="J629"/>
  <c r="J628"/>
  <c r="J627"/>
  <c r="J626"/>
  <c r="J625"/>
  <c r="J624"/>
  <c r="J623"/>
  <c r="J622"/>
  <c r="J621"/>
  <c r="J620"/>
  <c r="J619"/>
  <c r="J618"/>
  <c r="J617"/>
  <c r="J616"/>
  <c r="J615"/>
  <c r="J614"/>
  <c r="J613"/>
  <c r="J612"/>
  <c r="J611"/>
  <c r="J610"/>
  <c r="J609"/>
  <c r="J608"/>
  <c r="J607"/>
  <c r="J606"/>
  <c r="J605"/>
  <c r="J604"/>
  <c r="J603"/>
  <c r="J602"/>
  <c r="J601"/>
  <c r="J600"/>
  <c r="J599"/>
  <c r="J598"/>
  <c r="J597"/>
  <c r="J596"/>
  <c r="J595"/>
  <c r="J594"/>
  <c r="J593"/>
  <c r="J592"/>
  <c r="J591"/>
  <c r="J590"/>
  <c r="J589"/>
  <c r="J588"/>
  <c r="J587"/>
  <c r="J586"/>
  <c r="J585"/>
  <c r="J584"/>
  <c r="J583"/>
  <c r="J581"/>
  <c r="J580"/>
  <c r="J578"/>
  <c r="J577"/>
  <c r="J576"/>
  <c r="J575"/>
  <c r="J574"/>
  <c r="J573"/>
  <c r="J572"/>
  <c r="J571"/>
  <c r="J570"/>
  <c r="J569"/>
  <c r="J568"/>
  <c r="J567"/>
  <c r="J566"/>
  <c r="J565"/>
  <c r="J564"/>
  <c r="J563"/>
  <c r="J562"/>
  <c r="J561"/>
  <c r="J560"/>
  <c r="J559"/>
  <c r="J558"/>
  <c r="J557"/>
  <c r="J556"/>
  <c r="J555"/>
  <c r="J554"/>
  <c r="J553"/>
  <c r="J552"/>
  <c r="J551"/>
  <c r="J550"/>
  <c r="J549"/>
  <c r="J548"/>
  <c r="J547"/>
  <c r="J546"/>
  <c r="J545"/>
  <c r="J544"/>
  <c r="J543"/>
  <c r="J542"/>
  <c r="J541"/>
  <c r="J540"/>
  <c r="J539"/>
  <c r="J538"/>
  <c r="J537"/>
  <c r="J536"/>
  <c r="J535"/>
  <c r="J534"/>
  <c r="J533"/>
  <c r="J532"/>
  <c r="J531"/>
  <c r="J530"/>
  <c r="J529"/>
  <c r="J528"/>
  <c r="J527"/>
  <c r="J525"/>
  <c r="J524"/>
  <c r="J523"/>
  <c r="J522"/>
  <c r="J517"/>
  <c r="J516"/>
  <c r="J515"/>
  <c r="J514"/>
  <c r="J512"/>
  <c r="J511"/>
  <c r="J510"/>
  <c r="J509"/>
  <c r="J508"/>
  <c r="J507"/>
  <c r="J506"/>
  <c r="J505"/>
  <c r="J504"/>
  <c r="J503"/>
  <c r="J502"/>
  <c r="J501"/>
  <c r="J500"/>
  <c r="J499"/>
  <c r="J495"/>
  <c r="J494"/>
  <c r="J493"/>
  <c r="J491"/>
  <c r="J490"/>
  <c r="J489"/>
  <c r="J488"/>
  <c r="J487"/>
  <c r="J486"/>
  <c r="J485"/>
  <c r="J484"/>
  <c r="J483"/>
  <c r="J482"/>
  <c r="J481"/>
  <c r="J480"/>
  <c r="J479"/>
  <c r="J478"/>
  <c r="J477"/>
  <c r="J475"/>
  <c r="J474"/>
  <c r="J473"/>
  <c r="J472"/>
  <c r="J471"/>
  <c r="J470"/>
  <c r="J469"/>
  <c r="J468"/>
  <c r="J467"/>
  <c r="J466"/>
  <c r="J465"/>
  <c r="J464"/>
  <c r="J463"/>
  <c r="J462"/>
  <c r="J461"/>
  <c r="J460"/>
  <c r="J459"/>
  <c r="J458"/>
  <c r="J457"/>
  <c r="J456"/>
  <c r="J455"/>
  <c r="J454"/>
  <c r="J453"/>
  <c r="J452"/>
  <c r="J451"/>
  <c r="J450"/>
  <c r="J449"/>
  <c r="J448"/>
  <c r="J447"/>
  <c r="J446"/>
  <c r="J445"/>
  <c r="J444"/>
  <c r="J443"/>
  <c r="J442"/>
  <c r="J441"/>
  <c r="J440"/>
  <c r="J439"/>
  <c r="J438"/>
  <c r="J437"/>
  <c r="J436"/>
  <c r="J435"/>
  <c r="J434"/>
  <c r="J433"/>
  <c r="J432"/>
  <c r="J431"/>
  <c r="J430"/>
  <c r="J429"/>
  <c r="J428"/>
  <c r="J427"/>
  <c r="J426"/>
  <c r="J425"/>
  <c r="J424"/>
  <c r="J423"/>
  <c r="J422"/>
  <c r="J421"/>
  <c r="J420"/>
  <c r="J419"/>
  <c r="J418"/>
  <c r="J417"/>
  <c r="J416"/>
  <c r="J415"/>
  <c r="J414"/>
  <c r="J413"/>
  <c r="J412"/>
  <c r="J411"/>
  <c r="J410"/>
  <c r="J409"/>
  <c r="J408"/>
  <c r="J406"/>
  <c r="J405"/>
  <c r="J404"/>
  <c r="J403"/>
  <c r="J402"/>
  <c r="J401"/>
  <c r="J400"/>
  <c r="J399"/>
  <c r="J398"/>
  <c r="J397"/>
  <c r="J396"/>
  <c r="J395"/>
  <c r="J394"/>
  <c r="J393"/>
  <c r="J392"/>
  <c r="J391"/>
  <c r="J390"/>
  <c r="J389"/>
  <c r="J388"/>
  <c r="J387"/>
  <c r="J386"/>
  <c r="J385"/>
  <c r="J384"/>
  <c r="J383"/>
  <c r="J382"/>
  <c r="J381"/>
  <c r="J380"/>
  <c r="J379"/>
  <c r="J378"/>
  <c r="J377"/>
  <c r="J376"/>
  <c r="J375"/>
  <c r="J373"/>
  <c r="J372"/>
  <c r="J371"/>
  <c r="J370"/>
  <c r="J369"/>
  <c r="J368"/>
  <c r="J367"/>
  <c r="J366"/>
  <c r="J365"/>
  <c r="J364"/>
  <c r="J363"/>
  <c r="J362"/>
  <c r="J361"/>
  <c r="J360"/>
  <c r="J359"/>
  <c r="J358"/>
  <c r="J357"/>
  <c r="J356"/>
  <c r="J355"/>
  <c r="J354"/>
  <c r="J353"/>
  <c r="J352"/>
  <c r="J350"/>
  <c r="J349"/>
  <c r="J348"/>
  <c r="J347"/>
  <c r="J346"/>
  <c r="J345"/>
  <c r="J344"/>
  <c r="J343"/>
  <c r="J342"/>
  <c r="J341"/>
  <c r="J340"/>
  <c r="J339"/>
  <c r="J338"/>
  <c r="J337"/>
  <c r="J336"/>
  <c r="J335"/>
  <c r="J334"/>
  <c r="J333"/>
  <c r="J332"/>
  <c r="J331"/>
  <c r="J330"/>
  <c r="J329"/>
  <c r="J328"/>
  <c r="J327"/>
  <c r="J326"/>
  <c r="J325"/>
  <c r="J324"/>
  <c r="J323"/>
  <c r="J322"/>
  <c r="J321"/>
  <c r="J320"/>
  <c r="J319"/>
  <c r="J318"/>
  <c r="J317"/>
  <c r="J316"/>
  <c r="J315"/>
  <c r="J314"/>
  <c r="J313"/>
  <c r="J312"/>
  <c r="J311"/>
  <c r="J310"/>
  <c r="J309"/>
  <c r="J308"/>
  <c r="J307"/>
  <c r="J306"/>
  <c r="J305"/>
  <c r="J304"/>
  <c r="J303"/>
  <c r="J302"/>
  <c r="J301"/>
  <c r="J300"/>
  <c r="J299"/>
  <c r="J298"/>
  <c r="J297"/>
  <c r="J296"/>
  <c r="J295"/>
  <c r="J294"/>
  <c r="J293"/>
  <c r="J292"/>
  <c r="J291"/>
  <c r="J290"/>
  <c r="J289"/>
  <c r="J288"/>
  <c r="J287"/>
  <c r="J286"/>
  <c r="J285"/>
  <c r="J284"/>
  <c r="J283"/>
  <c r="J282"/>
  <c r="J281"/>
  <c r="J280"/>
  <c r="J279"/>
  <c r="J278"/>
  <c r="J277"/>
  <c r="J276"/>
  <c r="J275"/>
  <c r="J274"/>
  <c r="J272"/>
  <c r="J271"/>
  <c r="J270"/>
  <c r="J269"/>
  <c r="J268"/>
  <c r="J267"/>
  <c r="J266"/>
  <c r="J265"/>
  <c r="J264"/>
  <c r="J263"/>
  <c r="J262"/>
  <c r="J261"/>
  <c r="J260"/>
  <c r="J259"/>
  <c r="J258"/>
  <c r="J257"/>
  <c r="J256"/>
  <c r="J255"/>
  <c r="J254"/>
  <c r="J253"/>
  <c r="J252"/>
  <c r="J251"/>
  <c r="J250"/>
  <c r="J249"/>
  <c r="J248"/>
  <c r="J247"/>
  <c r="J246"/>
  <c r="J245"/>
  <c r="J244"/>
  <c r="J243"/>
  <c r="J242"/>
  <c r="J241"/>
  <c r="J239"/>
  <c r="J238"/>
  <c r="J237"/>
  <c r="J236"/>
  <c r="J235"/>
  <c r="J234"/>
  <c r="J233"/>
  <c r="J232"/>
  <c r="J231"/>
  <c r="J230"/>
  <c r="J229"/>
  <c r="J228"/>
  <c r="J227"/>
  <c r="J226"/>
  <c r="J225"/>
  <c r="J224"/>
  <c r="J223"/>
  <c r="J222"/>
  <c r="J221"/>
  <c r="J220"/>
  <c r="J219"/>
  <c r="J218"/>
  <c r="J217"/>
  <c r="J215"/>
  <c r="J214"/>
  <c r="J213"/>
  <c r="J212"/>
  <c r="J211"/>
  <c r="J210"/>
  <c r="J209"/>
  <c r="J208"/>
  <c r="J207"/>
  <c r="J206"/>
  <c r="J205"/>
  <c r="J204"/>
  <c r="J203"/>
  <c r="J202"/>
  <c r="J201"/>
  <c r="J200"/>
  <c r="J199"/>
  <c r="J198"/>
  <c r="J197"/>
  <c r="J196"/>
  <c r="J195"/>
  <c r="J194"/>
  <c r="J193"/>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5"/>
  <c r="J94"/>
  <c r="J93"/>
  <c r="J92"/>
  <c r="J91"/>
  <c r="J90"/>
  <c r="J89"/>
  <c r="J88"/>
  <c r="J87"/>
  <c r="J86"/>
  <c r="J85"/>
  <c r="J84"/>
  <c r="J79"/>
  <c r="J78"/>
  <c r="J77"/>
  <c r="J76"/>
  <c r="J74"/>
  <c r="J73"/>
  <c r="J72"/>
  <c r="J71"/>
  <c r="J70"/>
  <c r="J69"/>
  <c r="J68"/>
  <c r="J67"/>
  <c r="J66"/>
  <c r="J65"/>
  <c r="J64"/>
  <c r="J63"/>
  <c r="J62"/>
  <c r="J61"/>
  <c r="J60"/>
  <c r="J59"/>
  <c r="J58"/>
  <c r="J57"/>
  <c r="J56"/>
  <c r="J55"/>
  <c r="J54"/>
  <c r="J51"/>
  <c r="J49"/>
  <c r="J45"/>
  <c r="J44"/>
  <c r="J43"/>
  <c r="J39"/>
  <c r="J38"/>
  <c r="J37"/>
  <c r="J36"/>
  <c r="J35"/>
  <c r="J34"/>
  <c r="J33"/>
  <c r="J32"/>
  <c r="J31"/>
  <c r="J30"/>
  <c r="J29"/>
  <c r="J28"/>
  <c r="J27"/>
  <c r="J26"/>
  <c r="J25"/>
  <c r="J24"/>
  <c r="J23"/>
  <c r="J22"/>
  <c r="J21"/>
  <c r="J20"/>
  <c r="J19"/>
  <c r="J18"/>
  <c r="J17"/>
  <c r="J16"/>
  <c r="J15"/>
  <c r="J14"/>
  <c r="J13"/>
  <c r="J12"/>
  <c r="J11"/>
  <c r="J10"/>
  <c r="J9"/>
  <c r="J8"/>
  <c r="J7"/>
  <c r="J6"/>
  <c r="J2" a="1"/>
  <c r="J2"/>
  <c r="J5"/>
  <c r="J3" a="1"/>
  <c r="J3"/>
  <c r="I3"/>
  <c r="I3" a="1"/>
  <c r="H3" a="1"/>
  <c r="H3"/>
  <c r="H2" a="1"/>
  <c r="H2"/>
  <c r="E34" i="25"/>
  <c r="I10" i="24"/>
  <c r="I12" s="1"/>
  <c r="N44"/>
  <c r="J44"/>
  <c r="B13" i="27"/>
  <c r="M43" i="24"/>
  <c r="N43"/>
  <c r="E43"/>
  <c r="H43"/>
  <c r="M42"/>
  <c r="N42"/>
  <c r="E42"/>
  <c r="H42"/>
  <c r="H41"/>
  <c r="E41"/>
  <c r="M40"/>
  <c r="N40"/>
  <c r="M39"/>
  <c r="N39"/>
  <c r="N38"/>
  <c r="M37"/>
  <c r="N37"/>
  <c r="M36"/>
  <c r="N36"/>
  <c r="M35"/>
  <c r="N35"/>
  <c r="M33"/>
  <c r="N33"/>
  <c r="E9"/>
  <c r="I8"/>
  <c r="N41"/>
  <c r="F16" i="18"/>
  <c r="F29"/>
  <c r="F42" s="1"/>
  <c r="F55" s="1"/>
  <c r="F54" i="19" s="1"/>
  <c r="B2" i="24"/>
  <c r="H2" i="27"/>
  <c r="E41" i="18"/>
  <c r="E40" i="19" s="1"/>
  <c r="E27"/>
  <c r="E10"/>
  <c r="E82" s="1"/>
  <c r="E9" i="35" s="1"/>
  <c r="D11" i="3" s="1"/>
  <c r="E12" i="19"/>
  <c r="E84" s="1"/>
  <c r="E14"/>
  <c r="E16"/>
  <c r="E88" s="1"/>
  <c r="E18"/>
  <c r="E90"/>
  <c r="E45" i="18"/>
  <c r="E31" i="19"/>
  <c r="E13"/>
  <c r="E85" s="1"/>
  <c r="E12" i="35" s="1"/>
  <c r="D14" i="3" s="1"/>
  <c r="E43" i="18"/>
  <c r="E42" i="19"/>
  <c r="F8"/>
  <c r="F80"/>
  <c r="F14"/>
  <c r="F86" s="1"/>
  <c r="E21" i="18"/>
  <c r="E20" i="19" s="1"/>
  <c r="E37" i="18"/>
  <c r="E50"/>
  <c r="E49" i="19" s="1"/>
  <c r="K42" i="27"/>
  <c r="K43" s="1"/>
  <c r="K44" s="1"/>
  <c r="K45"/>
  <c r="K46" s="1"/>
  <c r="K47" s="1"/>
  <c r="K48" s="1"/>
  <c r="K49" s="1"/>
  <c r="K50" s="1"/>
  <c r="K51" s="1"/>
  <c r="K52" s="1"/>
  <c r="K53" s="1"/>
  <c r="H45"/>
  <c r="H41"/>
  <c r="H16"/>
  <c r="DX20" i="31"/>
  <c r="DX19"/>
  <c r="BW20"/>
  <c r="BW19"/>
  <c r="DX22"/>
  <c r="DP47"/>
  <c r="DP48"/>
  <c r="DX23"/>
  <c r="DX21"/>
  <c r="AR42"/>
  <c r="AO42"/>
  <c r="AO465"/>
  <c r="BM45"/>
  <c r="BM759"/>
  <c r="AY16"/>
  <c r="AY17"/>
  <c r="DX18"/>
  <c r="BP45"/>
  <c r="BP46"/>
  <c r="BW21"/>
  <c r="AY18"/>
  <c r="DM47"/>
  <c r="BW17"/>
  <c r="AY19"/>
  <c r="AY20"/>
  <c r="I41" i="24"/>
  <c r="J177" i="30"/>
  <c r="F179"/>
  <c r="J194"/>
  <c r="F196"/>
  <c r="R8"/>
  <c r="R12"/>
  <c r="R13"/>
  <c r="R11"/>
  <c r="B5" i="27"/>
  <c r="H6" i="24"/>
  <c r="D15" i="27" s="1"/>
  <c r="E18"/>
  <c r="E19" s="1"/>
  <c r="E20" s="1"/>
  <c r="E21" s="1"/>
  <c r="E22" s="1"/>
  <c r="M34" i="24"/>
  <c r="N34"/>
  <c r="G42"/>
  <c r="J42"/>
  <c r="B11" i="27" s="1"/>
  <c r="F43" i="24"/>
  <c r="G43" s="1"/>
  <c r="J43" s="1"/>
  <c r="B12" i="27" s="1"/>
  <c r="I43" i="24"/>
  <c r="H33"/>
  <c r="H25" i="27"/>
  <c r="H15"/>
  <c r="H48"/>
  <c r="H33"/>
  <c r="H58"/>
  <c r="H50"/>
  <c r="H7"/>
  <c r="H35"/>
  <c r="H63"/>
  <c r="H55"/>
  <c r="H10"/>
  <c r="H28"/>
  <c r="H52"/>
  <c r="H44"/>
  <c r="H37"/>
  <c r="H29"/>
  <c r="H57"/>
  <c r="H49"/>
  <c r="H32"/>
  <c r="H62"/>
  <c r="H23"/>
  <c r="H11"/>
  <c r="H13"/>
  <c r="H59"/>
  <c r="H20"/>
  <c r="H14"/>
  <c r="H5"/>
  <c r="H12"/>
  <c r="H26"/>
  <c r="F31" i="19"/>
  <c r="E23"/>
  <c r="E25"/>
  <c r="E38"/>
  <c r="E52" i="18"/>
  <c r="E65" s="1"/>
  <c r="E64" i="19" s="1"/>
  <c r="E51"/>
  <c r="AR465" i="31"/>
  <c r="AR43"/>
  <c r="B24" i="27"/>
  <c r="C7" i="19"/>
  <c r="C79" s="1"/>
  <c r="C6" i="35" s="1"/>
  <c r="J6" s="1"/>
  <c r="B8" i="3"/>
  <c r="J7" i="19"/>
  <c r="J79" s="1"/>
  <c r="K7"/>
  <c r="K79" s="1"/>
  <c r="L7"/>
  <c r="L79" s="1"/>
  <c r="M7"/>
  <c r="M79"/>
  <c r="N7"/>
  <c r="N79" s="1"/>
  <c r="N92" s="1"/>
  <c r="O7"/>
  <c r="O79" s="1"/>
  <c r="O6" i="35" s="1"/>
  <c r="Q7" i="19"/>
  <c r="Q79" s="1"/>
  <c r="Q92" s="1"/>
  <c r="Q105" s="1"/>
  <c r="Q118" s="1"/>
  <c r="B7"/>
  <c r="B79" s="1"/>
  <c r="B6" i="35" s="1"/>
  <c r="A8" i="3" s="1"/>
  <c r="B37" i="27"/>
  <c r="B50"/>
  <c r="C50" s="1"/>
  <c r="B63"/>
  <c r="H7" i="19"/>
  <c r="H79" s="1"/>
  <c r="H92" s="1"/>
  <c r="G7"/>
  <c r="G79"/>
  <c r="I7"/>
  <c r="I79" s="1"/>
  <c r="P7"/>
  <c r="P79" s="1"/>
  <c r="X246" i="8"/>
  <c r="W246"/>
  <c r="V246"/>
  <c r="U246"/>
  <c r="T246"/>
  <c r="S246"/>
  <c r="R246"/>
  <c r="Q246"/>
  <c r="P246"/>
  <c r="O246"/>
  <c r="N246"/>
  <c r="M246"/>
  <c r="L246"/>
  <c r="K246"/>
  <c r="J246"/>
  <c r="I246"/>
  <c r="H246"/>
  <c r="G246"/>
  <c r="F246"/>
  <c r="E246"/>
  <c r="X209"/>
  <c r="W209"/>
  <c r="V209"/>
  <c r="U209"/>
  <c r="T209"/>
  <c r="S209"/>
  <c r="R209"/>
  <c r="Q209"/>
  <c r="P209"/>
  <c r="O209"/>
  <c r="N209"/>
  <c r="M209"/>
  <c r="L209"/>
  <c r="K209"/>
  <c r="J209"/>
  <c r="I209"/>
  <c r="H209"/>
  <c r="G209"/>
  <c r="F209"/>
  <c r="E209"/>
  <c r="X148"/>
  <c r="W148"/>
  <c r="V148"/>
  <c r="U148"/>
  <c r="T148"/>
  <c r="S148"/>
  <c r="R148"/>
  <c r="Q148"/>
  <c r="P148"/>
  <c r="O148"/>
  <c r="N148"/>
  <c r="M148"/>
  <c r="L148"/>
  <c r="K148"/>
  <c r="J148"/>
  <c r="I148"/>
  <c r="H148"/>
  <c r="G148"/>
  <c r="F148"/>
  <c r="E148"/>
  <c r="A11"/>
  <c r="X245"/>
  <c r="W245"/>
  <c r="V245"/>
  <c r="U245"/>
  <c r="T245"/>
  <c r="S245"/>
  <c r="R245"/>
  <c r="Q245"/>
  <c r="P245"/>
  <c r="O245"/>
  <c r="N245"/>
  <c r="M245"/>
  <c r="L245"/>
  <c r="K245"/>
  <c r="J245"/>
  <c r="I245"/>
  <c r="H245"/>
  <c r="G245"/>
  <c r="F245"/>
  <c r="E245"/>
  <c r="X208"/>
  <c r="W208"/>
  <c r="V208"/>
  <c r="U208"/>
  <c r="T208"/>
  <c r="S208"/>
  <c r="R208"/>
  <c r="Q208"/>
  <c r="P208"/>
  <c r="O208"/>
  <c r="N208"/>
  <c r="M208"/>
  <c r="L208"/>
  <c r="K208"/>
  <c r="J208"/>
  <c r="I208"/>
  <c r="H208"/>
  <c r="G208"/>
  <c r="F208"/>
  <c r="E208"/>
  <c r="X147"/>
  <c r="W147"/>
  <c r="V147"/>
  <c r="U147"/>
  <c r="T147"/>
  <c r="S147"/>
  <c r="R147"/>
  <c r="Q147"/>
  <c r="P147"/>
  <c r="O147"/>
  <c r="N147"/>
  <c r="M147"/>
  <c r="L147"/>
  <c r="K147"/>
  <c r="J147"/>
  <c r="I147"/>
  <c r="H147"/>
  <c r="G147"/>
  <c r="F147"/>
  <c r="E147"/>
  <c r="C146"/>
  <c r="C30"/>
  <c r="A29"/>
  <c r="D245"/>
  <c r="C88"/>
  <c r="X88"/>
  <c r="I104" i="19"/>
  <c r="I100"/>
  <c r="L7" i="35"/>
  <c r="K9" i="3" s="1"/>
  <c r="G6" i="35"/>
  <c r="F8" i="3" s="1"/>
  <c r="G92" i="19"/>
  <c r="G19" i="35" s="1"/>
  <c r="F21" i="3" s="1"/>
  <c r="N6" i="35"/>
  <c r="M8" i="3" s="1"/>
  <c r="I8"/>
  <c r="J92" i="19"/>
  <c r="J19" i="35" s="1"/>
  <c r="I21" i="3" s="1"/>
  <c r="E17" i="35"/>
  <c r="D19" i="3" s="1"/>
  <c r="E103" i="19"/>
  <c r="E30" i="35" s="1"/>
  <c r="F48" i="18"/>
  <c r="F47" i="19" s="1"/>
  <c r="M104"/>
  <c r="M31" i="35" s="1"/>
  <c r="L33" i="3" s="1"/>
  <c r="K102" i="19"/>
  <c r="K29" i="35" s="1"/>
  <c r="J31" i="3" s="1"/>
  <c r="H15" i="35"/>
  <c r="H101" i="19"/>
  <c r="M14" i="35"/>
  <c r="L16" i="3"/>
  <c r="N13" i="35"/>
  <c r="M15" i="3" s="1"/>
  <c r="K98" i="19"/>
  <c r="K25" i="35" s="1"/>
  <c r="K12"/>
  <c r="J14" i="3" s="1"/>
  <c r="H97" i="19"/>
  <c r="H110" s="1"/>
  <c r="H37" i="35" s="1"/>
  <c r="N9"/>
  <c r="M11" i="3" s="1"/>
  <c r="P7" i="35"/>
  <c r="O9" i="3" s="1"/>
  <c r="L9" i="35"/>
  <c r="K11" i="3" s="1"/>
  <c r="L95" i="19"/>
  <c r="L22" i="35" s="1"/>
  <c r="K24" i="3" s="1"/>
  <c r="O92" i="19"/>
  <c r="O105" s="1"/>
  <c r="N8" i="3"/>
  <c r="E63" i="18"/>
  <c r="E62" i="19" s="1"/>
  <c r="E40" i="18"/>
  <c r="E26" i="19"/>
  <c r="K13" i="35"/>
  <c r="J15" i="3"/>
  <c r="G99" i="19"/>
  <c r="L103"/>
  <c r="L30" i="35" s="1"/>
  <c r="K32" i="3" s="1"/>
  <c r="K19"/>
  <c r="M96" i="19"/>
  <c r="M23" i="35" s="1"/>
  <c r="L25" i="3" s="1"/>
  <c r="G16" i="35"/>
  <c r="F18" i="3" s="1"/>
  <c r="J8" i="35"/>
  <c r="I10" i="3" s="1"/>
  <c r="E34" i="18"/>
  <c r="J37" i="24"/>
  <c r="B6" i="27"/>
  <c r="G29" i="35"/>
  <c r="F31" i="3"/>
  <c r="P101" i="19"/>
  <c r="L101"/>
  <c r="L28" i="35" s="1"/>
  <c r="O98" i="19"/>
  <c r="O111" s="1"/>
  <c r="O38" i="35" s="1"/>
  <c r="N40" i="3" s="1"/>
  <c r="P97" i="19"/>
  <c r="O8" i="35"/>
  <c r="N10" i="3" s="1"/>
  <c r="O94" i="19"/>
  <c r="O21" i="35" s="1"/>
  <c r="K8"/>
  <c r="J10" i="3" s="1"/>
  <c r="G94" i="19"/>
  <c r="G8" i="35"/>
  <c r="F10" i="3" s="1"/>
  <c r="J34" i="35"/>
  <c r="I36" i="3" s="1"/>
  <c r="J47" i="35"/>
  <c r="I49" i="3" s="1"/>
  <c r="P98" i="19"/>
  <c r="P25" i="35" s="1"/>
  <c r="O27" i="3" s="1"/>
  <c r="E98" i="19"/>
  <c r="E25" i="35" s="1"/>
  <c r="D27" i="3" s="1"/>
  <c r="F43" i="19"/>
  <c r="F57" i="18"/>
  <c r="E31"/>
  <c r="E17" i="19"/>
  <c r="E89" s="1"/>
  <c r="E102" s="1"/>
  <c r="E29" i="35" s="1"/>
  <c r="D31" i="3" s="1"/>
  <c r="F19" i="19"/>
  <c r="F91"/>
  <c r="F104" s="1"/>
  <c r="P102"/>
  <c r="P115" s="1"/>
  <c r="P16" i="35"/>
  <c r="O18" i="3" s="1"/>
  <c r="L102" i="19"/>
  <c r="L29" i="35" s="1"/>
  <c r="K31" i="3" s="1"/>
  <c r="I15" i="35"/>
  <c r="H17" i="3" s="1"/>
  <c r="O22" i="35"/>
  <c r="N24" i="3" s="1"/>
  <c r="O108" i="19"/>
  <c r="O121" s="1"/>
  <c r="O48" i="35" s="1"/>
  <c r="N50" i="3" s="1"/>
  <c r="G9" i="35"/>
  <c r="F11" i="3" s="1"/>
  <c r="G95" i="19"/>
  <c r="G22" i="35" s="1"/>
  <c r="F24" i="3" s="1"/>
  <c r="L8" i="35"/>
  <c r="K10" i="3"/>
  <c r="L94" i="19"/>
  <c r="M30" i="35"/>
  <c r="L32" i="3" s="1"/>
  <c r="L17"/>
  <c r="M101" i="19"/>
  <c r="H10" i="35"/>
  <c r="H96" i="19"/>
  <c r="H6" i="35"/>
  <c r="L6"/>
  <c r="K8" i="3" s="1"/>
  <c r="L92" i="19"/>
  <c r="E58" i="18"/>
  <c r="E71" s="1"/>
  <c r="E70" i="19" s="1"/>
  <c r="E44"/>
  <c r="F44"/>
  <c r="O15" i="3"/>
  <c r="H13" i="35"/>
  <c r="O96" i="19"/>
  <c r="O109" s="1"/>
  <c r="F12" i="3"/>
  <c r="G96" i="19"/>
  <c r="G109" s="1"/>
  <c r="I108"/>
  <c r="I16" i="35"/>
  <c r="H18" i="3" s="1"/>
  <c r="H8" i="35"/>
  <c r="P6"/>
  <c r="O8" i="3" s="1"/>
  <c r="P92" i="19"/>
  <c r="J41" i="24"/>
  <c r="B10" i="27"/>
  <c r="B23"/>
  <c r="B20"/>
  <c r="P104" i="19"/>
  <c r="P31" i="35" s="1"/>
  <c r="O33" i="3" s="1"/>
  <c r="H18" i="35"/>
  <c r="H19" i="3"/>
  <c r="I103" i="19"/>
  <c r="I30" i="35" s="1"/>
  <c r="H32" i="3" s="1"/>
  <c r="H14" i="35"/>
  <c r="K97" i="19"/>
  <c r="K24" i="35" s="1"/>
  <c r="K11"/>
  <c r="J13" i="3" s="1"/>
  <c r="K93" i="19"/>
  <c r="K7" i="35"/>
  <c r="J9" i="3"/>
  <c r="J41" i="35"/>
  <c r="I43" i="3" s="1"/>
  <c r="J127" i="19"/>
  <c r="L27" i="3"/>
  <c r="M111" i="19"/>
  <c r="P10" i="35"/>
  <c r="O12" i="3"/>
  <c r="P96" i="19"/>
  <c r="O10" i="3"/>
  <c r="O26" i="35"/>
  <c r="N28" i="3" s="1"/>
  <c r="O9" i="35"/>
  <c r="N11" i="3" s="1"/>
  <c r="F30" i="19"/>
  <c r="E36"/>
  <c r="F21"/>
  <c r="J28" i="35"/>
  <c r="I30" i="3" s="1"/>
  <c r="O13" i="35"/>
  <c r="N15" i="3" s="1"/>
  <c r="L13" i="35"/>
  <c r="K15" i="3" s="1"/>
  <c r="N10" i="35"/>
  <c r="M12" i="3" s="1"/>
  <c r="N96" i="19"/>
  <c r="N23" i="35" s="1"/>
  <c r="I12" i="3"/>
  <c r="J96" i="19"/>
  <c r="J23" i="35" s="1"/>
  <c r="I25" i="3" s="1"/>
  <c r="O14" i="35"/>
  <c r="N16" i="3"/>
  <c r="O100" i="19"/>
  <c r="O113" s="1"/>
  <c r="O40" i="35" s="1"/>
  <c r="N42" i="3" s="1"/>
  <c r="G14" i="35"/>
  <c r="F16" i="3" s="1"/>
  <c r="G100" i="19"/>
  <c r="N7" i="35"/>
  <c r="M9" i="3" s="1"/>
  <c r="N93" i="19"/>
  <c r="J7" i="35"/>
  <c r="I9" i="3" s="1"/>
  <c r="J14" i="35"/>
  <c r="I16" i="3"/>
  <c r="H34" i="27"/>
  <c r="H30"/>
  <c r="H51"/>
  <c r="H39"/>
  <c r="H54"/>
  <c r="H17"/>
  <c r="H6"/>
  <c r="H21"/>
  <c r="H40"/>
  <c r="H47"/>
  <c r="H27"/>
  <c r="H42"/>
  <c r="H61"/>
  <c r="H53"/>
  <c r="H56"/>
  <c r="H3"/>
  <c r="E56" i="18"/>
  <c r="F18" i="19"/>
  <c r="F90" s="1"/>
  <c r="E54" i="18"/>
  <c r="H66" i="27"/>
  <c r="I20" i="24"/>
  <c r="B18" i="27"/>
  <c r="N15" i="35"/>
  <c r="M17" i="3"/>
  <c r="J15" i="35"/>
  <c r="I17" i="3" s="1"/>
  <c r="I8" i="35"/>
  <c r="H10" i="3"/>
  <c r="J102" i="19"/>
  <c r="J29" i="35" s="1"/>
  <c r="I31" i="3" s="1"/>
  <c r="J100" i="19"/>
  <c r="J113" s="1"/>
  <c r="M99"/>
  <c r="M112" s="1"/>
  <c r="M125" s="1"/>
  <c r="I98"/>
  <c r="M97"/>
  <c r="M24" i="35" s="1"/>
  <c r="I94" i="19"/>
  <c r="M93"/>
  <c r="K18" i="35"/>
  <c r="J20" i="3" s="1"/>
  <c r="K15" i="35"/>
  <c r="J17" i="3" s="1"/>
  <c r="N19"/>
  <c r="O103" i="19"/>
  <c r="O30" i="35" s="1"/>
  <c r="N32" i="3" s="1"/>
  <c r="K17" i="35"/>
  <c r="J19" i="3" s="1"/>
  <c r="K103" i="19"/>
  <c r="K30" i="35" s="1"/>
  <c r="J32" i="3" s="1"/>
  <c r="L18" i="35"/>
  <c r="K20" i="3" s="1"/>
  <c r="L104" i="19"/>
  <c r="O19" i="3"/>
  <c r="P103" i="19"/>
  <c r="P30" i="35" s="1"/>
  <c r="O32" i="3" s="1"/>
  <c r="H17" i="35"/>
  <c r="L100" i="19"/>
  <c r="N13" i="3"/>
  <c r="O97" i="19"/>
  <c r="O24" i="35" s="1"/>
  <c r="K10"/>
  <c r="J12" i="3" s="1"/>
  <c r="K96" i="19"/>
  <c r="O7" i="35"/>
  <c r="N9" i="3" s="1"/>
  <c r="G7" i="35"/>
  <c r="F9" i="3"/>
  <c r="G93" i="19"/>
  <c r="N17" i="3"/>
  <c r="O101" i="19"/>
  <c r="O28" i="35" s="1"/>
  <c r="G15"/>
  <c r="F17" i="3" s="1"/>
  <c r="G101" i="19"/>
  <c r="G114" s="1"/>
  <c r="N98"/>
  <c r="J98"/>
  <c r="J25" i="35" s="1"/>
  <c r="I27" i="3" s="1"/>
  <c r="G37" i="35"/>
  <c r="F39" i="3"/>
  <c r="H36" i="27"/>
  <c r="H38"/>
  <c r="H43"/>
  <c r="H31"/>
  <c r="H46"/>
  <c r="H19"/>
  <c r="H65"/>
  <c r="H9"/>
  <c r="H60"/>
  <c r="H24"/>
  <c r="H4"/>
  <c r="H18"/>
  <c r="H22"/>
  <c r="H8"/>
  <c r="H64"/>
  <c r="F12" i="19"/>
  <c r="F84" s="1"/>
  <c r="F11" i="35" s="1"/>
  <c r="E13" i="3" s="1"/>
  <c r="I13" i="35"/>
  <c r="H15" i="3" s="1"/>
  <c r="I9" i="35"/>
  <c r="H11" i="3" s="1"/>
  <c r="J21" i="35"/>
  <c r="I23" i="3"/>
  <c r="E95" i="19"/>
  <c r="G123"/>
  <c r="G50" i="35" s="1"/>
  <c r="F52" i="3" s="1"/>
  <c r="J88" i="8"/>
  <c r="N88"/>
  <c r="R88"/>
  <c r="V88"/>
  <c r="A87"/>
  <c r="E88"/>
  <c r="I88"/>
  <c r="M88"/>
  <c r="Q88"/>
  <c r="U88"/>
  <c r="F88"/>
  <c r="H88"/>
  <c r="L88"/>
  <c r="P88"/>
  <c r="T88"/>
  <c r="F15" i="19"/>
  <c r="F87" s="1"/>
  <c r="F100" s="1"/>
  <c r="J111"/>
  <c r="G28" i="35"/>
  <c r="F30" i="3" s="1"/>
  <c r="G106" i="19"/>
  <c r="G33" i="35" s="1"/>
  <c r="L113" i="19"/>
  <c r="L126" s="1"/>
  <c r="L53" i="35" s="1"/>
  <c r="K55" i="3" s="1"/>
  <c r="O116" i="19"/>
  <c r="O129" s="1"/>
  <c r="O56" i="35" s="1"/>
  <c r="N58" i="3" s="1"/>
  <c r="M20" i="35"/>
  <c r="L22" i="3"/>
  <c r="M106" i="19"/>
  <c r="I25" i="35"/>
  <c r="H27" i="3" s="1"/>
  <c r="I111" i="19"/>
  <c r="I38" i="35" s="1"/>
  <c r="N28"/>
  <c r="M30" i="3" s="1"/>
  <c r="P109" i="19"/>
  <c r="P122" s="1"/>
  <c r="P49" i="35" s="1"/>
  <c r="O51" i="3" s="1"/>
  <c r="O25"/>
  <c r="P27" i="35"/>
  <c r="O29" i="3" s="1"/>
  <c r="G21" i="35"/>
  <c r="F23" i="3" s="1"/>
  <c r="G107" i="19"/>
  <c r="P114"/>
  <c r="P41" i="35" s="1"/>
  <c r="O43" i="3" s="1"/>
  <c r="P28" i="35"/>
  <c r="O30" i="3" s="1"/>
  <c r="M113" i="19"/>
  <c r="M40" i="35" s="1"/>
  <c r="L42" i="3" s="1"/>
  <c r="M27" i="35"/>
  <c r="L29" i="3"/>
  <c r="F97" i="19"/>
  <c r="F24" i="35" s="1"/>
  <c r="E26" i="3" s="1"/>
  <c r="J106" i="19"/>
  <c r="O27" i="35"/>
  <c r="N29" i="3" s="1"/>
  <c r="M25"/>
  <c r="K20" i="35"/>
  <c r="J22" i="3"/>
  <c r="K106" i="19"/>
  <c r="B36" i="27"/>
  <c r="B49" s="1"/>
  <c r="H23" i="35"/>
  <c r="H109" i="19"/>
  <c r="M28" i="35"/>
  <c r="L30" i="3" s="1"/>
  <c r="M114" i="19"/>
  <c r="M127" s="1"/>
  <c r="G108"/>
  <c r="G35" i="35" s="1"/>
  <c r="F37" i="3" s="1"/>
  <c r="M29" i="35"/>
  <c r="L31" i="3"/>
  <c r="K26" i="35"/>
  <c r="J28" i="3" s="1"/>
  <c r="K112" i="19"/>
  <c r="K125" s="1"/>
  <c r="K52" i="35" s="1"/>
  <c r="J54" i="3" s="1"/>
  <c r="H24" i="35"/>
  <c r="K115" i="19"/>
  <c r="K128" s="1"/>
  <c r="K55" i="35" s="1"/>
  <c r="J57" i="3" s="1"/>
  <c r="F61" i="18"/>
  <c r="F60" i="19" s="1"/>
  <c r="J105"/>
  <c r="J118" s="1"/>
  <c r="J45" i="35" s="1"/>
  <c r="I47" i="3" s="1"/>
  <c r="G105" i="19"/>
  <c r="G118" s="1"/>
  <c r="L110"/>
  <c r="L123" s="1"/>
  <c r="L50" i="35" s="1"/>
  <c r="K52" i="3" s="1"/>
  <c r="I117" i="19"/>
  <c r="I31" i="35"/>
  <c r="H33" i="3" s="1"/>
  <c r="N25" i="35"/>
  <c r="M27" i="3"/>
  <c r="N111" i="19"/>
  <c r="N30" i="3"/>
  <c r="O114" i="19"/>
  <c r="O110"/>
  <c r="N26" i="3"/>
  <c r="H116" i="19"/>
  <c r="H43" i="35" s="1"/>
  <c r="H30"/>
  <c r="L117" i="19"/>
  <c r="L44" i="35" s="1"/>
  <c r="K46" i="3" s="1"/>
  <c r="J27" i="35"/>
  <c r="I29" i="3" s="1"/>
  <c r="B25" i="27"/>
  <c r="M38" i="35"/>
  <c r="L40" i="3" s="1"/>
  <c r="M124" i="19"/>
  <c r="M51" i="35" s="1"/>
  <c r="L53" i="3" s="1"/>
  <c r="H27" i="35"/>
  <c r="P117" i="19"/>
  <c r="P130" s="1"/>
  <c r="E44" i="18"/>
  <c r="E43" i="19" s="1"/>
  <c r="E30"/>
  <c r="P111"/>
  <c r="P124" s="1"/>
  <c r="P51" i="35" s="1"/>
  <c r="O53" i="3" s="1"/>
  <c r="E47" i="18"/>
  <c r="E33" i="19"/>
  <c r="P106"/>
  <c r="P20" i="35"/>
  <c r="O22" i="3" s="1"/>
  <c r="J27"/>
  <c r="K111" i="19"/>
  <c r="K38" i="35" s="1"/>
  <c r="E22"/>
  <c r="D24" i="3" s="1"/>
  <c r="E108" i="19"/>
  <c r="E121" s="1"/>
  <c r="E67" i="18"/>
  <c r="E66" i="19" s="1"/>
  <c r="E53"/>
  <c r="E33" i="24"/>
  <c r="E34"/>
  <c r="H31" i="35"/>
  <c r="H117" i="19"/>
  <c r="H130" s="1"/>
  <c r="H57" i="35" s="1"/>
  <c r="E57" i="19"/>
  <c r="P29" i="35"/>
  <c r="O31" i="3" s="1"/>
  <c r="F46" i="18"/>
  <c r="F59" s="1"/>
  <c r="E39" i="19"/>
  <c r="E53" i="18"/>
  <c r="O19" i="35"/>
  <c r="N21" i="3" s="1"/>
  <c r="L26"/>
  <c r="M110" i="19"/>
  <c r="M37" i="35" s="1"/>
  <c r="L39" i="3" s="1"/>
  <c r="G27" i="35"/>
  <c r="F29" i="3" s="1"/>
  <c r="G113" i="19"/>
  <c r="G40" i="35" s="1"/>
  <c r="F42" i="3" s="1"/>
  <c r="B33" i="27"/>
  <c r="H26" i="35"/>
  <c r="F57" i="19"/>
  <c r="N23" i="3"/>
  <c r="O107" i="19"/>
  <c r="O120" s="1"/>
  <c r="P110"/>
  <c r="M26" i="35"/>
  <c r="L28" i="3"/>
  <c r="B31" i="27"/>
  <c r="F17" i="35"/>
  <c r="E19" i="3"/>
  <c r="F103" i="19"/>
  <c r="N106"/>
  <c r="G31" i="35"/>
  <c r="F33" i="3" s="1"/>
  <c r="K110" i="19"/>
  <c r="K37" i="35" s="1"/>
  <c r="J39" i="3" s="1"/>
  <c r="J26"/>
  <c r="P19" i="35"/>
  <c r="O21" i="3" s="1"/>
  <c r="P105" i="19"/>
  <c r="P118" s="1"/>
  <c r="P45" i="35" s="1"/>
  <c r="O47" i="3" s="1"/>
  <c r="I115" i="19"/>
  <c r="I35" i="35"/>
  <c r="H37" i="3" s="1"/>
  <c r="I121" i="19"/>
  <c r="I48" i="35" s="1"/>
  <c r="H50" i="3"/>
  <c r="H22" i="35"/>
  <c r="G23"/>
  <c r="F25" i="3" s="1"/>
  <c r="H19" i="35"/>
  <c r="H105" i="19"/>
  <c r="L39" i="35"/>
  <c r="K41" i="3" s="1"/>
  <c r="L52" i="35"/>
  <c r="K54" i="3"/>
  <c r="L107" i="19"/>
  <c r="L120" s="1"/>
  <c r="L47" i="35" s="1"/>
  <c r="K49" i="3" s="1"/>
  <c r="L21" i="35"/>
  <c r="K23" i="3" s="1"/>
  <c r="I28" i="35"/>
  <c r="H30" i="3" s="1"/>
  <c r="E16" i="35"/>
  <c r="D18" i="3" s="1"/>
  <c r="E111" i="19"/>
  <c r="E38" i="35" s="1"/>
  <c r="D40" i="3" s="1"/>
  <c r="K30"/>
  <c r="L114" i="19"/>
  <c r="L127" s="1"/>
  <c r="L54" i="35" s="1"/>
  <c r="K56" i="3" s="1"/>
  <c r="G128" i="19"/>
  <c r="G55" i="35"/>
  <c r="F57" i="3"/>
  <c r="M109" i="19"/>
  <c r="M122" s="1"/>
  <c r="M49" i="35" s="1"/>
  <c r="L51" i="3" s="1"/>
  <c r="G112" i="19"/>
  <c r="G39" i="35" s="1"/>
  <c r="E117" i="19"/>
  <c r="E130" s="1"/>
  <c r="I125"/>
  <c r="I52" i="35" s="1"/>
  <c r="H54" i="3"/>
  <c r="I39" i="35"/>
  <c r="H41" i="3" s="1"/>
  <c r="N108" i="19"/>
  <c r="H28" i="35"/>
  <c r="H114" i="19"/>
  <c r="H127" s="1"/>
  <c r="D32" i="3"/>
  <c r="E116" i="19"/>
  <c r="E129" s="1"/>
  <c r="E56" i="35" s="1"/>
  <c r="D58" i="3" s="1"/>
  <c r="F14" i="35"/>
  <c r="E16" i="3" s="1"/>
  <c r="P32" i="35"/>
  <c r="O34" i="3" s="1"/>
  <c r="B46" i="27"/>
  <c r="C46" s="1"/>
  <c r="G126" i="19"/>
  <c r="G53" i="35" s="1"/>
  <c r="F55" i="3" s="1"/>
  <c r="O32" i="35"/>
  <c r="N34" i="3" s="1"/>
  <c r="O118" i="19"/>
  <c r="O45" i="35" s="1"/>
  <c r="N47" i="3" s="1"/>
  <c r="H44" i="35"/>
  <c r="P44"/>
  <c r="O46" i="3" s="1"/>
  <c r="P57" i="35"/>
  <c r="O59" i="3" s="1"/>
  <c r="H40" i="35"/>
  <c r="H53"/>
  <c r="I130" i="19"/>
  <c r="I57" i="35" s="1"/>
  <c r="H59" i="3"/>
  <c r="I44" i="35"/>
  <c r="H46" i="3"/>
  <c r="G45" i="35"/>
  <c r="F47" i="3"/>
  <c r="G32" i="35"/>
  <c r="F34" i="3" s="1"/>
  <c r="O126" i="19"/>
  <c r="O53" i="35" s="1"/>
  <c r="N55" i="3" s="1"/>
  <c r="F110" i="19"/>
  <c r="F37" i="35" s="1"/>
  <c r="E39" i="3" s="1"/>
  <c r="F35"/>
  <c r="G119" i="19"/>
  <c r="G46" i="35" s="1"/>
  <c r="F48" i="3" s="1"/>
  <c r="O47" i="35"/>
  <c r="N49" i="3" s="1"/>
  <c r="J40"/>
  <c r="K124" i="19"/>
  <c r="K51" i="35"/>
  <c r="J53" i="3" s="1"/>
  <c r="B45" i="27"/>
  <c r="E43" i="35"/>
  <c r="D45" i="3" s="1"/>
  <c r="E44" i="35"/>
  <c r="D46" i="3"/>
  <c r="E57" i="35"/>
  <c r="D59" i="3"/>
  <c r="E115" i="19"/>
  <c r="E128" s="1"/>
  <c r="E55" i="35" s="1"/>
  <c r="D57" i="3" s="1"/>
  <c r="K123" i="19"/>
  <c r="K50" i="35" s="1"/>
  <c r="J52" i="3" s="1"/>
  <c r="B44" i="27"/>
  <c r="M39" i="35"/>
  <c r="L41" i="3" s="1"/>
  <c r="M52" i="35"/>
  <c r="L54" i="3" s="1"/>
  <c r="E48" i="35"/>
  <c r="D50" i="3" s="1"/>
  <c r="E57" i="18"/>
  <c r="E70" s="1"/>
  <c r="E69" i="19" s="1"/>
  <c r="O41" i="35"/>
  <c r="N43" i="3"/>
  <c r="O127" i="19"/>
  <c r="O54" i="35" s="1"/>
  <c r="N56" i="3"/>
  <c r="G121" i="19"/>
  <c r="G48" i="35" s="1"/>
  <c r="F50" i="3" s="1"/>
  <c r="M41" i="35"/>
  <c r="L43" i="3" s="1"/>
  <c r="M54" i="35"/>
  <c r="L56" i="3" s="1"/>
  <c r="P127" i="19"/>
  <c r="P54" i="35" s="1"/>
  <c r="O56" i="3" s="1"/>
  <c r="G122" i="19"/>
  <c r="G49" i="35"/>
  <c r="F51" i="3" s="1"/>
  <c r="H129" i="19"/>
  <c r="H56" i="35"/>
  <c r="H40" i="3"/>
  <c r="I124" i="19"/>
  <c r="I51" i="35" s="1"/>
  <c r="H53" i="3" s="1"/>
  <c r="O43" i="35"/>
  <c r="N45" i="3" s="1"/>
  <c r="L40" i="35"/>
  <c r="K42" i="3" s="1"/>
  <c r="J38" i="35"/>
  <c r="I40" i="3" s="1"/>
  <c r="J124" i="19"/>
  <c r="H54" i="35"/>
  <c r="N121" i="19"/>
  <c r="N48" i="35" s="1"/>
  <c r="M50" i="3" s="1"/>
  <c r="N35" i="35"/>
  <c r="M37" i="3" s="1"/>
  <c r="F41"/>
  <c r="H43"/>
  <c r="I127" i="19"/>
  <c r="I54" i="35" s="1"/>
  <c r="H56" i="3" s="1"/>
  <c r="L34" i="35"/>
  <c r="K36" i="3" s="1"/>
  <c r="H35" i="35"/>
  <c r="H121" i="19"/>
  <c r="H48" i="35" s="1"/>
  <c r="N38"/>
  <c r="M40" i="3" s="1"/>
  <c r="N124" i="19"/>
  <c r="K42" i="35"/>
  <c r="J44" i="3" s="1"/>
  <c r="H123" i="19"/>
  <c r="H50" i="35" s="1"/>
  <c r="H36"/>
  <c r="H122" i="19"/>
  <c r="H49" i="35" s="1"/>
  <c r="H32"/>
  <c r="H118" i="19"/>
  <c r="H45" i="35" s="1"/>
  <c r="I128" i="19"/>
  <c r="I55" i="35" s="1"/>
  <c r="H57" i="3" s="1"/>
  <c r="G44" i="35"/>
  <c r="F46" i="3"/>
  <c r="G130" i="19"/>
  <c r="G57" i="35"/>
  <c r="F59" i="3" s="1"/>
  <c r="N33" i="35"/>
  <c r="M35" i="3" s="1"/>
  <c r="N119" i="19"/>
  <c r="N46" i="35" s="1"/>
  <c r="M48" i="3" s="1"/>
  <c r="F116" i="19"/>
  <c r="F30" i="35"/>
  <c r="E32" i="3" s="1"/>
  <c r="P37" i="35"/>
  <c r="O39" i="3"/>
  <c r="P123" i="19"/>
  <c r="P50" i="35"/>
  <c r="O52" i="3" s="1"/>
  <c r="E52" i="19"/>
  <c r="E66" i="18"/>
  <c r="E65" i="19"/>
  <c r="P42" i="35"/>
  <c r="O44" i="3" s="1"/>
  <c r="P128" i="19"/>
  <c r="P55" i="35" s="1"/>
  <c r="O57" i="3" s="1"/>
  <c r="P33" i="35"/>
  <c r="O35" i="3" s="1"/>
  <c r="P119" i="19"/>
  <c r="P46" i="35" s="1"/>
  <c r="O48" i="3" s="1"/>
  <c r="E46" i="19"/>
  <c r="E60" i="18"/>
  <c r="E59" i="19" s="1"/>
  <c r="J126"/>
  <c r="J53" i="35"/>
  <c r="I55" i="3" s="1"/>
  <c r="J40" i="35"/>
  <c r="I42" i="3" s="1"/>
  <c r="O37" i="35"/>
  <c r="N39" i="3" s="1"/>
  <c r="O123" i="19"/>
  <c r="O50" i="35" s="1"/>
  <c r="N52" i="3" s="1"/>
  <c r="L37" i="35"/>
  <c r="K39" i="3" s="1"/>
  <c r="M42" i="35"/>
  <c r="L44" i="3" s="1"/>
  <c r="M128" i="19"/>
  <c r="M55" i="35" s="1"/>
  <c r="L57" i="3" s="1"/>
  <c r="K33" i="35"/>
  <c r="J35" i="3"/>
  <c r="K119" i="19"/>
  <c r="K46" i="35"/>
  <c r="J48" i="3" s="1"/>
  <c r="J33" i="35"/>
  <c r="I35" i="3"/>
  <c r="J119" i="19"/>
  <c r="J46" i="35"/>
  <c r="I48" i="3" s="1"/>
  <c r="G34" i="35"/>
  <c r="F36" i="3" s="1"/>
  <c r="G120" i="19"/>
  <c r="G47" i="35" s="1"/>
  <c r="F49" i="3" s="1"/>
  <c r="N41" i="35"/>
  <c r="M43" i="3"/>
  <c r="N127" i="19"/>
  <c r="M33" i="35"/>
  <c r="L35" i="3" s="1"/>
  <c r="M119" i="19"/>
  <c r="M46" i="35" s="1"/>
  <c r="L48" i="3" s="1"/>
  <c r="G41" i="35"/>
  <c r="F43" i="3"/>
  <c r="G127" i="19"/>
  <c r="F68" i="18"/>
  <c r="F67" i="19" s="1"/>
  <c r="F27" i="35"/>
  <c r="E29" i="3" s="1"/>
  <c r="F113" i="19"/>
  <c r="F129"/>
  <c r="F56" i="35"/>
  <c r="E58" i="3" s="1"/>
  <c r="F43" i="35"/>
  <c r="E45" i="3" s="1"/>
  <c r="E56" i="19"/>
  <c r="C44" i="27"/>
  <c r="B57"/>
  <c r="B58"/>
  <c r="B59"/>
  <c r="E42" i="35"/>
  <c r="D44" i="3" s="1"/>
  <c r="F40" i="35"/>
  <c r="E42" i="3" s="1"/>
  <c r="F126" i="19"/>
  <c r="F53" i="35" s="1"/>
  <c r="E55" i="3" s="1"/>
  <c r="BW459" i="31"/>
  <c r="BW379"/>
  <c r="BW83"/>
  <c r="AY280"/>
  <c r="AY21"/>
  <c r="BW22"/>
  <c r="BV192"/>
  <c r="AY167"/>
  <c r="AY394"/>
  <c r="BW339"/>
  <c r="BW223"/>
  <c r="BW159"/>
  <c r="BW510"/>
  <c r="AY206"/>
  <c r="AY242"/>
  <c r="AY59"/>
  <c r="BW301"/>
  <c r="BW555"/>
  <c r="BW596"/>
  <c r="BW263"/>
  <c r="BW414"/>
  <c r="K210" i="8" l="1"/>
  <c r="K247" s="1"/>
  <c r="A69" i="19"/>
  <c r="A60"/>
  <c r="A62"/>
  <c r="A64"/>
  <c r="A59"/>
  <c r="A61"/>
  <c r="A65"/>
  <c r="A71"/>
  <c r="A63"/>
  <c r="F24" i="8"/>
  <c r="G24" s="1"/>
  <c r="H24" s="1"/>
  <c r="I24" s="1"/>
  <c r="J24" s="1"/>
  <c r="K24" s="1"/>
  <c r="L24" s="1"/>
  <c r="M24" s="1"/>
  <c r="N24" s="1"/>
  <c r="O24" s="1"/>
  <c r="P24" s="1"/>
  <c r="Q24" s="1"/>
  <c r="R24" s="1"/>
  <c r="S24" s="1"/>
  <c r="T24" s="1"/>
  <c r="U24" s="1"/>
  <c r="V24" s="1"/>
  <c r="W24" s="1"/>
  <c r="X24" s="1"/>
  <c r="F19" i="24"/>
  <c r="C28" i="32"/>
  <c r="O122" i="19"/>
  <c r="O49" i="35" s="1"/>
  <c r="N51" i="3" s="1"/>
  <c r="O36" i="35"/>
  <c r="N38" i="3" s="1"/>
  <c r="E93" i="19"/>
  <c r="E7" i="35"/>
  <c r="D9" i="3" s="1"/>
  <c r="H8" i="24"/>
  <c r="D23" i="27" s="1"/>
  <c r="G8" i="24"/>
  <c r="E23" i="27" s="1"/>
  <c r="E24" s="1"/>
  <c r="E25" s="1"/>
  <c r="E26" s="1"/>
  <c r="E27" s="1"/>
  <c r="F99" i="19"/>
  <c r="F13" i="35"/>
  <c r="E15" i="3" s="1"/>
  <c r="B65" i="27"/>
  <c r="C52"/>
  <c r="H107" i="19"/>
  <c r="H21" i="35"/>
  <c r="L20"/>
  <c r="K22" i="3" s="1"/>
  <c r="L106" i="19"/>
  <c r="B56" i="3"/>
  <c r="G54" i="35"/>
  <c r="F56" i="3" s="1"/>
  <c r="N54" i="35"/>
  <c r="M56" i="3" s="1"/>
  <c r="N44" i="35"/>
  <c r="M46" i="3" s="1"/>
  <c r="N130" i="19"/>
  <c r="N57" i="35" s="1"/>
  <c r="M59" i="3" s="1"/>
  <c r="B62" i="27"/>
  <c r="C49"/>
  <c r="C18"/>
  <c r="K19"/>
  <c r="H125" i="19"/>
  <c r="H52" i="35" s="1"/>
  <c r="H39"/>
  <c r="E26"/>
  <c r="D28" i="3" s="1"/>
  <c r="E112" i="19"/>
  <c r="F58"/>
  <c r="F72" i="18"/>
  <c r="F71" i="19" s="1"/>
  <c r="F31" i="35"/>
  <c r="E33" i="3" s="1"/>
  <c r="F117" i="19"/>
  <c r="K31" i="35"/>
  <c r="J33" i="3" s="1"/>
  <c r="K117" i="19"/>
  <c r="I24" i="35"/>
  <c r="H26" i="3" s="1"/>
  <c r="I110" i="19"/>
  <c r="E15" i="35"/>
  <c r="D17" i="3" s="1"/>
  <c r="E101" i="19"/>
  <c r="B28" i="3"/>
  <c r="I26" i="35"/>
  <c r="H28" i="3" s="1"/>
  <c r="J117" i="19"/>
  <c r="J31" i="35"/>
  <c r="I33" i="3" s="1"/>
  <c r="B20"/>
  <c r="P18" i="35"/>
  <c r="O20" i="3" s="1"/>
  <c r="N18" i="35"/>
  <c r="M20" i="3" s="1"/>
  <c r="J17" i="35"/>
  <c r="I19" i="3" s="1"/>
  <c r="J103" i="19"/>
  <c r="G103"/>
  <c r="G17" i="35"/>
  <c r="F19" i="3" s="1"/>
  <c r="N102" i="19"/>
  <c r="N16" i="35"/>
  <c r="M18" i="3" s="1"/>
  <c r="B14"/>
  <c r="N12" i="35"/>
  <c r="M14" i="3" s="1"/>
  <c r="N24" i="35"/>
  <c r="M26" i="3" s="1"/>
  <c r="N110" i="19"/>
  <c r="I10" i="35"/>
  <c r="H12" i="3" s="1"/>
  <c r="I96" i="19"/>
  <c r="N94"/>
  <c r="N8" i="35"/>
  <c r="M10" i="3" s="1"/>
  <c r="O20" i="35"/>
  <c r="N22" i="3" s="1"/>
  <c r="O106" i="19"/>
  <c r="A54"/>
  <c r="A55"/>
  <c r="A49"/>
  <c r="A50"/>
  <c r="A57"/>
  <c r="A48"/>
  <c r="A46"/>
  <c r="A47"/>
  <c r="A58"/>
  <c r="E69" i="18"/>
  <c r="E68" i="19" s="1"/>
  <c r="E55"/>
  <c r="M92"/>
  <c r="M6" i="35"/>
  <c r="L8" i="3" s="1"/>
  <c r="G15" i="27"/>
  <c r="D16"/>
  <c r="E97" i="19"/>
  <c r="E11" i="35"/>
  <c r="D13" i="3" s="1"/>
  <c r="F7" i="19"/>
  <c r="F79" s="1"/>
  <c r="F21" i="18"/>
  <c r="F16" i="35"/>
  <c r="E18" i="3" s="1"/>
  <c r="F102" i="19"/>
  <c r="K32" i="27"/>
  <c r="C31"/>
  <c r="G33" i="24"/>
  <c r="B15" i="27" s="1"/>
  <c r="I33" i="24"/>
  <c r="F34"/>
  <c r="G34" s="1"/>
  <c r="B16" i="27" s="1"/>
  <c r="O102" i="19"/>
  <c r="O16" i="35"/>
  <c r="N18" i="3" s="1"/>
  <c r="B18"/>
  <c r="L16" i="35"/>
  <c r="K18" i="3" s="1"/>
  <c r="K41" i="35"/>
  <c r="J43" i="3" s="1"/>
  <c r="K127" i="19"/>
  <c r="K54" i="35" s="1"/>
  <c r="J56" i="3" s="1"/>
  <c r="N100" i="19"/>
  <c r="N14" i="35"/>
  <c r="M16" i="3" s="1"/>
  <c r="K14" i="35"/>
  <c r="J16" i="3" s="1"/>
  <c r="K100" i="19"/>
  <c r="B16" i="3"/>
  <c r="L14" i="35"/>
  <c r="K16" i="3" s="1"/>
  <c r="M9" i="35"/>
  <c r="L11" i="3" s="1"/>
  <c r="M95" i="19"/>
  <c r="J9" i="35"/>
  <c r="I11" i="3" s="1"/>
  <c r="J95" i="19"/>
  <c r="H10" i="24"/>
  <c r="D2" i="27" s="1"/>
  <c r="F123" i="19"/>
  <c r="F50" i="35" s="1"/>
  <c r="E52" i="3" s="1"/>
  <c r="C48" i="27"/>
  <c r="P40" i="35"/>
  <c r="O42" i="3" s="1"/>
  <c r="E124" i="19"/>
  <c r="E51" i="35" s="1"/>
  <c r="D53" i="3" s="1"/>
  <c r="L41" i="35"/>
  <c r="K43" i="3" s="1"/>
  <c r="H41" i="35"/>
  <c r="P36"/>
  <c r="O38" i="3" s="1"/>
  <c r="J32" i="35"/>
  <c r="I34" i="3" s="1"/>
  <c r="M36" i="35"/>
  <c r="L38" i="3" s="1"/>
  <c r="N125" i="19"/>
  <c r="N52" i="35" s="1"/>
  <c r="M54" i="3" s="1"/>
  <c r="P38" i="35"/>
  <c r="O40" i="3" s="1"/>
  <c r="J109" i="19"/>
  <c r="P116"/>
  <c r="L116"/>
  <c r="I116"/>
  <c r="D12" i="24"/>
  <c r="K116" i="19"/>
  <c r="M117"/>
  <c r="N109"/>
  <c r="F28"/>
  <c r="J18" i="35"/>
  <c r="I20" i="3" s="1"/>
  <c r="O104" i="19"/>
  <c r="P94"/>
  <c r="H9" i="35"/>
  <c r="J37"/>
  <c r="I39" i="3" s="1"/>
  <c r="E13" i="35"/>
  <c r="D15" i="3" s="1"/>
  <c r="J40" i="24"/>
  <c r="B9" i="27" s="1"/>
  <c r="G12" i="35"/>
  <c r="F14" i="3" s="1"/>
  <c r="O39" i="35"/>
  <c r="N41" i="3" s="1"/>
  <c r="E46" i="18"/>
  <c r="F39"/>
  <c r="D13" i="24"/>
  <c r="I11" i="35"/>
  <c r="H13" i="3" s="1"/>
  <c r="A52" i="19"/>
  <c r="A51"/>
  <c r="J24" i="35"/>
  <c r="I26" i="3" s="1"/>
  <c r="F30" i="18"/>
  <c r="F16" i="19"/>
  <c r="F88" s="1"/>
  <c r="I107"/>
  <c r="I21" i="35"/>
  <c r="H23" i="3" s="1"/>
  <c r="I27" i="35"/>
  <c r="H29" i="3" s="1"/>
  <c r="I113" i="19"/>
  <c r="N19" i="35"/>
  <c r="M21" i="3" s="1"/>
  <c r="N105" i="19"/>
  <c r="K92"/>
  <c r="K6" i="35"/>
  <c r="J8" i="3" s="1"/>
  <c r="E23" i="18"/>
  <c r="E9" i="19"/>
  <c r="E81" s="1"/>
  <c r="F95"/>
  <c r="F9" i="35"/>
  <c r="E11" i="3" s="1"/>
  <c r="E29" i="18"/>
  <c r="E15" i="19"/>
  <c r="E87" s="1"/>
  <c r="J35" i="24"/>
  <c r="B4" i="27" s="1"/>
  <c r="B17"/>
  <c r="B22" i="3"/>
  <c r="N20" i="35"/>
  <c r="M22" i="3" s="1"/>
  <c r="G25" i="35"/>
  <c r="F27" i="3" s="1"/>
  <c r="G111" i="19"/>
  <c r="P9" i="35"/>
  <c r="O11" i="3" s="1"/>
  <c r="P95" i="19"/>
  <c r="I7" i="35"/>
  <c r="H9" i="3" s="1"/>
  <c r="I93" i="19"/>
  <c r="M43" i="35"/>
  <c r="L45" i="3" s="1"/>
  <c r="M129" i="19"/>
  <c r="M56" i="35" s="1"/>
  <c r="L58" i="3" s="1"/>
  <c r="I42" i="35"/>
  <c r="H44" i="3" s="1"/>
  <c r="N51" i="35"/>
  <c r="M53" i="3" s="1"/>
  <c r="J51" i="35"/>
  <c r="I53" i="3" s="1"/>
  <c r="N26" i="35"/>
  <c r="M28" i="3" s="1"/>
  <c r="L115" i="19"/>
  <c r="J12" i="35"/>
  <c r="I14" i="3" s="1"/>
  <c r="I12" i="35"/>
  <c r="H14" i="3" s="1"/>
  <c r="J54" i="35"/>
  <c r="I56" i="3" s="1"/>
  <c r="B34" i="27"/>
  <c r="N31" i="35"/>
  <c r="M33" i="3" s="1"/>
  <c r="A56" i="19"/>
  <c r="E6" i="35"/>
  <c r="D8" i="3" s="1"/>
  <c r="E92" i="19"/>
  <c r="F9"/>
  <c r="F81" s="1"/>
  <c r="F23" i="18"/>
  <c r="F54"/>
  <c r="F40" i="19"/>
  <c r="F56"/>
  <c r="F70" i="18"/>
  <c r="F69" i="19" s="1"/>
  <c r="K23" i="35"/>
  <c r="J25" i="3" s="1"/>
  <c r="K109" i="19"/>
  <c r="L19" i="35"/>
  <c r="K21" i="3" s="1"/>
  <c r="L105" i="19"/>
  <c r="I6" i="35"/>
  <c r="H8" i="3" s="1"/>
  <c r="I92" i="19"/>
  <c r="F23"/>
  <c r="F37" i="18"/>
  <c r="F25"/>
  <c r="F11" i="19"/>
  <c r="F83" s="1"/>
  <c r="J99"/>
  <c r="J13" i="35"/>
  <c r="I15" i="3" s="1"/>
  <c r="L12" i="35"/>
  <c r="K14" i="3" s="1"/>
  <c r="L98" i="19"/>
  <c r="H98"/>
  <c r="H12" i="35"/>
  <c r="K107" i="19"/>
  <c r="K21" i="35"/>
  <c r="J23" i="3" s="1"/>
  <c r="C5" i="27"/>
  <c r="K39" i="35"/>
  <c r="J41" i="3" s="1"/>
  <c r="E35" i="35"/>
  <c r="D37" i="3" s="1"/>
  <c r="F45" i="19"/>
  <c r="O34" i="35"/>
  <c r="N36" i="3" s="1"/>
  <c r="J115" i="19"/>
  <c r="O25" i="35"/>
  <c r="N27" i="3" s="1"/>
  <c r="F18" i="35"/>
  <c r="E20" i="3" s="1"/>
  <c r="E38" i="18"/>
  <c r="G10" i="24"/>
  <c r="E2" i="27" s="1"/>
  <c r="E3" s="1"/>
  <c r="E4" s="1"/>
  <c r="E5" s="1"/>
  <c r="E6" s="1"/>
  <c r="E7" s="1"/>
  <c r="E8" s="1"/>
  <c r="E9" s="1"/>
  <c r="O23" i="35"/>
  <c r="N25" i="3" s="1"/>
  <c r="G24" i="35"/>
  <c r="F26" i="3" s="1"/>
  <c r="G18" i="35"/>
  <c r="F20" i="3" s="1"/>
  <c r="L96" i="19"/>
  <c r="H102"/>
  <c r="C6" i="27"/>
  <c r="C45"/>
  <c r="M126" i="19"/>
  <c r="M53" i="35" s="1"/>
  <c r="L55" i="3" s="1"/>
  <c r="B38" i="27"/>
  <c r="O124" i="19"/>
  <c r="O51" i="35" s="1"/>
  <c r="N53" i="3" s="1"/>
  <c r="G125" i="19"/>
  <c r="G52" i="35" s="1"/>
  <c r="F54" i="3" s="1"/>
  <c r="L130" i="19"/>
  <c r="L57" i="35" s="1"/>
  <c r="K59" i="3" s="1"/>
  <c r="M123" i="19"/>
  <c r="M50" i="35" s="1"/>
  <c r="L52" i="3" s="1"/>
  <c r="F41" i="19"/>
  <c r="G42" i="35"/>
  <c r="F44" i="3" s="1"/>
  <c r="L108" i="19"/>
  <c r="L24" i="35"/>
  <c r="K26" i="3" s="1"/>
  <c r="O35" i="35"/>
  <c r="N37" i="3" s="1"/>
  <c r="L27" i="35"/>
  <c r="K29" i="3" s="1"/>
  <c r="G11" i="35"/>
  <c r="F13" i="3" s="1"/>
  <c r="G20" i="35"/>
  <c r="F22" i="3" s="1"/>
  <c r="K2" i="27"/>
  <c r="K3" s="1"/>
  <c r="K4" s="1"/>
  <c r="K5" s="1"/>
  <c r="K6" s="1"/>
  <c r="K7" s="1"/>
  <c r="K8" s="1"/>
  <c r="F12" i="35"/>
  <c r="E14" i="3" s="1"/>
  <c r="G36" i="35"/>
  <c r="F38" i="3" s="1"/>
  <c r="K95" i="19"/>
  <c r="E11"/>
  <c r="E83" s="1"/>
  <c r="P24" i="35"/>
  <c r="O26" i="3" s="1"/>
  <c r="E18" i="35"/>
  <c r="D20" i="3" s="1"/>
  <c r="N103" i="19"/>
  <c r="L11" i="35"/>
  <c r="K13" i="3" s="1"/>
  <c r="F111" i="19"/>
  <c r="E22" i="18"/>
  <c r="F27"/>
  <c r="P11" i="35"/>
  <c r="O13" i="3" s="1"/>
  <c r="N11" i="35"/>
  <c r="M13" i="3" s="1"/>
  <c r="J20" i="35"/>
  <c r="I22" i="3" s="1"/>
  <c r="F93" i="19"/>
  <c r="F7" i="35"/>
  <c r="E9" i="3" s="1"/>
  <c r="J45" i="24"/>
  <c r="B14" i="27" s="1"/>
  <c r="B27"/>
  <c r="AU18" i="39"/>
  <c r="AS18"/>
  <c r="AM18"/>
  <c r="AG18"/>
  <c r="BC18"/>
  <c r="AP18"/>
  <c r="AN18"/>
  <c r="AH18"/>
  <c r="BD18"/>
  <c r="AX18"/>
  <c r="AI18"/>
  <c r="AJ18"/>
  <c r="BA18"/>
  <c r="AY18"/>
  <c r="AQ18"/>
  <c r="AO18"/>
  <c r="AW18"/>
  <c r="BB18"/>
  <c r="AL18"/>
  <c r="AK18"/>
  <c r="AT18"/>
  <c r="AF18"/>
  <c r="F18"/>
  <c r="AV20"/>
  <c r="AS20"/>
  <c r="AM20"/>
  <c r="AG20"/>
  <c r="BC20"/>
  <c r="AO20"/>
  <c r="AN20"/>
  <c r="AH20"/>
  <c r="BD20"/>
  <c r="AX20"/>
  <c r="AK20"/>
  <c r="AJ20"/>
  <c r="BA20"/>
  <c r="AY20"/>
  <c r="AQ20"/>
  <c r="AI20"/>
  <c r="AZ20"/>
  <c r="AW20"/>
  <c r="BB20"/>
  <c r="AL20"/>
  <c r="AU20"/>
  <c r="F20"/>
  <c r="AP26"/>
  <c r="AX26"/>
  <c r="AI26"/>
  <c r="AQ26"/>
  <c r="BB26"/>
  <c r="AL26"/>
  <c r="AN26"/>
  <c r="AT26"/>
  <c r="BC26"/>
  <c r="AK26"/>
  <c r="AO26"/>
  <c r="AF26"/>
  <c r="BA26"/>
  <c r="AY26"/>
  <c r="AU26"/>
  <c r="AJ26"/>
  <c r="BD26"/>
  <c r="AG26"/>
  <c r="AH54"/>
  <c r="AT54"/>
  <c r="BD54"/>
  <c r="AZ54"/>
  <c r="AG54"/>
  <c r="AQ54"/>
  <c r="BC54"/>
  <c r="AK54"/>
  <c r="AI54"/>
  <c r="AM54"/>
  <c r="AY54"/>
  <c r="AO54"/>
  <c r="BB54"/>
  <c r="AS54"/>
  <c r="AV54"/>
  <c r="AN54"/>
  <c r="AX54"/>
  <c r="AU54"/>
  <c r="BA54"/>
  <c r="AL54"/>
  <c r="AP54"/>
  <c r="F54"/>
  <c r="AF54"/>
  <c r="L31" i="35"/>
  <c r="K33" i="3" s="1"/>
  <c r="P99" i="19"/>
  <c r="M16" i="35"/>
  <c r="L18" i="3" s="1"/>
  <c r="G26" i="35"/>
  <c r="F28" i="3" s="1"/>
  <c r="J16" i="35"/>
  <c r="I18" i="3" s="1"/>
  <c r="N22" i="35"/>
  <c r="M24" i="3" s="1"/>
  <c r="I22" i="35"/>
  <c r="H24" i="3" s="1"/>
  <c r="A34" i="19"/>
  <c r="I29" i="35"/>
  <c r="H31" i="3" s="1"/>
  <c r="G13" i="35"/>
  <c r="F15" i="3" s="1"/>
  <c r="B15"/>
  <c r="M94" i="19"/>
  <c r="M8" i="35"/>
  <c r="L10" i="3" s="1"/>
  <c r="H7" i="35"/>
  <c r="H93" i="19"/>
  <c r="A42"/>
  <c r="A43"/>
  <c r="A38"/>
  <c r="A35"/>
  <c r="A40"/>
  <c r="A44"/>
  <c r="A37"/>
  <c r="A41"/>
  <c r="A36"/>
  <c r="P14" i="35"/>
  <c r="O16" i="3" s="1"/>
  <c r="L26" i="35"/>
  <c r="K28" i="3" s="1"/>
  <c r="J11" i="35"/>
  <c r="I13" i="3" s="1"/>
  <c r="B4" i="32"/>
  <c r="A21" i="19"/>
  <c r="A25"/>
  <c r="A22"/>
  <c r="A27"/>
  <c r="A31"/>
  <c r="A66"/>
  <c r="A68"/>
  <c r="A70"/>
  <c r="P12" i="35"/>
  <c r="O14" i="3" s="1"/>
  <c r="I18" i="35"/>
  <c r="H20" i="3" s="1"/>
  <c r="L15" i="35"/>
  <c r="K17" i="3" s="1"/>
  <c r="A32" i="19"/>
  <c r="A26"/>
  <c r="A67"/>
  <c r="AV4" i="39"/>
  <c r="AS4"/>
  <c r="AM4"/>
  <c r="AG4"/>
  <c r="BC4"/>
  <c r="AO4"/>
  <c r="AN4"/>
  <c r="AH4"/>
  <c r="BD4"/>
  <c r="AX4"/>
  <c r="AK4"/>
  <c r="AJ4"/>
  <c r="BA4"/>
  <c r="AY4"/>
  <c r="AQ4"/>
  <c r="AI4"/>
  <c r="F4"/>
  <c r="AS21"/>
  <c r="AP21"/>
  <c r="AO21"/>
  <c r="AT21"/>
  <c r="AL21"/>
  <c r="AX21"/>
  <c r="BD21"/>
  <c r="AN21"/>
  <c r="AK21"/>
  <c r="AI21"/>
  <c r="AJ21"/>
  <c r="BA21"/>
  <c r="BB21"/>
  <c r="AZ21"/>
  <c r="AM21"/>
  <c r="BC21"/>
  <c r="AT25"/>
  <c r="AN25"/>
  <c r="AK25"/>
  <c r="AI25"/>
  <c r="AL25"/>
  <c r="AJ25"/>
  <c r="BA25"/>
  <c r="BB25"/>
  <c r="AZ25"/>
  <c r="AH25"/>
  <c r="BD25"/>
  <c r="AF25"/>
  <c r="AW25"/>
  <c r="AV25"/>
  <c r="AU25"/>
  <c r="AM25"/>
  <c r="AQ25"/>
  <c r="AK53"/>
  <c r="AV53"/>
  <c r="AN53"/>
  <c r="BC53"/>
  <c r="AG53"/>
  <c r="AI53"/>
  <c r="AU53"/>
  <c r="AJ53"/>
  <c r="BA53"/>
  <c r="AL53"/>
  <c r="AP53"/>
  <c r="BB53"/>
  <c r="AF53"/>
  <c r="AW53"/>
  <c r="AQ53"/>
  <c r="AY53"/>
  <c r="AH52"/>
  <c r="AU50"/>
  <c r="A24"/>
  <c r="AX25"/>
  <c r="BD5"/>
  <c r="AS5"/>
  <c r="AP5"/>
  <c r="AO5"/>
  <c r="AX5"/>
  <c r="AL5"/>
  <c r="AN5"/>
  <c r="AK5"/>
  <c r="AI5"/>
  <c r="AH5"/>
  <c r="AJ5"/>
  <c r="BA5"/>
  <c r="BB5"/>
  <c r="AZ5"/>
  <c r="AM5"/>
  <c r="BC5"/>
  <c r="AN7"/>
  <c r="AK7"/>
  <c r="AI7"/>
  <c r="AQ7"/>
  <c r="AJ7"/>
  <c r="BA7"/>
  <c r="BB7"/>
  <c r="AZ7"/>
  <c r="AG7"/>
  <c r="AF7"/>
  <c r="AW7"/>
  <c r="AV7"/>
  <c r="AU7"/>
  <c r="AM7"/>
  <c r="BC7"/>
  <c r="AH7"/>
  <c r="AX7"/>
  <c r="F52"/>
  <c r="AS52"/>
  <c r="AM52"/>
  <c r="AU52"/>
  <c r="AG52"/>
  <c r="AN52"/>
  <c r="AI52"/>
  <c r="AZ52"/>
  <c r="BC52"/>
  <c r="AO52"/>
  <c r="AJ52"/>
  <c r="BA52"/>
  <c r="AV52"/>
  <c r="AX52"/>
  <c r="AP52"/>
  <c r="BB52"/>
  <c r="AF51"/>
  <c r="AW51"/>
  <c r="AQ51"/>
  <c r="AL51"/>
  <c r="AP51"/>
  <c r="F51"/>
  <c r="AS51"/>
  <c r="AM51"/>
  <c r="BD51"/>
  <c r="AU51"/>
  <c r="AG51"/>
  <c r="AY51"/>
  <c r="AN51"/>
  <c r="AI51"/>
  <c r="AZ51"/>
  <c r="BC51"/>
  <c r="AO51"/>
  <c r="AT51"/>
  <c r="AV50"/>
  <c r="AH50"/>
  <c r="AQ50"/>
  <c r="AP50"/>
  <c r="AM50"/>
  <c r="BD50"/>
  <c r="AY50"/>
  <c r="AK50"/>
  <c r="BA50"/>
  <c r="AJ50"/>
  <c r="AN24"/>
  <c r="AH24"/>
  <c r="BD24"/>
  <c r="AX24"/>
  <c r="AZ24"/>
  <c r="AP24"/>
  <c r="AJ24"/>
  <c r="BA24"/>
  <c r="AY24"/>
  <c r="AQ24"/>
  <c r="AK24"/>
  <c r="AF24"/>
  <c r="AW24"/>
  <c r="AT24"/>
  <c r="AL24"/>
  <c r="AJ9"/>
  <c r="BA9"/>
  <c r="BB9"/>
  <c r="AZ9"/>
  <c r="AT9"/>
  <c r="AH9"/>
  <c r="AF9"/>
  <c r="AW9"/>
  <c r="AV9"/>
  <c r="AU9"/>
  <c r="AL9"/>
  <c r="BD9"/>
  <c r="AS9"/>
  <c r="AP9"/>
  <c r="AO9"/>
  <c r="AQ9"/>
  <c r="F9"/>
  <c r="AF11"/>
  <c r="AW11"/>
  <c r="AV11"/>
  <c r="AU11"/>
  <c r="AG11"/>
  <c r="AS11"/>
  <c r="AP11"/>
  <c r="AO11"/>
  <c r="AQ11"/>
  <c r="AM11"/>
  <c r="BC11"/>
  <c r="AN11"/>
  <c r="AK11"/>
  <c r="AI11"/>
  <c r="AY11"/>
  <c r="AL11"/>
  <c r="AS14"/>
  <c r="AM14"/>
  <c r="AG14"/>
  <c r="BC14"/>
  <c r="AN14"/>
  <c r="AH14"/>
  <c r="BD14"/>
  <c r="AX14"/>
  <c r="AJ14"/>
  <c r="BA14"/>
  <c r="AY14"/>
  <c r="AQ14"/>
  <c r="AK14"/>
  <c r="AZ14"/>
  <c r="F14"/>
  <c r="AS16"/>
  <c r="AM16"/>
  <c r="AG16"/>
  <c r="BC16"/>
  <c r="AN16"/>
  <c r="AH16"/>
  <c r="BD16"/>
  <c r="AX16"/>
  <c r="AJ16"/>
  <c r="BA16"/>
  <c r="AY16"/>
  <c r="AQ16"/>
  <c r="AU16"/>
  <c r="AJ27"/>
  <c r="BA27"/>
  <c r="BB27"/>
  <c r="AZ27"/>
  <c r="AM27"/>
  <c r="AF27"/>
  <c r="AW27"/>
  <c r="AV27"/>
  <c r="AU27"/>
  <c r="AY27"/>
  <c r="AQ27"/>
  <c r="AG27"/>
  <c r="F27"/>
  <c r="AS27"/>
  <c r="AP27"/>
  <c r="AO27"/>
  <c r="BC27"/>
  <c r="AH27"/>
  <c r="AL27"/>
  <c r="AJ23"/>
  <c r="BA23"/>
  <c r="BB23"/>
  <c r="AZ23"/>
  <c r="BC23"/>
  <c r="AF23"/>
  <c r="AW23"/>
  <c r="AV23"/>
  <c r="AU23"/>
  <c r="AM23"/>
  <c r="AG23"/>
  <c r="F23"/>
  <c r="AS23"/>
  <c r="AP23"/>
  <c r="AO23"/>
  <c r="AY23"/>
  <c r="AQ23"/>
  <c r="AH23"/>
  <c r="AX23"/>
  <c r="AP7"/>
  <c r="A13"/>
  <c r="AZ53"/>
  <c r="AZ4"/>
  <c r="U210" i="8"/>
  <c r="U247" s="1"/>
  <c r="AO43" i="39"/>
  <c r="AP43"/>
  <c r="AS43"/>
  <c r="F43"/>
  <c r="AI19"/>
  <c r="AK19"/>
  <c r="AN19"/>
  <c r="AU15"/>
  <c r="AV15"/>
  <c r="AW15"/>
  <c r="AF15"/>
  <c r="AV3"/>
  <c r="F41"/>
  <c r="BC50"/>
  <c r="AL50"/>
  <c r="AU49"/>
  <c r="BC46"/>
  <c r="AL46"/>
  <c r="AU45"/>
  <c r="BB42"/>
  <c r="BD41"/>
  <c r="AH41"/>
  <c r="AI38"/>
  <c r="AL37"/>
  <c r="AP34"/>
  <c r="AT33"/>
  <c r="AU30"/>
  <c r="AX29"/>
  <c r="AI22"/>
  <c r="AK16"/>
  <c r="AI14"/>
  <c r="AK12"/>
  <c r="AI10"/>
  <c r="AK8"/>
  <c r="AI6"/>
  <c r="F49"/>
  <c r="AO50"/>
  <c r="AX49"/>
  <c r="AG49"/>
  <c r="AO46"/>
  <c r="AX45"/>
  <c r="AG45"/>
  <c r="AI42"/>
  <c r="AL41"/>
  <c r="AP38"/>
  <c r="AT37"/>
  <c r="AU34"/>
  <c r="AX33"/>
  <c r="BB30"/>
  <c r="BD29"/>
  <c r="AH29"/>
  <c r="AP22"/>
  <c r="AO16"/>
  <c r="AP14"/>
  <c r="AO12"/>
  <c r="AP10"/>
  <c r="AO8"/>
  <c r="AP6"/>
  <c r="AZ43"/>
  <c r="BB43"/>
  <c r="BA43"/>
  <c r="AU19"/>
  <c r="AV19"/>
  <c r="AW19"/>
  <c r="AI15"/>
  <c r="AK15"/>
  <c r="AM3"/>
  <c r="AF50"/>
  <c r="BC49"/>
  <c r="BC45"/>
  <c r="BD33"/>
  <c r="E49" i="8"/>
  <c r="E107" s="1"/>
  <c r="E167" s="1"/>
  <c r="K21" i="39" s="1"/>
  <c r="E51" i="8"/>
  <c r="E109" s="1"/>
  <c r="E169" s="1"/>
  <c r="K23" i="39" s="1"/>
  <c r="E65" i="8"/>
  <c r="E123" s="1"/>
  <c r="E183" s="1"/>
  <c r="K37" i="39" s="1"/>
  <c r="E80" i="8"/>
  <c r="E138" s="1"/>
  <c r="E198" s="1"/>
  <c r="K52" i="39" s="1"/>
  <c r="F28" i="32"/>
  <c r="E57" i="8"/>
  <c r="E115" s="1"/>
  <c r="E175" s="1"/>
  <c r="K29" i="39" s="1"/>
  <c r="E79" i="8"/>
  <c r="E137" s="1"/>
  <c r="E197" s="1"/>
  <c r="K51" i="39" s="1"/>
  <c r="E82" i="8"/>
  <c r="E16" i="24"/>
  <c r="E20" s="1"/>
  <c r="F18"/>
  <c r="F27" i="32"/>
  <c r="E44" i="8"/>
  <c r="E102" s="1"/>
  <c r="E162" s="1"/>
  <c r="K16" i="39" s="1"/>
  <c r="E40" i="8"/>
  <c r="E98" s="1"/>
  <c r="E158" s="1"/>
  <c r="E62"/>
  <c r="E120" s="1"/>
  <c r="E180" s="1"/>
  <c r="K34" i="39" s="1"/>
  <c r="C27" i="32"/>
  <c r="E64" i="8"/>
  <c r="E122" s="1"/>
  <c r="E182" s="1"/>
  <c r="K36" i="39" s="1"/>
  <c r="E76" i="8"/>
  <c r="E134" s="1"/>
  <c r="E194" s="1"/>
  <c r="K48" i="39" s="1"/>
  <c r="E47" i="8"/>
  <c r="E105" s="1"/>
  <c r="E165" s="1"/>
  <c r="K19" i="39" s="1"/>
  <c r="E68" i="8"/>
  <c r="E126" s="1"/>
  <c r="E186" s="1"/>
  <c r="K40" i="39" s="1"/>
  <c r="E140" i="8"/>
  <c r="E200" s="1"/>
  <c r="K54" i="39" s="1"/>
  <c r="I24" i="24"/>
  <c r="K55" i="27"/>
  <c r="E128" i="8"/>
  <c r="E188" s="1"/>
  <c r="K42" i="39" s="1"/>
  <c r="E48" i="8"/>
  <c r="E106" s="1"/>
  <c r="E166" s="1"/>
  <c r="K20" i="39" s="1"/>
  <c r="E53" i="8"/>
  <c r="E111" s="1"/>
  <c r="E171" s="1"/>
  <c r="K25" i="39" s="1"/>
  <c r="E63" i="8"/>
  <c r="E121" s="1"/>
  <c r="E181" s="1"/>
  <c r="K35" i="39" s="1"/>
  <c r="G79" i="8"/>
  <c r="G137" s="1"/>
  <c r="G197" s="1"/>
  <c r="M51" i="39" s="1"/>
  <c r="E11"/>
  <c r="E42"/>
  <c r="E28"/>
  <c r="D22" i="24"/>
  <c r="G22" s="1"/>
  <c r="E54" i="27" s="1"/>
  <c r="E77" i="8"/>
  <c r="E135" s="1"/>
  <c r="E195" s="1"/>
  <c r="K49" i="39" s="1"/>
  <c r="C31" i="32"/>
  <c r="E38" i="39"/>
  <c r="E12"/>
  <c r="E43"/>
  <c r="E21"/>
  <c r="E6"/>
  <c r="E33"/>
  <c r="S210" i="8"/>
  <c r="S247" s="1"/>
  <c r="P210"/>
  <c r="P247" s="1"/>
  <c r="Y210"/>
  <c r="Y247" s="1"/>
  <c r="V210"/>
  <c r="V247" s="1"/>
  <c r="I210"/>
  <c r="I247" s="1"/>
  <c r="X210"/>
  <c r="X247" s="1"/>
  <c r="H3" i="39"/>
  <c r="H210" i="8"/>
  <c r="H247" s="1"/>
  <c r="M210"/>
  <c r="M247" s="1"/>
  <c r="E210"/>
  <c r="E247" s="1"/>
  <c r="F210"/>
  <c r="F247" s="1"/>
  <c r="G210"/>
  <c r="G247" s="1"/>
  <c r="W210"/>
  <c r="W247" s="1"/>
  <c r="N210"/>
  <c r="N247" s="1"/>
  <c r="L210"/>
  <c r="L247" s="1"/>
  <c r="R210"/>
  <c r="R247" s="1"/>
  <c r="O210"/>
  <c r="O247" s="1"/>
  <c r="J210"/>
  <c r="J247" s="1"/>
  <c r="T210"/>
  <c r="T247" s="1"/>
  <c r="Q210"/>
  <c r="Q247" s="1"/>
  <c r="E31" i="39"/>
  <c r="E22"/>
  <c r="E17"/>
  <c r="E53"/>
  <c r="E44"/>
  <c r="E27"/>
  <c r="E10"/>
  <c r="E54"/>
  <c r="E49"/>
  <c r="E32"/>
  <c r="F63" i="8"/>
  <c r="F121" s="1"/>
  <c r="F181" s="1"/>
  <c r="L35" i="39" s="1"/>
  <c r="H38" i="8"/>
  <c r="H96" s="1"/>
  <c r="H156" s="1"/>
  <c r="N10" i="39" s="1"/>
  <c r="F79" i="8"/>
  <c r="F137" s="1"/>
  <c r="F197" s="1"/>
  <c r="L51" i="39" s="1"/>
  <c r="G38" i="8"/>
  <c r="G96" s="1"/>
  <c r="G156" s="1"/>
  <c r="M10" i="39" s="1"/>
  <c r="F82" i="8"/>
  <c r="F140" s="1"/>
  <c r="F200" s="1"/>
  <c r="L54" i="39" s="1"/>
  <c r="G80" i="8"/>
  <c r="G138" s="1"/>
  <c r="G198" s="1"/>
  <c r="M52" i="39" s="1"/>
  <c r="G82" i="8"/>
  <c r="G140" s="1"/>
  <c r="G200" s="1"/>
  <c r="G81"/>
  <c r="G139" s="1"/>
  <c r="G199" s="1"/>
  <c r="M53" i="39" s="1"/>
  <c r="F80" i="8"/>
  <c r="F138" s="1"/>
  <c r="F198" s="1"/>
  <c r="L52" i="39" s="1"/>
  <c r="I38" i="8"/>
  <c r="I96" s="1"/>
  <c r="I156" s="1"/>
  <c r="O10" i="39" s="1"/>
  <c r="H80" i="8"/>
  <c r="H138" s="1"/>
  <c r="H37"/>
  <c r="H95" s="1"/>
  <c r="H155" s="1"/>
  <c r="N9" i="39" s="1"/>
  <c r="F81" i="8"/>
  <c r="F139" s="1"/>
  <c r="F199" s="1"/>
  <c r="L53" i="39" s="1"/>
  <c r="F33" i="8"/>
  <c r="F91" s="1"/>
  <c r="F151" s="1"/>
  <c r="L5" i="39" s="1"/>
  <c r="E35" i="8"/>
  <c r="E93" s="1"/>
  <c r="E32"/>
  <c r="E90" s="1"/>
  <c r="E36"/>
  <c r="E94" s="1"/>
  <c r="E31"/>
  <c r="E34"/>
  <c r="E92" s="1"/>
  <c r="E26"/>
  <c r="E39"/>
  <c r="E97" s="1"/>
  <c r="E43"/>
  <c r="E101" s="1"/>
  <c r="F41"/>
  <c r="F99" s="1"/>
  <c r="F159" s="1"/>
  <c r="L13" i="39" s="1"/>
  <c r="E41" i="8"/>
  <c r="E99" s="1"/>
  <c r="E45"/>
  <c r="E103" s="1"/>
  <c r="E54"/>
  <c r="E112" s="1"/>
  <c r="E58"/>
  <c r="E116" s="1"/>
  <c r="D28" i="32"/>
  <c r="D27"/>
  <c r="D31"/>
  <c r="E33" i="8"/>
  <c r="E91" s="1"/>
  <c r="E37"/>
  <c r="E95" s="1"/>
  <c r="G37"/>
  <c r="G95" s="1"/>
  <c r="G155" s="1"/>
  <c r="M9" i="39" s="1"/>
  <c r="F37" i="8"/>
  <c r="F95" s="1"/>
  <c r="F155" s="1"/>
  <c r="L9" i="39" s="1"/>
  <c r="E42" i="8"/>
  <c r="E100" s="1"/>
  <c r="E46"/>
  <c r="E104" s="1"/>
  <c r="F64"/>
  <c r="F122" s="1"/>
  <c r="D17" i="24"/>
  <c r="D21" s="1"/>
  <c r="D14"/>
  <c r="D19"/>
  <c r="E24"/>
  <c r="E56" i="8"/>
  <c r="E114" s="1"/>
  <c r="E52"/>
  <c r="E110" s="1"/>
  <c r="E55"/>
  <c r="E113" s="1"/>
  <c r="E61"/>
  <c r="E119" s="1"/>
  <c r="E74"/>
  <c r="E132" s="1"/>
  <c r="E78"/>
  <c r="E136" s="1"/>
  <c r="F78"/>
  <c r="F136" s="1"/>
  <c r="F196" s="1"/>
  <c r="L50" i="39" s="1"/>
  <c r="G78" i="8"/>
  <c r="G136" s="1"/>
  <c r="G196" s="1"/>
  <c r="M50" i="39" s="1"/>
  <c r="F76" i="8"/>
  <c r="F134" s="1"/>
  <c r="E67"/>
  <c r="E125" s="1"/>
  <c r="E69"/>
  <c r="E127" s="1"/>
  <c r="E75"/>
  <c r="E133" s="1"/>
  <c r="E71"/>
  <c r="E129" s="1"/>
  <c r="E72"/>
  <c r="E130" s="1"/>
  <c r="F77"/>
  <c r="F135" s="1"/>
  <c r="E81"/>
  <c r="E139" s="1"/>
  <c r="E27" i="32"/>
  <c r="E28"/>
  <c r="F51" i="8"/>
  <c r="F109" s="1"/>
  <c r="E59"/>
  <c r="E117" s="1"/>
  <c r="E60"/>
  <c r="E118" s="1"/>
  <c r="F57"/>
  <c r="F115" s="1"/>
  <c r="E73"/>
  <c r="E131" s="1"/>
  <c r="E19" i="24"/>
  <c r="E15" i="39"/>
  <c r="E47"/>
  <c r="E26"/>
  <c r="E5"/>
  <c r="E37"/>
  <c r="E16"/>
  <c r="E38" i="8"/>
  <c r="E96" s="1"/>
  <c r="F38"/>
  <c r="F96" s="1"/>
  <c r="F156" s="1"/>
  <c r="L10" i="39" s="1"/>
  <c r="E50" i="8"/>
  <c r="E108" s="1"/>
  <c r="F50"/>
  <c r="F108" s="1"/>
  <c r="F168" s="1"/>
  <c r="L22" i="39" s="1"/>
  <c r="E66" i="8"/>
  <c r="E124" s="1"/>
  <c r="E52" i="39"/>
  <c r="E36"/>
  <c r="E20"/>
  <c r="E4"/>
  <c r="E41"/>
  <c r="E25"/>
  <c r="E9"/>
  <c r="E46"/>
  <c r="E30"/>
  <c r="E14"/>
  <c r="E51"/>
  <c r="E35"/>
  <c r="E19"/>
  <c r="E7"/>
  <c r="E40"/>
  <c r="E24"/>
  <c r="E8"/>
  <c r="E45"/>
  <c r="E29"/>
  <c r="E13"/>
  <c r="E50"/>
  <c r="E34"/>
  <c r="E18"/>
  <c r="E3"/>
  <c r="E39"/>
  <c r="E23"/>
  <c r="F69" i="8" l="1"/>
  <c r="F127" s="1"/>
  <c r="F187" s="1"/>
  <c r="L41" i="39" s="1"/>
  <c r="F66" i="8"/>
  <c r="F124" s="1"/>
  <c r="F184" s="1"/>
  <c r="L38" i="39" s="1"/>
  <c r="F68" i="8"/>
  <c r="F126" s="1"/>
  <c r="F65"/>
  <c r="F123" s="1"/>
  <c r="F67"/>
  <c r="F125" s="1"/>
  <c r="F185" s="1"/>
  <c r="L39" i="39" s="1"/>
  <c r="G65" i="8"/>
  <c r="G123" s="1"/>
  <c r="G183" s="1"/>
  <c r="M37" i="39" s="1"/>
  <c r="A7" i="19"/>
  <c r="A9"/>
  <c r="A13"/>
  <c r="A17"/>
  <c r="A11"/>
  <c r="A16"/>
  <c r="A12"/>
  <c r="A19"/>
  <c r="A10"/>
  <c r="A18"/>
  <c r="A15"/>
  <c r="A14"/>
  <c r="A8"/>
  <c r="M21" i="35"/>
  <c r="L23" i="3" s="1"/>
  <c r="M107" i="19"/>
  <c r="F38" i="35"/>
  <c r="E40" i="3" s="1"/>
  <c r="F124" i="19"/>
  <c r="F51" i="35" s="1"/>
  <c r="E53" i="3" s="1"/>
  <c r="L121" i="19"/>
  <c r="L48" i="35" s="1"/>
  <c r="K50" i="3" s="1"/>
  <c r="L35" i="35"/>
  <c r="K37" i="3" s="1"/>
  <c r="H115" i="19"/>
  <c r="H29" i="35"/>
  <c r="F50" i="18"/>
  <c r="F36" i="19"/>
  <c r="L32" i="35"/>
  <c r="K34" i="3" s="1"/>
  <c r="L118" i="19"/>
  <c r="L45" i="35" s="1"/>
  <c r="K47" i="3" s="1"/>
  <c r="F36" i="18"/>
  <c r="F22" i="19"/>
  <c r="E28"/>
  <c r="E42" i="18"/>
  <c r="E36"/>
  <c r="E22" i="19"/>
  <c r="I120"/>
  <c r="I47" i="35" s="1"/>
  <c r="H49" i="3" s="1"/>
  <c r="I34" i="35"/>
  <c r="H36" i="3" s="1"/>
  <c r="F52" i="18"/>
  <c r="F38" i="19"/>
  <c r="C9" i="27"/>
  <c r="P21" i="35"/>
  <c r="O23" i="3" s="1"/>
  <c r="P107" i="19"/>
  <c r="N36" i="35"/>
  <c r="M38" i="3" s="1"/>
  <c r="N122" i="19"/>
  <c r="N49" i="35" s="1"/>
  <c r="M51" i="3" s="1"/>
  <c r="I129" i="19"/>
  <c r="I56" i="35" s="1"/>
  <c r="H58" i="3" s="1"/>
  <c r="I43" i="35"/>
  <c r="H45" i="3" s="1"/>
  <c r="N27" i="35"/>
  <c r="M29" i="3" s="1"/>
  <c r="N113" i="19"/>
  <c r="I34" i="24"/>
  <c r="J34" s="1"/>
  <c r="B3" i="27" s="1"/>
  <c r="J33" i="24"/>
  <c r="B2" i="27" s="1"/>
  <c r="F29" i="35"/>
  <c r="E31" i="3" s="1"/>
  <c r="F115" i="19"/>
  <c r="N107"/>
  <c r="N21" i="35"/>
  <c r="M23" i="3" s="1"/>
  <c r="N115" i="19"/>
  <c r="N29" i="35"/>
  <c r="M31" i="3" s="1"/>
  <c r="E114" i="19"/>
  <c r="E28" i="35"/>
  <c r="D30" i="3" s="1"/>
  <c r="I123" i="19"/>
  <c r="I50" i="35" s="1"/>
  <c r="H52" i="3" s="1"/>
  <c r="I37" i="35"/>
  <c r="H39" i="3" s="1"/>
  <c r="G23" i="27"/>
  <c r="I23" s="1"/>
  <c r="J23" s="1"/>
  <c r="D24"/>
  <c r="B40"/>
  <c r="E21" i="19"/>
  <c r="E35" i="18"/>
  <c r="P22" i="35"/>
  <c r="O24" i="3" s="1"/>
  <c r="P108" i="19"/>
  <c r="G12" i="24"/>
  <c r="E10" i="27" s="1"/>
  <c r="E11" s="1"/>
  <c r="E12" s="1"/>
  <c r="E13" s="1"/>
  <c r="E14" s="1"/>
  <c r="H12" i="24"/>
  <c r="D10" i="27" s="1"/>
  <c r="J122" i="19"/>
  <c r="J49" i="35" s="1"/>
  <c r="I51" i="3" s="1"/>
  <c r="J36" i="35"/>
  <c r="I38" i="3" s="1"/>
  <c r="J22" i="35"/>
  <c r="I24" i="3" s="1"/>
  <c r="J108" i="19"/>
  <c r="C32" i="27"/>
  <c r="K33"/>
  <c r="N123" i="19"/>
  <c r="N50" i="35" s="1"/>
  <c r="M52" i="3" s="1"/>
  <c r="N37" i="35"/>
  <c r="M39" i="3" s="1"/>
  <c r="F106" i="19"/>
  <c r="F20" i="35"/>
  <c r="E22" i="3" s="1"/>
  <c r="F26" i="19"/>
  <c r="F40" i="18"/>
  <c r="N30" i="35"/>
  <c r="M32" i="3" s="1"/>
  <c r="N116" i="19"/>
  <c r="K108"/>
  <c r="K22" i="35"/>
  <c r="J24" i="3" s="1"/>
  <c r="E51" i="18"/>
  <c r="E37" i="19"/>
  <c r="L25" i="35"/>
  <c r="K27" i="3" s="1"/>
  <c r="L111" i="19"/>
  <c r="F96"/>
  <c r="F10" i="35"/>
  <c r="E12" i="3" s="1"/>
  <c r="I105" i="19"/>
  <c r="I19" i="35"/>
  <c r="H21" i="3" s="1"/>
  <c r="K122" i="19"/>
  <c r="K49" i="35" s="1"/>
  <c r="J51" i="3" s="1"/>
  <c r="K36" i="35"/>
  <c r="J38" i="3" s="1"/>
  <c r="E19" i="35"/>
  <c r="D21" i="3" s="1"/>
  <c r="E105" i="19"/>
  <c r="B47" i="27"/>
  <c r="L42" i="35"/>
  <c r="K44" i="3" s="1"/>
  <c r="L128" i="19"/>
  <c r="L55" i="35" s="1"/>
  <c r="K57" i="3" s="1"/>
  <c r="C4" i="27"/>
  <c r="F22" i="35"/>
  <c r="E24" i="3" s="1"/>
  <c r="F108" i="19"/>
  <c r="K105"/>
  <c r="K19" i="35"/>
  <c r="J21" i="3" s="1"/>
  <c r="F29" i="19"/>
  <c r="F43" i="18"/>
  <c r="K43" i="35"/>
  <c r="J45" i="3" s="1"/>
  <c r="K129" i="19"/>
  <c r="K56" i="35" s="1"/>
  <c r="J58" i="3" s="1"/>
  <c r="P43" i="35"/>
  <c r="O45" i="3" s="1"/>
  <c r="P129" i="19"/>
  <c r="P56" i="35" s="1"/>
  <c r="O58" i="3" s="1"/>
  <c r="G2" i="27"/>
  <c r="D3"/>
  <c r="O29" i="35"/>
  <c r="N31" i="3" s="1"/>
  <c r="O115" i="19"/>
  <c r="F34" i="18"/>
  <c r="F20" i="19"/>
  <c r="D17" i="27"/>
  <c r="G16"/>
  <c r="I16" s="1"/>
  <c r="J16" s="1"/>
  <c r="L16" s="1"/>
  <c r="D22" i="18" s="1"/>
  <c r="D21" i="19" s="1"/>
  <c r="G116"/>
  <c r="G30" i="35"/>
  <c r="F32" i="3" s="1"/>
  <c r="K130" i="19"/>
  <c r="K57" i="35" s="1"/>
  <c r="J59" i="3" s="1"/>
  <c r="K44" i="35"/>
  <c r="J46" i="3" s="1"/>
  <c r="F130" i="19"/>
  <c r="F57" i="35" s="1"/>
  <c r="E59" i="3" s="1"/>
  <c r="F44" i="35"/>
  <c r="E46" i="3" s="1"/>
  <c r="E125" i="19"/>
  <c r="E52" i="35" s="1"/>
  <c r="D54" i="3" s="1"/>
  <c r="E39" i="35"/>
  <c r="D41" i="3" s="1"/>
  <c r="K20" i="27"/>
  <c r="C19"/>
  <c r="H120" i="19"/>
  <c r="H47" i="35" s="1"/>
  <c r="H34"/>
  <c r="F26"/>
  <c r="E28" i="3" s="1"/>
  <c r="F112" i="19"/>
  <c r="E20" i="35"/>
  <c r="D22" i="3" s="1"/>
  <c r="E106" i="19"/>
  <c r="P112"/>
  <c r="P26" i="35"/>
  <c r="O28" i="3" s="1"/>
  <c r="B51" i="27"/>
  <c r="K120" i="19"/>
  <c r="K47" i="35" s="1"/>
  <c r="J49" i="3" s="1"/>
  <c r="K34" i="35"/>
  <c r="J36" i="3" s="1"/>
  <c r="F24" i="19"/>
  <c r="F38" i="18"/>
  <c r="F53" i="19"/>
  <c r="F67" i="18"/>
  <c r="F66" i="19" s="1"/>
  <c r="E100"/>
  <c r="E14" i="35"/>
  <c r="D16" i="3" s="1"/>
  <c r="E94" i="19"/>
  <c r="E8" i="35"/>
  <c r="D10" i="3" s="1"/>
  <c r="N118" i="19"/>
  <c r="N45" i="35" s="1"/>
  <c r="M47" i="3" s="1"/>
  <c r="N32" i="35"/>
  <c r="M34" i="3" s="1"/>
  <c r="B29" i="27"/>
  <c r="C16"/>
  <c r="F6" i="35"/>
  <c r="E8" i="3" s="1"/>
  <c r="F92" i="19"/>
  <c r="J116"/>
  <c r="J30" i="35"/>
  <c r="I32" i="3" s="1"/>
  <c r="L119" i="19"/>
  <c r="L46" i="35" s="1"/>
  <c r="K48" i="3" s="1"/>
  <c r="L33" i="35"/>
  <c r="K35" i="3" s="1"/>
  <c r="H106" i="19"/>
  <c r="H20" i="35"/>
  <c r="E10"/>
  <c r="D12" i="3" s="1"/>
  <c r="E96" i="19"/>
  <c r="K9" i="27"/>
  <c r="K10" s="1"/>
  <c r="C8"/>
  <c r="L23" i="35"/>
  <c r="K25" i="3" s="1"/>
  <c r="L109" i="19"/>
  <c r="J42" i="35"/>
  <c r="I44" i="3" s="1"/>
  <c r="J128" i="19"/>
  <c r="J55" i="35" s="1"/>
  <c r="I57" i="3" s="1"/>
  <c r="H25" i="35"/>
  <c r="H111" i="19"/>
  <c r="J112"/>
  <c r="J26" i="35"/>
  <c r="I28" i="3" s="1"/>
  <c r="F94" i="19"/>
  <c r="F8" i="35"/>
  <c r="E10" i="3" s="1"/>
  <c r="I106" i="19"/>
  <c r="I20" i="35"/>
  <c r="H22" i="3" s="1"/>
  <c r="G124" i="19"/>
  <c r="G51" i="35" s="1"/>
  <c r="F53" i="3" s="1"/>
  <c r="G38" i="35"/>
  <c r="F40" i="3" s="1"/>
  <c r="C17" i="27"/>
  <c r="B30"/>
  <c r="I126" i="19"/>
  <c r="I53" i="35" s="1"/>
  <c r="H55" i="3" s="1"/>
  <c r="I40" i="35"/>
  <c r="H42" i="3" s="1"/>
  <c r="F15" i="35"/>
  <c r="E17" i="3" s="1"/>
  <c r="F101" i="19"/>
  <c r="E59" i="18"/>
  <c r="E45" i="19"/>
  <c r="O31" i="35"/>
  <c r="N33" i="3" s="1"/>
  <c r="O117" i="19"/>
  <c r="M130"/>
  <c r="M57" i="35" s="1"/>
  <c r="L59" i="3" s="1"/>
  <c r="M44" i="35"/>
  <c r="L46" i="3" s="1"/>
  <c r="L129" i="19"/>
  <c r="L56" i="35" s="1"/>
  <c r="K58" i="3" s="1"/>
  <c r="L43" i="35"/>
  <c r="K45" i="3" s="1"/>
  <c r="M22" i="35"/>
  <c r="L24" i="3" s="1"/>
  <c r="M108" i="19"/>
  <c r="K27" i="35"/>
  <c r="J29" i="3" s="1"/>
  <c r="K113" i="19"/>
  <c r="B28" i="27"/>
  <c r="I15"/>
  <c r="J15" s="1"/>
  <c r="L15" s="1"/>
  <c r="D21" i="18" s="1"/>
  <c r="D20" i="19" s="1"/>
  <c r="C15" i="27"/>
  <c r="E110" i="19"/>
  <c r="E24" i="35"/>
  <c r="D26" i="3" s="1"/>
  <c r="M19" i="35"/>
  <c r="L21" i="3" s="1"/>
  <c r="M105" i="19"/>
  <c r="O33" i="35"/>
  <c r="N35" i="3" s="1"/>
  <c r="O119" i="19"/>
  <c r="O46" i="35" s="1"/>
  <c r="N48" i="3" s="1"/>
  <c r="I109" i="19"/>
  <c r="I23" i="35"/>
  <c r="H25" i="3" s="1"/>
  <c r="J130" i="19"/>
  <c r="J57" i="35" s="1"/>
  <c r="I59" i="3" s="1"/>
  <c r="J44" i="35"/>
  <c r="I46" i="3" s="1"/>
  <c r="C7" i="27"/>
  <c r="I37" i="8"/>
  <c r="I95" s="1"/>
  <c r="I155" s="1"/>
  <c r="O9" i="39" s="1"/>
  <c r="K56" i="27"/>
  <c r="I81" i="8"/>
  <c r="I139" s="1"/>
  <c r="I199" s="1"/>
  <c r="O53" i="39" s="1"/>
  <c r="H22" i="24"/>
  <c r="D54" i="27" s="1"/>
  <c r="D55" s="1"/>
  <c r="D56" s="1"/>
  <c r="D57" s="1"/>
  <c r="D58" s="1"/>
  <c r="D59" s="1"/>
  <c r="D60" s="1"/>
  <c r="D61" s="1"/>
  <c r="D24" i="24"/>
  <c r="H24" s="1"/>
  <c r="D62" i="27" s="1"/>
  <c r="D63" s="1"/>
  <c r="H82" i="8"/>
  <c r="H140" s="1"/>
  <c r="H200" s="1"/>
  <c r="N54" i="39" s="1"/>
  <c r="H79" i="8"/>
  <c r="H137" s="1"/>
  <c r="H197" s="1"/>
  <c r="F34"/>
  <c r="F92" s="1"/>
  <c r="F152" s="1"/>
  <c r="L6" i="39" s="1"/>
  <c r="H81" i="8"/>
  <c r="H139" s="1"/>
  <c r="H199" s="1"/>
  <c r="N53" i="39" s="1"/>
  <c r="H78" i="8"/>
  <c r="H136" s="1"/>
  <c r="H196" s="1"/>
  <c r="N50" i="39" s="1"/>
  <c r="F175" i="8"/>
  <c r="F44"/>
  <c r="F102" s="1"/>
  <c r="F47"/>
  <c r="F105" s="1"/>
  <c r="F48"/>
  <c r="F106" s="1"/>
  <c r="E199"/>
  <c r="E190"/>
  <c r="G76"/>
  <c r="G134" s="1"/>
  <c r="G194" s="1"/>
  <c r="M48" i="39" s="1"/>
  <c r="F56" i="8"/>
  <c r="F114" s="1"/>
  <c r="F174" s="1"/>
  <c r="L28" i="39" s="1"/>
  <c r="F55" i="8"/>
  <c r="F113" s="1"/>
  <c r="F173" s="1"/>
  <c r="L27" i="39" s="1"/>
  <c r="F52" i="8"/>
  <c r="F110" s="1"/>
  <c r="F170" s="1"/>
  <c r="L24" i="39" s="1"/>
  <c r="F53" i="8"/>
  <c r="F111" s="1"/>
  <c r="E160"/>
  <c r="F186"/>
  <c r="E150"/>
  <c r="E156"/>
  <c r="G50"/>
  <c r="G108" s="1"/>
  <c r="G168" s="1"/>
  <c r="M22" i="39" s="1"/>
  <c r="G51" i="8"/>
  <c r="G109" s="1"/>
  <c r="G169" s="1"/>
  <c r="M23" i="39" s="1"/>
  <c r="E193" i="8"/>
  <c r="H198"/>
  <c r="F182"/>
  <c r="E159"/>
  <c r="E191"/>
  <c r="F169"/>
  <c r="F72"/>
  <c r="F130" s="1"/>
  <c r="F190" s="1"/>
  <c r="L44" i="39" s="1"/>
  <c r="F70" i="8"/>
  <c r="F128" s="1"/>
  <c r="F71"/>
  <c r="F129" s="1"/>
  <c r="F189" s="1"/>
  <c r="L43" i="39" s="1"/>
  <c r="F75" i="8"/>
  <c r="F133" s="1"/>
  <c r="F193" s="1"/>
  <c r="L47" i="39" s="1"/>
  <c r="E187" i="8"/>
  <c r="E192"/>
  <c r="E179"/>
  <c r="E170"/>
  <c r="E55" i="27"/>
  <c r="E176" i="8"/>
  <c r="E163"/>
  <c r="E157"/>
  <c r="E89"/>
  <c r="E84"/>
  <c r="F31"/>
  <c r="F32"/>
  <c r="F90" s="1"/>
  <c r="F150" s="1"/>
  <c r="F36"/>
  <c r="F94" s="1"/>
  <c r="F154" s="1"/>
  <c r="L8" i="39" s="1"/>
  <c r="F35" i="8"/>
  <c r="F93" s="1"/>
  <c r="F153" s="1"/>
  <c r="L7" i="39" s="1"/>
  <c r="F26" i="8"/>
  <c r="K12" i="39"/>
  <c r="F54" i="8"/>
  <c r="F112" s="1"/>
  <c r="F172" s="1"/>
  <c r="L26" i="39" s="1"/>
  <c r="F45" i="8"/>
  <c r="F103" s="1"/>
  <c r="F163" s="1"/>
  <c r="L17" i="39" s="1"/>
  <c r="F42" i="8"/>
  <c r="F100" s="1"/>
  <c r="F160" s="1"/>
  <c r="L14" i="39" s="1"/>
  <c r="G77" i="8"/>
  <c r="G135" s="1"/>
  <c r="G195" s="1"/>
  <c r="M49" i="39" s="1"/>
  <c r="E168" i="8"/>
  <c r="E178"/>
  <c r="I79"/>
  <c r="I137" s="1"/>
  <c r="I197" s="1"/>
  <c r="O51" i="39" s="1"/>
  <c r="I78" i="8"/>
  <c r="I136" s="1"/>
  <c r="I196" s="1"/>
  <c r="O50" i="39" s="1"/>
  <c r="I82" i="8"/>
  <c r="I140" s="1"/>
  <c r="I200" s="1"/>
  <c r="O54" i="39" s="1"/>
  <c r="I80" i="8"/>
  <c r="I138" s="1"/>
  <c r="I198" s="1"/>
  <c r="O52" i="39" s="1"/>
  <c r="E196" i="8"/>
  <c r="G64"/>
  <c r="G122" s="1"/>
  <c r="G182" s="1"/>
  <c r="M36" i="39" s="1"/>
  <c r="G63" i="8"/>
  <c r="G121" s="1"/>
  <c r="E155"/>
  <c r="F40"/>
  <c r="F98" s="1"/>
  <c r="F39"/>
  <c r="F97" s="1"/>
  <c r="F157" s="1"/>
  <c r="L11" i="39" s="1"/>
  <c r="F43" i="8"/>
  <c r="F101" s="1"/>
  <c r="F161" s="1"/>
  <c r="L15" i="39" s="1"/>
  <c r="M54"/>
  <c r="E184" i="8"/>
  <c r="F59"/>
  <c r="F117" s="1"/>
  <c r="F177" s="1"/>
  <c r="L31" i="39" s="1"/>
  <c r="F60" i="8"/>
  <c r="F118" s="1"/>
  <c r="F178" s="1"/>
  <c r="L32" i="39" s="1"/>
  <c r="F62" i="8"/>
  <c r="F120" s="1"/>
  <c r="F61"/>
  <c r="F119" s="1"/>
  <c r="F179" s="1"/>
  <c r="L33" i="39" s="1"/>
  <c r="F195" i="8"/>
  <c r="E185"/>
  <c r="E174"/>
  <c r="E164"/>
  <c r="F183"/>
  <c r="E154"/>
  <c r="E177"/>
  <c r="E189"/>
  <c r="F194"/>
  <c r="E173"/>
  <c r="G14" i="24"/>
  <c r="E28" i="27" s="1"/>
  <c r="E29" s="1"/>
  <c r="E30" s="1"/>
  <c r="E31" s="1"/>
  <c r="E32" s="1"/>
  <c r="E33" s="1"/>
  <c r="E34" s="1"/>
  <c r="E35" s="1"/>
  <c r="D16" i="24"/>
  <c r="D18"/>
  <c r="H14"/>
  <c r="D28" i="27" s="1"/>
  <c r="E151" i="8"/>
  <c r="G68"/>
  <c r="G126" s="1"/>
  <c r="G186" s="1"/>
  <c r="M40" i="39" s="1"/>
  <c r="G69" i="8"/>
  <c r="G127" s="1"/>
  <c r="G187" s="1"/>
  <c r="M41" i="39" s="1"/>
  <c r="G67" i="8"/>
  <c r="G125" s="1"/>
  <c r="G185" s="1"/>
  <c r="M39" i="39" s="1"/>
  <c r="G66" i="8"/>
  <c r="G124" s="1"/>
  <c r="G184" s="1"/>
  <c r="M38" i="39" s="1"/>
  <c r="E172" i="8"/>
  <c r="E161"/>
  <c r="E152"/>
  <c r="E153"/>
  <c r="F58"/>
  <c r="F116" s="1"/>
  <c r="F176" s="1"/>
  <c r="L30" i="39" s="1"/>
  <c r="F73" i="8"/>
  <c r="F131" s="1"/>
  <c r="F191" s="1"/>
  <c r="L45" i="39" s="1"/>
  <c r="F74" i="8"/>
  <c r="F132" s="1"/>
  <c r="F192" s="1"/>
  <c r="L46" i="39" s="1"/>
  <c r="F46" i="8"/>
  <c r="F104" s="1"/>
  <c r="F164" s="1"/>
  <c r="L18" i="39" s="1"/>
  <c r="F49" i="8"/>
  <c r="F107" s="1"/>
  <c r="M32" i="35" l="1"/>
  <c r="L34" i="3" s="1"/>
  <c r="M118" i="19"/>
  <c r="M45" i="35" s="1"/>
  <c r="L47" i="3" s="1"/>
  <c r="B43" i="27"/>
  <c r="C30"/>
  <c r="E27" i="35"/>
  <c r="D29" i="3" s="1"/>
  <c r="E113" i="19"/>
  <c r="C51" i="27"/>
  <c r="B64"/>
  <c r="G17"/>
  <c r="I17" s="1"/>
  <c r="J17" s="1"/>
  <c r="L17" s="1"/>
  <c r="D23" i="18" s="1"/>
  <c r="D22" i="19" s="1"/>
  <c r="D18" i="27"/>
  <c r="I32" i="35"/>
  <c r="H34" i="3" s="1"/>
  <c r="I118" i="19"/>
  <c r="I45" i="35" s="1"/>
  <c r="H47" i="3" s="1"/>
  <c r="K121" i="19"/>
  <c r="K48" i="35" s="1"/>
  <c r="J50" i="3" s="1"/>
  <c r="K35" i="35"/>
  <c r="J37" i="3" s="1"/>
  <c r="G24" i="27"/>
  <c r="I24" s="1"/>
  <c r="J24" s="1"/>
  <c r="D25"/>
  <c r="C2"/>
  <c r="I2"/>
  <c r="J2" s="1"/>
  <c r="L2" s="1"/>
  <c r="D8" i="18" s="1"/>
  <c r="D7" i="19" s="1"/>
  <c r="D79" s="1"/>
  <c r="D6" i="35" s="1"/>
  <c r="C8" i="3" s="1"/>
  <c r="P34" i="35"/>
  <c r="O36" i="3" s="1"/>
  <c r="P120" i="19"/>
  <c r="P47" i="35" s="1"/>
  <c r="O49" i="3" s="1"/>
  <c r="E37" i="35"/>
  <c r="D39" i="3" s="1"/>
  <c r="E123" i="19"/>
  <c r="E50" i="35" s="1"/>
  <c r="D52" i="3" s="1"/>
  <c r="K40" i="35"/>
  <c r="J42" i="3" s="1"/>
  <c r="K126" i="19"/>
  <c r="K53" i="35" s="1"/>
  <c r="J55" i="3" s="1"/>
  <c r="F107" i="19"/>
  <c r="F21" i="35"/>
  <c r="E23" i="3" s="1"/>
  <c r="F42" i="19"/>
  <c r="F56" i="18"/>
  <c r="F35" i="35"/>
  <c r="E37" i="3" s="1"/>
  <c r="F121" i="19"/>
  <c r="F48" i="35" s="1"/>
  <c r="E50" i="3" s="1"/>
  <c r="J121" i="19"/>
  <c r="J48" i="35" s="1"/>
  <c r="I50" i="3" s="1"/>
  <c r="J35" i="35"/>
  <c r="I37" i="3" s="1"/>
  <c r="B53" i="27"/>
  <c r="C28"/>
  <c r="B41"/>
  <c r="E72" i="18"/>
  <c r="E71" i="19" s="1"/>
  <c r="E58"/>
  <c r="H38" i="35"/>
  <c r="H124" i="19"/>
  <c r="H51" i="35" s="1"/>
  <c r="L36"/>
  <c r="K38" i="3" s="1"/>
  <c r="L122" i="19"/>
  <c r="L49" i="35" s="1"/>
  <c r="K51" i="3" s="1"/>
  <c r="E109" i="19"/>
  <c r="E23" i="35"/>
  <c r="D25" i="3" s="1"/>
  <c r="F19" i="35"/>
  <c r="E21" i="3" s="1"/>
  <c r="F105" i="19"/>
  <c r="C29" i="27"/>
  <c r="B42"/>
  <c r="E107" i="19"/>
  <c r="E21" i="35"/>
  <c r="D23" i="3" s="1"/>
  <c r="P125" i="19"/>
  <c r="P52" i="35" s="1"/>
  <c r="O54" i="3" s="1"/>
  <c r="P39" i="35"/>
  <c r="O41" i="3" s="1"/>
  <c r="K21" i="27"/>
  <c r="C20"/>
  <c r="G129" i="19"/>
  <c r="G56" i="35" s="1"/>
  <c r="F58" i="3" s="1"/>
  <c r="G43" i="35"/>
  <c r="F45" i="3" s="1"/>
  <c r="F33" i="19"/>
  <c r="F47" i="18"/>
  <c r="K118" i="19"/>
  <c r="K45" i="35" s="1"/>
  <c r="J47" i="3" s="1"/>
  <c r="K32" i="35"/>
  <c r="J34" i="3" s="1"/>
  <c r="C47" i="27"/>
  <c r="B60"/>
  <c r="F109" i="19"/>
  <c r="F23" i="35"/>
  <c r="E25" i="3" s="1"/>
  <c r="E64" i="18"/>
  <c r="E63" i="19" s="1"/>
  <c r="E50"/>
  <c r="F119"/>
  <c r="F46" i="35" s="1"/>
  <c r="E48" i="3" s="1"/>
  <c r="F33" i="35"/>
  <c r="E35" i="3" s="1"/>
  <c r="F128" i="19"/>
  <c r="F55" i="35" s="1"/>
  <c r="E57" i="3" s="1"/>
  <c r="F42" i="35"/>
  <c r="E44" i="3" s="1"/>
  <c r="N40" i="35"/>
  <c r="M42" i="3" s="1"/>
  <c r="N126" i="19"/>
  <c r="N53" i="35" s="1"/>
  <c r="M55" i="3" s="1"/>
  <c r="E55" i="18"/>
  <c r="E41" i="19"/>
  <c r="M120"/>
  <c r="M47" i="35" s="1"/>
  <c r="L49" i="3" s="1"/>
  <c r="M34" i="35"/>
  <c r="L36" i="3" s="1"/>
  <c r="O130" i="19"/>
  <c r="O57" i="35" s="1"/>
  <c r="N59" i="3" s="1"/>
  <c r="O44" i="35"/>
  <c r="N46" i="3" s="1"/>
  <c r="F28" i="35"/>
  <c r="E30" i="3" s="1"/>
  <c r="F114" i="19"/>
  <c r="F37"/>
  <c r="F51" i="18"/>
  <c r="E33" i="35"/>
  <c r="D35" i="3" s="1"/>
  <c r="E119" i="19"/>
  <c r="E46" i="35" s="1"/>
  <c r="D48" i="3" s="1"/>
  <c r="O42" i="35"/>
  <c r="N44" i="3" s="1"/>
  <c r="O128" i="19"/>
  <c r="O55" i="35" s="1"/>
  <c r="N57" i="3" s="1"/>
  <c r="E32" i="35"/>
  <c r="D34" i="3" s="1"/>
  <c r="E118" i="19"/>
  <c r="E45" i="35" s="1"/>
  <c r="D47" i="3" s="1"/>
  <c r="L124" i="19"/>
  <c r="L51" i="35" s="1"/>
  <c r="K53" i="3" s="1"/>
  <c r="L38" i="35"/>
  <c r="K40" i="3" s="1"/>
  <c r="F53" i="18"/>
  <c r="F39" i="19"/>
  <c r="D11" i="27"/>
  <c r="G10"/>
  <c r="I10" s="1"/>
  <c r="J10" s="1"/>
  <c r="L10" s="1"/>
  <c r="D16" i="18" s="1"/>
  <c r="D15" i="19" s="1"/>
  <c r="E34"/>
  <c r="E48" i="18"/>
  <c r="N42" i="35"/>
  <c r="M44" i="3" s="1"/>
  <c r="N128" i="19"/>
  <c r="N55" i="35" s="1"/>
  <c r="M57" i="3" s="1"/>
  <c r="H128" i="19"/>
  <c r="H55" i="35" s="1"/>
  <c r="H42"/>
  <c r="I122" i="19"/>
  <c r="I49" i="35" s="1"/>
  <c r="H51" i="3" s="1"/>
  <c r="I36" i="35"/>
  <c r="H38" i="3" s="1"/>
  <c r="M121" i="19"/>
  <c r="M48" i="35" s="1"/>
  <c r="L50" i="3" s="1"/>
  <c r="M35" i="35"/>
  <c r="L37" i="3" s="1"/>
  <c r="I33" i="35"/>
  <c r="H35" i="3" s="1"/>
  <c r="I119" i="19"/>
  <c r="I46" i="35" s="1"/>
  <c r="H48" i="3" s="1"/>
  <c r="J125" i="19"/>
  <c r="J52" i="35" s="1"/>
  <c r="I54" i="3" s="1"/>
  <c r="J39" i="35"/>
  <c r="I41" i="3" s="1"/>
  <c r="K11" i="27"/>
  <c r="C10"/>
  <c r="H33" i="35"/>
  <c r="H119" i="19"/>
  <c r="H46" i="35" s="1"/>
  <c r="J43"/>
  <c r="I45" i="3" s="1"/>
  <c r="J129" i="19"/>
  <c r="J56" i="35" s="1"/>
  <c r="I58" i="3" s="1"/>
  <c r="F39" i="35"/>
  <c r="E41" i="3" s="1"/>
  <c r="F125" i="19"/>
  <c r="F52" i="35" s="1"/>
  <c r="E54" i="3" s="1"/>
  <c r="D4" i="27"/>
  <c r="G3"/>
  <c r="N129" i="19"/>
  <c r="N56" i="35" s="1"/>
  <c r="M58" i="3" s="1"/>
  <c r="N43" i="35"/>
  <c r="M45" i="3" s="1"/>
  <c r="K34" i="27"/>
  <c r="C33"/>
  <c r="P121" i="19"/>
  <c r="P48" i="35" s="1"/>
  <c r="O50" i="3" s="1"/>
  <c r="P35" i="35"/>
  <c r="O37" i="3" s="1"/>
  <c r="E127" i="19"/>
  <c r="E54" i="35" s="1"/>
  <c r="D56" i="3" s="1"/>
  <c r="E41" i="35"/>
  <c r="D43" i="3" s="1"/>
  <c r="N120" i="19"/>
  <c r="N47" i="35" s="1"/>
  <c r="M49" i="3" s="1"/>
  <c r="N34" i="35"/>
  <c r="M36" i="3" s="1"/>
  <c r="C3" i="27"/>
  <c r="I3"/>
  <c r="J3" s="1"/>
  <c r="L3" s="1"/>
  <c r="D9" i="18" s="1"/>
  <c r="D8" i="19" s="1"/>
  <c r="D80" s="1"/>
  <c r="D7" i="35" s="1"/>
  <c r="C9" i="3" s="1"/>
  <c r="F65" i="18"/>
  <c r="F64" i="19" s="1"/>
  <c r="F51"/>
  <c r="E49" i="18"/>
  <c r="E35" i="19"/>
  <c r="F35"/>
  <c r="F49" i="18"/>
  <c r="F49" i="19"/>
  <c r="F63" i="18"/>
  <c r="F62" i="19" s="1"/>
  <c r="G54" i="27"/>
  <c r="K57"/>
  <c r="G24" i="24"/>
  <c r="E62" i="27" s="1"/>
  <c r="E63" s="1"/>
  <c r="E64" s="1"/>
  <c r="E65" s="1"/>
  <c r="E66" s="1"/>
  <c r="D64"/>
  <c r="J38" i="8"/>
  <c r="J96" s="1"/>
  <c r="J156" s="1"/>
  <c r="P10" i="39" s="1"/>
  <c r="J37" i="8"/>
  <c r="J95" s="1"/>
  <c r="J155" s="1"/>
  <c r="P9" i="39" s="1"/>
  <c r="K31"/>
  <c r="K39"/>
  <c r="H63" i="8"/>
  <c r="H121" s="1"/>
  <c r="H181" s="1"/>
  <c r="N35" i="39" s="1"/>
  <c r="H64" i="8"/>
  <c r="H122" s="1"/>
  <c r="H182" s="1"/>
  <c r="N36" i="39" s="1"/>
  <c r="H68" i="8"/>
  <c r="H126" s="1"/>
  <c r="H69"/>
  <c r="H127" s="1"/>
  <c r="H187" s="1"/>
  <c r="N41" i="39" s="1"/>
  <c r="H66" i="8"/>
  <c r="H124" s="1"/>
  <c r="H67"/>
  <c r="H125" s="1"/>
  <c r="H185" s="1"/>
  <c r="N39" i="39" s="1"/>
  <c r="H65" i="8"/>
  <c r="H123" s="1"/>
  <c r="H18" i="24"/>
  <c r="D41" i="27" s="1"/>
  <c r="G18" i="24"/>
  <c r="E41" i="27" s="1"/>
  <c r="E42" s="1"/>
  <c r="E43" s="1"/>
  <c r="E44" s="1"/>
  <c r="E45" s="1"/>
  <c r="E46" s="1"/>
  <c r="E47" s="1"/>
  <c r="E48" s="1"/>
  <c r="K27" i="39"/>
  <c r="K43"/>
  <c r="L37"/>
  <c r="K28"/>
  <c r="L49"/>
  <c r="F158" i="8"/>
  <c r="G181"/>
  <c r="K50" i="39"/>
  <c r="G32" i="8"/>
  <c r="G90" s="1"/>
  <c r="G150" s="1"/>
  <c r="G26"/>
  <c r="G31"/>
  <c r="G36"/>
  <c r="G94" s="1"/>
  <c r="G35"/>
  <c r="G93" s="1"/>
  <c r="G34"/>
  <c r="G92" s="1"/>
  <c r="G33"/>
  <c r="G91" s="1"/>
  <c r="L4" i="39"/>
  <c r="F212" i="8"/>
  <c r="F188"/>
  <c r="L23" i="39"/>
  <c r="K13"/>
  <c r="N52"/>
  <c r="F171" i="8"/>
  <c r="G55"/>
  <c r="G113" s="1"/>
  <c r="G173" s="1"/>
  <c r="M27" i="39" s="1"/>
  <c r="G53" i="8"/>
  <c r="G111" s="1"/>
  <c r="G171" s="1"/>
  <c r="M25" i="39" s="1"/>
  <c r="G52" i="8"/>
  <c r="G110" s="1"/>
  <c r="G56"/>
  <c r="G114" s="1"/>
  <c r="G54"/>
  <c r="G112" s="1"/>
  <c r="K44" i="39"/>
  <c r="F165" i="8"/>
  <c r="L29" i="39"/>
  <c r="F167" i="8"/>
  <c r="K7" i="39"/>
  <c r="K26"/>
  <c r="D29" i="27"/>
  <c r="G28"/>
  <c r="I28" s="1"/>
  <c r="J28" s="1"/>
  <c r="L28" s="1"/>
  <c r="D34" i="18" s="1"/>
  <c r="D33" i="19" s="1"/>
  <c r="K38" i="39"/>
  <c r="K9"/>
  <c r="J79" i="8"/>
  <c r="J137" s="1"/>
  <c r="J197" s="1"/>
  <c r="P51" i="39" s="1"/>
  <c r="J82" i="8"/>
  <c r="J140" s="1"/>
  <c r="J200" s="1"/>
  <c r="J80"/>
  <c r="J138" s="1"/>
  <c r="J198" s="1"/>
  <c r="P52" i="39" s="1"/>
  <c r="J81" i="8"/>
  <c r="J139" s="1"/>
  <c r="J78"/>
  <c r="J136" s="1"/>
  <c r="J196" s="1"/>
  <c r="P50" i="39" s="1"/>
  <c r="E142" i="8"/>
  <c r="E149"/>
  <c r="K17" i="39"/>
  <c r="E56" i="27"/>
  <c r="G55"/>
  <c r="K33" i="39"/>
  <c r="N51"/>
  <c r="H51" i="8"/>
  <c r="H109" s="1"/>
  <c r="H169" s="1"/>
  <c r="N23" i="39" s="1"/>
  <c r="H50" i="8"/>
  <c r="H108" s="1"/>
  <c r="K10" i="39"/>
  <c r="K38" i="8"/>
  <c r="K96" s="1"/>
  <c r="K37"/>
  <c r="K95" s="1"/>
  <c r="K14" i="39"/>
  <c r="F166" i="8"/>
  <c r="L48" i="39"/>
  <c r="K8"/>
  <c r="K18"/>
  <c r="F180" i="8"/>
  <c r="F213" s="1"/>
  <c r="K22" i="39"/>
  <c r="G71" i="8"/>
  <c r="G129" s="1"/>
  <c r="G72"/>
  <c r="G130" s="1"/>
  <c r="G190" s="1"/>
  <c r="M44" i="39" s="1"/>
  <c r="G75" i="8"/>
  <c r="G133" s="1"/>
  <c r="G193" s="1"/>
  <c r="M47" i="39" s="1"/>
  <c r="G70" i="8"/>
  <c r="G128" s="1"/>
  <c r="G188" s="1"/>
  <c r="M42" i="39" s="1"/>
  <c r="G74" i="8"/>
  <c r="G132" s="1"/>
  <c r="G192" s="1"/>
  <c r="M46" i="39" s="1"/>
  <c r="G73" i="8"/>
  <c r="G131" s="1"/>
  <c r="G191" s="1"/>
  <c r="M45" i="39" s="1"/>
  <c r="K45"/>
  <c r="L36"/>
  <c r="K47"/>
  <c r="H76" i="8"/>
  <c r="H134" s="1"/>
  <c r="H77"/>
  <c r="H135" s="1"/>
  <c r="H195" s="1"/>
  <c r="N49" i="39" s="1"/>
  <c r="K53"/>
  <c r="F162" i="8"/>
  <c r="K6" i="39"/>
  <c r="E211" i="8"/>
  <c r="E248" s="1"/>
  <c r="K15" i="39"/>
  <c r="K5"/>
  <c r="G16" i="24"/>
  <c r="E36" i="27" s="1"/>
  <c r="E37" s="1"/>
  <c r="E38" s="1"/>
  <c r="E39" s="1"/>
  <c r="E40" s="1"/>
  <c r="H16" i="24"/>
  <c r="D36" i="27" s="1"/>
  <c r="D20" i="24"/>
  <c r="G59" i="8"/>
  <c r="G117" s="1"/>
  <c r="G177" s="1"/>
  <c r="M31" i="39" s="1"/>
  <c r="G60" i="8"/>
  <c r="G118" s="1"/>
  <c r="G58"/>
  <c r="G116" s="1"/>
  <c r="G176" s="1"/>
  <c r="M30" i="39" s="1"/>
  <c r="G57" i="8"/>
  <c r="G115" s="1"/>
  <c r="G61"/>
  <c r="G119" s="1"/>
  <c r="G62"/>
  <c r="G120" s="1"/>
  <c r="G180" s="1"/>
  <c r="M34" i="39" s="1"/>
  <c r="G40" i="8"/>
  <c r="G98" s="1"/>
  <c r="G158" s="1"/>
  <c r="M12" i="39" s="1"/>
  <c r="G43" i="8"/>
  <c r="G101" s="1"/>
  <c r="G161" s="1"/>
  <c r="M15" i="39" s="1"/>
  <c r="G39" i="8"/>
  <c r="G97" s="1"/>
  <c r="G41"/>
  <c r="G99" s="1"/>
  <c r="G42"/>
  <c r="G100" s="1"/>
  <c r="K32" i="39"/>
  <c r="F89" i="8"/>
  <c r="F84"/>
  <c r="K11" i="39"/>
  <c r="K30"/>
  <c r="K24"/>
  <c r="K46"/>
  <c r="K41"/>
  <c r="E212" i="8"/>
  <c r="K4" i="39"/>
  <c r="E213" i="8"/>
  <c r="E214"/>
  <c r="L40" i="39"/>
  <c r="G48" i="8"/>
  <c r="G106" s="1"/>
  <c r="G166" s="1"/>
  <c r="M20" i="39" s="1"/>
  <c r="G44" i="8"/>
  <c r="G102" s="1"/>
  <c r="G162" s="1"/>
  <c r="M16" i="39" s="1"/>
  <c r="G47" i="8"/>
  <c r="G105" s="1"/>
  <c r="G165" s="1"/>
  <c r="M19" i="39" s="1"/>
  <c r="G46" i="8"/>
  <c r="G104" s="1"/>
  <c r="G164" s="1"/>
  <c r="M18" i="39" s="1"/>
  <c r="G45" i="8"/>
  <c r="G103" s="1"/>
  <c r="G49"/>
  <c r="G107" s="1"/>
  <c r="G167" s="1"/>
  <c r="M21" i="39" s="1"/>
  <c r="F211" i="8"/>
  <c r="F248" s="1"/>
  <c r="E48" i="19" l="1"/>
  <c r="E62" i="18"/>
  <c r="E61" i="19" s="1"/>
  <c r="K35" i="27"/>
  <c r="C34"/>
  <c r="D5"/>
  <c r="G4"/>
  <c r="I4" s="1"/>
  <c r="J4" s="1"/>
  <c r="L4" s="1"/>
  <c r="D10" i="18" s="1"/>
  <c r="D9" i="19" s="1"/>
  <c r="D81" s="1"/>
  <c r="D8" i="35" s="1"/>
  <c r="C10" i="3" s="1"/>
  <c r="K12" i="27"/>
  <c r="C11"/>
  <c r="D12"/>
  <c r="G11"/>
  <c r="I11" s="1"/>
  <c r="J11" s="1"/>
  <c r="L11" s="1"/>
  <c r="D17" i="18" s="1"/>
  <c r="D16" i="19" s="1"/>
  <c r="E54"/>
  <c r="E68" i="18"/>
  <c r="E67" i="19" s="1"/>
  <c r="K22" i="27"/>
  <c r="C21"/>
  <c r="E120" i="19"/>
  <c r="E47" i="35" s="1"/>
  <c r="D49" i="3" s="1"/>
  <c r="E34" i="35"/>
  <c r="D36" i="3" s="1"/>
  <c r="C53" i="27"/>
  <c r="B66"/>
  <c r="F120" i="19"/>
  <c r="F47" i="35" s="1"/>
  <c r="E49" i="3" s="1"/>
  <c r="F34" i="35"/>
  <c r="E36" i="3" s="1"/>
  <c r="I55" i="27"/>
  <c r="J55" s="1"/>
  <c r="L55" s="1"/>
  <c r="D61" i="18" s="1"/>
  <c r="D60" i="19" s="1"/>
  <c r="D119" s="1"/>
  <c r="D46" i="35" s="1"/>
  <c r="C48" i="3" s="1"/>
  <c r="I54" i="27"/>
  <c r="J54" s="1"/>
  <c r="L54" s="1"/>
  <c r="D60" i="18" s="1"/>
  <c r="D59" i="19" s="1"/>
  <c r="D118" s="1"/>
  <c r="D45" i="35" s="1"/>
  <c r="C47" i="3" s="1"/>
  <c r="F50" i="19"/>
  <c r="F64" i="18"/>
  <c r="F63" i="19" s="1"/>
  <c r="G18" i="27"/>
  <c r="I18" s="1"/>
  <c r="J18" s="1"/>
  <c r="L18" s="1"/>
  <c r="D24" i="18" s="1"/>
  <c r="D23" i="19" s="1"/>
  <c r="D19" i="27"/>
  <c r="E40" i="35"/>
  <c r="D42" i="3" s="1"/>
  <c r="E126" i="19"/>
  <c r="E53" i="35" s="1"/>
  <c r="D55" i="3" s="1"/>
  <c r="F52" i="19"/>
  <c r="F66" i="18"/>
  <c r="F65" i="19" s="1"/>
  <c r="F122"/>
  <c r="F49" i="35" s="1"/>
  <c r="E51" i="3" s="1"/>
  <c r="F36" i="35"/>
  <c r="E38" i="3" s="1"/>
  <c r="E36" i="35"/>
  <c r="D38" i="3" s="1"/>
  <c r="E122" i="19"/>
  <c r="E49" i="35" s="1"/>
  <c r="D51" i="3" s="1"/>
  <c r="C43" i="27"/>
  <c r="B56"/>
  <c r="C56" s="1"/>
  <c r="F46" i="19"/>
  <c r="F60" i="18"/>
  <c r="F59" i="19" s="1"/>
  <c r="F118"/>
  <c r="F45" i="35" s="1"/>
  <c r="E47" i="3" s="1"/>
  <c r="F32" i="35"/>
  <c r="E34" i="3" s="1"/>
  <c r="F62" i="18"/>
  <c r="F61" i="19" s="1"/>
  <c r="F48"/>
  <c r="E61" i="18"/>
  <c r="E60" i="19" s="1"/>
  <c r="E47"/>
  <c r="F127"/>
  <c r="F54" i="35" s="1"/>
  <c r="E56" i="3" s="1"/>
  <c r="F41" i="35"/>
  <c r="E43" i="3" s="1"/>
  <c r="B55" i="27"/>
  <c r="C55" s="1"/>
  <c r="C42"/>
  <c r="C41"/>
  <c r="B54"/>
  <c r="C54" s="1"/>
  <c r="F55" i="19"/>
  <c r="F69" i="18"/>
  <c r="F68" i="19" s="1"/>
  <c r="G25" i="27"/>
  <c r="I25" s="1"/>
  <c r="J25" s="1"/>
  <c r="D26"/>
  <c r="D65"/>
  <c r="G64"/>
  <c r="I64" s="1"/>
  <c r="J64" s="1"/>
  <c r="C57"/>
  <c r="K58"/>
  <c r="G63"/>
  <c r="I63" s="1"/>
  <c r="J63" s="1"/>
  <c r="G62"/>
  <c r="I62" s="1"/>
  <c r="J62" s="1"/>
  <c r="F250" i="8"/>
  <c r="E250"/>
  <c r="E249"/>
  <c r="G178"/>
  <c r="G153"/>
  <c r="H35"/>
  <c r="H93" s="1"/>
  <c r="H153" s="1"/>
  <c r="N7" i="39" s="1"/>
  <c r="H31" i="8"/>
  <c r="H34"/>
  <c r="H92" s="1"/>
  <c r="H152" s="1"/>
  <c r="H36"/>
  <c r="H94" s="1"/>
  <c r="H154" s="1"/>
  <c r="N8" i="39" s="1"/>
  <c r="H26" i="8"/>
  <c r="H32"/>
  <c r="H90" s="1"/>
  <c r="H33"/>
  <c r="H91" s="1"/>
  <c r="H151" s="1"/>
  <c r="N5" i="39" s="1"/>
  <c r="H183" i="8"/>
  <c r="H186"/>
  <c r="H60"/>
  <c r="H118" s="1"/>
  <c r="H178" s="1"/>
  <c r="N32" i="39" s="1"/>
  <c r="H62" i="8"/>
  <c r="H120" s="1"/>
  <c r="H180" s="1"/>
  <c r="N34" i="39" s="1"/>
  <c r="H61" i="8"/>
  <c r="H119" s="1"/>
  <c r="H179" s="1"/>
  <c r="N33" i="39" s="1"/>
  <c r="H59" i="8"/>
  <c r="H117" s="1"/>
  <c r="H57"/>
  <c r="H115" s="1"/>
  <c r="H175" s="1"/>
  <c r="N29" i="39" s="1"/>
  <c r="H58" i="8"/>
  <c r="H116" s="1"/>
  <c r="H176" s="1"/>
  <c r="G36" i="27"/>
  <c r="I36" s="1"/>
  <c r="J36" s="1"/>
  <c r="D37"/>
  <c r="L34" i="39"/>
  <c r="L38" i="8"/>
  <c r="L96" s="1"/>
  <c r="L156" s="1"/>
  <c r="R10" i="39" s="1"/>
  <c r="L37" i="8"/>
  <c r="L95" s="1"/>
  <c r="L155" s="1"/>
  <c r="R9" i="39" s="1"/>
  <c r="H168" i="8"/>
  <c r="L19" i="39"/>
  <c r="L12"/>
  <c r="G41" i="27"/>
  <c r="I41" s="1"/>
  <c r="J41" s="1"/>
  <c r="L41" s="1"/>
  <c r="D47" i="18" s="1"/>
  <c r="D46" i="19" s="1"/>
  <c r="D42" i="27"/>
  <c r="F142" i="8"/>
  <c r="F149"/>
  <c r="G159"/>
  <c r="H43"/>
  <c r="H101" s="1"/>
  <c r="H161" s="1"/>
  <c r="N15" i="39" s="1"/>
  <c r="H40" i="8"/>
  <c r="H98" s="1"/>
  <c r="H158" s="1"/>
  <c r="N12" i="39" s="1"/>
  <c r="H39" i="8"/>
  <c r="H97" s="1"/>
  <c r="H157" s="1"/>
  <c r="N11" i="39" s="1"/>
  <c r="H41" i="8"/>
  <c r="H99" s="1"/>
  <c r="H159" s="1"/>
  <c r="N13" i="39" s="1"/>
  <c r="H42" i="8"/>
  <c r="H100" s="1"/>
  <c r="H160" s="1"/>
  <c r="N14" i="39" s="1"/>
  <c r="H20" i="24"/>
  <c r="D49" i="27" s="1"/>
  <c r="G20" i="24"/>
  <c r="E49" i="27" s="1"/>
  <c r="E50" s="1"/>
  <c r="E51" s="1"/>
  <c r="E52" s="1"/>
  <c r="E53" s="1"/>
  <c r="I77" i="8"/>
  <c r="I135" s="1"/>
  <c r="I195" s="1"/>
  <c r="O49" i="39" s="1"/>
  <c r="I76" i="8"/>
  <c r="I134" s="1"/>
  <c r="I194" s="1"/>
  <c r="O48" i="39" s="1"/>
  <c r="G189" i="8"/>
  <c r="L20" i="39"/>
  <c r="K156" i="8"/>
  <c r="I50"/>
  <c r="I108" s="1"/>
  <c r="I168" s="1"/>
  <c r="O22" i="39" s="1"/>
  <c r="I51" i="8"/>
  <c r="I109" s="1"/>
  <c r="I169" s="1"/>
  <c r="O23" i="39" s="1"/>
  <c r="E57" i="27"/>
  <c r="G56"/>
  <c r="I56" s="1"/>
  <c r="J56" s="1"/>
  <c r="L56" s="1"/>
  <c r="D62" i="18" s="1"/>
  <c r="D61" i="19" s="1"/>
  <c r="D120" s="1"/>
  <c r="D47" i="35" s="1"/>
  <c r="C49" i="3" s="1"/>
  <c r="E239" i="8"/>
  <c r="E230"/>
  <c r="E221"/>
  <c r="E224"/>
  <c r="E232"/>
  <c r="E218"/>
  <c r="E229"/>
  <c r="E223"/>
  <c r="E227"/>
  <c r="E241"/>
  <c r="E202"/>
  <c r="E235"/>
  <c r="E234"/>
  <c r="E216"/>
  <c r="E233"/>
  <c r="E219"/>
  <c r="E222"/>
  <c r="E228"/>
  <c r="E240"/>
  <c r="E226"/>
  <c r="E217"/>
  <c r="E236"/>
  <c r="K3" i="39"/>
  <c r="E225" i="8"/>
  <c r="E262" s="1"/>
  <c r="E237"/>
  <c r="E238"/>
  <c r="E231"/>
  <c r="E220"/>
  <c r="E257" s="1"/>
  <c r="E215"/>
  <c r="E252" s="1"/>
  <c r="G172"/>
  <c r="H52"/>
  <c r="H110" s="1"/>
  <c r="H170" s="1"/>
  <c r="N24" i="39" s="1"/>
  <c r="H56" i="8"/>
  <c r="H114" s="1"/>
  <c r="H174" s="1"/>
  <c r="N28" i="39" s="1"/>
  <c r="H55" i="8"/>
  <c r="H113" s="1"/>
  <c r="H173" s="1"/>
  <c r="H53"/>
  <c r="H111" s="1"/>
  <c r="H54"/>
  <c r="H112" s="1"/>
  <c r="H172" s="1"/>
  <c r="N26" i="39" s="1"/>
  <c r="G151" i="8"/>
  <c r="G89"/>
  <c r="G84"/>
  <c r="H184"/>
  <c r="I63"/>
  <c r="I121" s="1"/>
  <c r="I181" s="1"/>
  <c r="O35" i="39" s="1"/>
  <c r="I64" i="8"/>
  <c r="I122" s="1"/>
  <c r="I182" s="1"/>
  <c r="O36" i="39" s="1"/>
  <c r="E251" i="8"/>
  <c r="F214"/>
  <c r="F251" s="1"/>
  <c r="F249"/>
  <c r="G179"/>
  <c r="G170"/>
  <c r="M35" i="39"/>
  <c r="H47" i="8"/>
  <c r="H105" s="1"/>
  <c r="H165" s="1"/>
  <c r="N19" i="39" s="1"/>
  <c r="H48" i="8"/>
  <c r="H106" s="1"/>
  <c r="H166" s="1"/>
  <c r="N20" i="39" s="1"/>
  <c r="H44" i="8"/>
  <c r="H102" s="1"/>
  <c r="H49"/>
  <c r="H107" s="1"/>
  <c r="H167" s="1"/>
  <c r="N21" i="39" s="1"/>
  <c r="H45" i="8"/>
  <c r="H103" s="1"/>
  <c r="H163" s="1"/>
  <c r="N17" i="39" s="1"/>
  <c r="H46" i="8"/>
  <c r="H104" s="1"/>
  <c r="H164" s="1"/>
  <c r="G157"/>
  <c r="H75"/>
  <c r="H133" s="1"/>
  <c r="H73"/>
  <c r="H131" s="1"/>
  <c r="H72"/>
  <c r="H130" s="1"/>
  <c r="H71"/>
  <c r="H129" s="1"/>
  <c r="H189" s="1"/>
  <c r="N43" i="39" s="1"/>
  <c r="H74" i="8"/>
  <c r="H132" s="1"/>
  <c r="H192" s="1"/>
  <c r="H70"/>
  <c r="H128" s="1"/>
  <c r="P54" i="39"/>
  <c r="L21"/>
  <c r="G174" i="8"/>
  <c r="G152"/>
  <c r="G163"/>
  <c r="G160"/>
  <c r="G175"/>
  <c r="L16" i="39"/>
  <c r="H194" i="8"/>
  <c r="K155"/>
  <c r="J199"/>
  <c r="K80"/>
  <c r="K138" s="1"/>
  <c r="K79"/>
  <c r="K137" s="1"/>
  <c r="K197" s="1"/>
  <c r="Q51" i="39" s="1"/>
  <c r="K82" i="8"/>
  <c r="K140" s="1"/>
  <c r="K200" s="1"/>
  <c r="Q54" i="39" s="1"/>
  <c r="K78" i="8"/>
  <c r="K136" s="1"/>
  <c r="K196" s="1"/>
  <c r="Q50" i="39" s="1"/>
  <c r="K81" i="8"/>
  <c r="K139" s="1"/>
  <c r="K199" s="1"/>
  <c r="Q53" i="39" s="1"/>
  <c r="D30" i="27"/>
  <c r="G29"/>
  <c r="I29" s="1"/>
  <c r="J29" s="1"/>
  <c r="L29" s="1"/>
  <c r="D35" i="18" s="1"/>
  <c r="D34" i="19" s="1"/>
  <c r="L25" i="39"/>
  <c r="L42"/>
  <c r="G154" i="8"/>
  <c r="M4" i="39"/>
  <c r="I67" i="8"/>
  <c r="I125" s="1"/>
  <c r="I65"/>
  <c r="I123" s="1"/>
  <c r="I183" s="1"/>
  <c r="O37" i="39" s="1"/>
  <c r="I68" i="8"/>
  <c r="I126" s="1"/>
  <c r="I186" s="1"/>
  <c r="O40" i="39" s="1"/>
  <c r="I69" i="8"/>
  <c r="I127" s="1"/>
  <c r="I66"/>
  <c r="I124" s="1"/>
  <c r="I184" s="1"/>
  <c r="O38" i="39" s="1"/>
  <c r="G19" i="27" l="1"/>
  <c r="I19" s="1"/>
  <c r="J19" s="1"/>
  <c r="L19" s="1"/>
  <c r="D25" i="18" s="1"/>
  <c r="D24" i="19" s="1"/>
  <c r="D20" i="27"/>
  <c r="L36"/>
  <c r="D42" i="18" s="1"/>
  <c r="D41" i="19" s="1"/>
  <c r="K23" i="27"/>
  <c r="C22"/>
  <c r="D13"/>
  <c r="G12"/>
  <c r="I12" s="1"/>
  <c r="J12" s="1"/>
  <c r="L12" s="1"/>
  <c r="D18" i="18" s="1"/>
  <c r="D17" i="19" s="1"/>
  <c r="D6" i="27"/>
  <c r="G5"/>
  <c r="I5" s="1"/>
  <c r="J5" s="1"/>
  <c r="L5" s="1"/>
  <c r="D11" i="18" s="1"/>
  <c r="D10" i="19" s="1"/>
  <c r="D82" s="1"/>
  <c r="D9" i="35" s="1"/>
  <c r="C11" i="3" s="1"/>
  <c r="G26" i="27"/>
  <c r="I26" s="1"/>
  <c r="J26" s="1"/>
  <c r="D27"/>
  <c r="G27" s="1"/>
  <c r="I27" s="1"/>
  <c r="J27" s="1"/>
  <c r="K13"/>
  <c r="C12"/>
  <c r="K36"/>
  <c r="C35"/>
  <c r="G65"/>
  <c r="I65" s="1"/>
  <c r="J65" s="1"/>
  <c r="D66"/>
  <c r="G66" s="1"/>
  <c r="I66" s="1"/>
  <c r="J66" s="1"/>
  <c r="K59"/>
  <c r="C58"/>
  <c r="E277" i="8"/>
  <c r="E270"/>
  <c r="E265"/>
  <c r="E272"/>
  <c r="E268"/>
  <c r="E266"/>
  <c r="E258"/>
  <c r="E256"/>
  <c r="E260"/>
  <c r="G213"/>
  <c r="E274"/>
  <c r="E254"/>
  <c r="G214"/>
  <c r="I185"/>
  <c r="I75"/>
  <c r="I133" s="1"/>
  <c r="I193" s="1"/>
  <c r="O47" i="39" s="1"/>
  <c r="I72" i="8"/>
  <c r="I130" s="1"/>
  <c r="I190" s="1"/>
  <c r="O44" i="39" s="1"/>
  <c r="I71" i="8"/>
  <c r="I129" s="1"/>
  <c r="I189" s="1"/>
  <c r="O43" i="39" s="1"/>
  <c r="I70" i="8"/>
  <c r="I128" s="1"/>
  <c r="I188" s="1"/>
  <c r="O42" i="39" s="1"/>
  <c r="I74" i="8"/>
  <c r="I132" s="1"/>
  <c r="I73"/>
  <c r="I131" s="1"/>
  <c r="I191" s="1"/>
  <c r="O45" i="39" s="1"/>
  <c r="E204" i="8"/>
  <c r="E58" i="27"/>
  <c r="G57"/>
  <c r="I57" s="1"/>
  <c r="J57" s="1"/>
  <c r="L57" s="1"/>
  <c r="D63" i="18" s="1"/>
  <c r="D62" i="19" s="1"/>
  <c r="D121" s="1"/>
  <c r="D48" i="35" s="1"/>
  <c r="C50" i="3" s="1"/>
  <c r="M13" i="39"/>
  <c r="D105" i="19"/>
  <c r="D32" i="35" s="1"/>
  <c r="C34" i="3" s="1"/>
  <c r="D92" i="19"/>
  <c r="D19" i="35" s="1"/>
  <c r="C21" i="3" s="1"/>
  <c r="M32" i="39"/>
  <c r="M8"/>
  <c r="N46"/>
  <c r="H193" i="8"/>
  <c r="J51"/>
  <c r="J109" s="1"/>
  <c r="J50"/>
  <c r="J108" s="1"/>
  <c r="J168" s="1"/>
  <c r="P22" i="39" s="1"/>
  <c r="M43"/>
  <c r="G42" i="27"/>
  <c r="I42" s="1"/>
  <c r="J42" s="1"/>
  <c r="L42" s="1"/>
  <c r="D48" i="18" s="1"/>
  <c r="D47" i="19" s="1"/>
  <c r="D43" i="27"/>
  <c r="H84" i="8"/>
  <c r="H89"/>
  <c r="K198"/>
  <c r="H188"/>
  <c r="H191"/>
  <c r="M11" i="39"/>
  <c r="I48" i="8"/>
  <c r="I106" s="1"/>
  <c r="I166" s="1"/>
  <c r="O20" i="39" s="1"/>
  <c r="I47" i="8"/>
  <c r="I105" s="1"/>
  <c r="I165" s="1"/>
  <c r="O19" i="39" s="1"/>
  <c r="I46" i="8"/>
  <c r="I104" s="1"/>
  <c r="I164" s="1"/>
  <c r="O18" i="39" s="1"/>
  <c r="I44" i="8"/>
  <c r="I102" s="1"/>
  <c r="I162" s="1"/>
  <c r="O16" i="39" s="1"/>
  <c r="I45" i="8"/>
  <c r="I103" s="1"/>
  <c r="I49"/>
  <c r="I107" s="1"/>
  <c r="I167" s="1"/>
  <c r="O21" i="39" s="1"/>
  <c r="G149" i="8"/>
  <c r="G142"/>
  <c r="H171"/>
  <c r="I52"/>
  <c r="I110" s="1"/>
  <c r="I53"/>
  <c r="I111" s="1"/>
  <c r="I171" s="1"/>
  <c r="O25" i="39" s="1"/>
  <c r="I55" i="8"/>
  <c r="I113" s="1"/>
  <c r="I56"/>
  <c r="I114" s="1"/>
  <c r="I54"/>
  <c r="I112" s="1"/>
  <c r="J76"/>
  <c r="J134" s="1"/>
  <c r="J77"/>
  <c r="J135" s="1"/>
  <c r="I41"/>
  <c r="I99" s="1"/>
  <c r="I43"/>
  <c r="I101" s="1"/>
  <c r="I39"/>
  <c r="I97" s="1"/>
  <c r="I42"/>
  <c r="I100" s="1"/>
  <c r="I40"/>
  <c r="I98" s="1"/>
  <c r="N22" i="39"/>
  <c r="N30"/>
  <c r="N40"/>
  <c r="H150" i="8"/>
  <c r="N6" i="39"/>
  <c r="H211" i="8"/>
  <c r="H248" s="1"/>
  <c r="M7" i="39"/>
  <c r="G212" i="8"/>
  <c r="E263"/>
  <c r="E261"/>
  <c r="E259"/>
  <c r="E271"/>
  <c r="E264"/>
  <c r="E269"/>
  <c r="E276"/>
  <c r="J64"/>
  <c r="J122" s="1"/>
  <c r="J63"/>
  <c r="J121" s="1"/>
  <c r="N38" i="39"/>
  <c r="M5"/>
  <c r="M26"/>
  <c r="G49" i="27"/>
  <c r="I49" s="1"/>
  <c r="J49" s="1"/>
  <c r="L49" s="1"/>
  <c r="D55" i="18" s="1"/>
  <c r="D54" i="19" s="1"/>
  <c r="D50" i="27"/>
  <c r="D38"/>
  <c r="G37"/>
  <c r="I37" s="1"/>
  <c r="J37" s="1"/>
  <c r="I62" i="8"/>
  <c r="I120" s="1"/>
  <c r="I61"/>
  <c r="I119" s="1"/>
  <c r="I57"/>
  <c r="I115" s="1"/>
  <c r="I60"/>
  <c r="I118" s="1"/>
  <c r="I178" s="1"/>
  <c r="O32" i="39" s="1"/>
  <c r="I59" i="8"/>
  <c r="I117" s="1"/>
  <c r="I177" s="1"/>
  <c r="O31" i="39" s="1"/>
  <c r="I58" i="8"/>
  <c r="I116" s="1"/>
  <c r="N37" i="39"/>
  <c r="I36" i="8"/>
  <c r="I94" s="1"/>
  <c r="I35"/>
  <c r="I93" s="1"/>
  <c r="I153" s="1"/>
  <c r="O7" i="39" s="1"/>
  <c r="I32" i="8"/>
  <c r="I90" s="1"/>
  <c r="I150" s="1"/>
  <c r="I34"/>
  <c r="I92" s="1"/>
  <c r="I26"/>
  <c r="I31"/>
  <c r="I33"/>
  <c r="I91" s="1"/>
  <c r="L79"/>
  <c r="L137" s="1"/>
  <c r="L81"/>
  <c r="L139" s="1"/>
  <c r="L82"/>
  <c r="L140" s="1"/>
  <c r="L200" s="1"/>
  <c r="R54" i="39" s="1"/>
  <c r="L80" i="8"/>
  <c r="L138" s="1"/>
  <c r="L198" s="1"/>
  <c r="R52" i="39" s="1"/>
  <c r="L78" i="8"/>
  <c r="L136" s="1"/>
  <c r="L196" s="1"/>
  <c r="R50" i="39" s="1"/>
  <c r="Q9"/>
  <c r="M14"/>
  <c r="M6"/>
  <c r="G211" i="8"/>
  <c r="G248" s="1"/>
  <c r="N18" i="39"/>
  <c r="H162" i="8"/>
  <c r="M33" i="39"/>
  <c r="N27"/>
  <c r="I187" i="8"/>
  <c r="J69"/>
  <c r="J127" s="1"/>
  <c r="J187" s="1"/>
  <c r="P41" i="39" s="1"/>
  <c r="J66" i="8"/>
  <c r="J124" s="1"/>
  <c r="J184" s="1"/>
  <c r="P38" i="39" s="1"/>
  <c r="J65" i="8"/>
  <c r="J123" s="1"/>
  <c r="J183" s="1"/>
  <c r="P37" i="39" s="1"/>
  <c r="J68" i="8"/>
  <c r="J126" s="1"/>
  <c r="J186" s="1"/>
  <c r="P40" i="39" s="1"/>
  <c r="J67" i="8"/>
  <c r="J125" s="1"/>
  <c r="J185" s="1"/>
  <c r="P39" i="39" s="1"/>
  <c r="D31" i="27"/>
  <c r="G30"/>
  <c r="I30" s="1"/>
  <c r="J30" s="1"/>
  <c r="L30" s="1"/>
  <c r="D36" i="18" s="1"/>
  <c r="D35" i="19" s="1"/>
  <c r="P53" i="39"/>
  <c r="N48"/>
  <c r="M29"/>
  <c r="M17"/>
  <c r="M28"/>
  <c r="H190" i="8"/>
  <c r="M24" i="39"/>
  <c r="E243" i="8"/>
  <c r="E278"/>
  <c r="Q10" i="39"/>
  <c r="F220" i="8"/>
  <c r="F230"/>
  <c r="F226"/>
  <c r="F236"/>
  <c r="F232"/>
  <c r="F238"/>
  <c r="F219"/>
  <c r="F217"/>
  <c r="F234"/>
  <c r="F222"/>
  <c r="F233"/>
  <c r="F225"/>
  <c r="F227"/>
  <c r="F231"/>
  <c r="F268" s="1"/>
  <c r="F202"/>
  <c r="F216"/>
  <c r="F229"/>
  <c r="F224"/>
  <c r="F221"/>
  <c r="L3" i="39"/>
  <c r="F223" i="8"/>
  <c r="F240"/>
  <c r="F228"/>
  <c r="F235"/>
  <c r="F237"/>
  <c r="F215"/>
  <c r="F252" s="1"/>
  <c r="F239"/>
  <c r="F241"/>
  <c r="F218"/>
  <c r="M38"/>
  <c r="M96" s="1"/>
  <c r="M37"/>
  <c r="M95" s="1"/>
  <c r="M155" s="1"/>
  <c r="S9" i="39" s="1"/>
  <c r="H177" i="8"/>
  <c r="E275"/>
  <c r="E273"/>
  <c r="E253"/>
  <c r="E255"/>
  <c r="E267"/>
  <c r="C13" i="27" l="1"/>
  <c r="K14"/>
  <c r="C14" s="1"/>
  <c r="G6"/>
  <c r="I6" s="1"/>
  <c r="J6" s="1"/>
  <c r="L6" s="1"/>
  <c r="D12" i="18" s="1"/>
  <c r="D11" i="19" s="1"/>
  <c r="D83" s="1"/>
  <c r="D10" i="35" s="1"/>
  <c r="C12" i="3" s="1"/>
  <c r="D7" i="27"/>
  <c r="C23"/>
  <c r="K24"/>
  <c r="L23"/>
  <c r="D29" i="18" s="1"/>
  <c r="D28" i="19" s="1"/>
  <c r="D87" s="1"/>
  <c r="D14" i="35" s="1"/>
  <c r="C16" i="3" s="1"/>
  <c r="G20" i="27"/>
  <c r="I20" s="1"/>
  <c r="J20" s="1"/>
  <c r="L20" s="1"/>
  <c r="D26" i="18" s="1"/>
  <c r="D25" i="19" s="1"/>
  <c r="D21" i="27"/>
  <c r="K37"/>
  <c r="C36"/>
  <c r="D14"/>
  <c r="G14" s="1"/>
  <c r="I14" s="1"/>
  <c r="J14" s="1"/>
  <c r="L14" s="1"/>
  <c r="D20" i="18" s="1"/>
  <c r="D19" i="19" s="1"/>
  <c r="G13" i="27"/>
  <c r="I13" s="1"/>
  <c r="J13" s="1"/>
  <c r="L13" s="1"/>
  <c r="D19" i="18" s="1"/>
  <c r="D18" i="19" s="1"/>
  <c r="K60" i="27"/>
  <c r="C59"/>
  <c r="G250" i="8"/>
  <c r="F258"/>
  <c r="F204"/>
  <c r="F263"/>
  <c r="G251"/>
  <c r="F260"/>
  <c r="F274"/>
  <c r="F266"/>
  <c r="F264"/>
  <c r="F271"/>
  <c r="F269"/>
  <c r="F255"/>
  <c r="F277"/>
  <c r="F259"/>
  <c r="J194"/>
  <c r="N42" i="39"/>
  <c r="O39"/>
  <c r="M156" i="8"/>
  <c r="J195"/>
  <c r="J55"/>
  <c r="J113" s="1"/>
  <c r="J173" s="1"/>
  <c r="P27" i="39" s="1"/>
  <c r="J53" i="8"/>
  <c r="J111" s="1"/>
  <c r="J56"/>
  <c r="J114" s="1"/>
  <c r="J174" s="1"/>
  <c r="P28" i="39" s="1"/>
  <c r="J54" i="8"/>
  <c r="J112" s="1"/>
  <c r="J172" s="1"/>
  <c r="P26" i="39" s="1"/>
  <c r="J52" i="8"/>
  <c r="J110" s="1"/>
  <c r="J170" s="1"/>
  <c r="P24" i="39" s="1"/>
  <c r="M3"/>
  <c r="G217" i="8"/>
  <c r="G234"/>
  <c r="G240"/>
  <c r="G232"/>
  <c r="G230"/>
  <c r="G220"/>
  <c r="G238"/>
  <c r="G215"/>
  <c r="G252" s="1"/>
  <c r="G231"/>
  <c r="G218"/>
  <c r="G236"/>
  <c r="G239"/>
  <c r="G202"/>
  <c r="G223"/>
  <c r="G219"/>
  <c r="G227"/>
  <c r="G224"/>
  <c r="G221"/>
  <c r="G258" s="1"/>
  <c r="G225"/>
  <c r="G216"/>
  <c r="G253" s="1"/>
  <c r="G222"/>
  <c r="G233"/>
  <c r="G229"/>
  <c r="G241"/>
  <c r="G226"/>
  <c r="G228"/>
  <c r="G235"/>
  <c r="G237"/>
  <c r="K51"/>
  <c r="K109" s="1"/>
  <c r="K169" s="1"/>
  <c r="Q23" i="39" s="1"/>
  <c r="K50" i="8"/>
  <c r="K108" s="1"/>
  <c r="F261"/>
  <c r="F275"/>
  <c r="G249"/>
  <c r="N31" i="39"/>
  <c r="N38" i="8"/>
  <c r="N96" s="1"/>
  <c r="N156" s="1"/>
  <c r="T10" i="39" s="1"/>
  <c r="N37" i="8"/>
  <c r="N95" s="1"/>
  <c r="L199"/>
  <c r="I89"/>
  <c r="I84"/>
  <c r="I175"/>
  <c r="K63"/>
  <c r="K121" s="1"/>
  <c r="K181" s="1"/>
  <c r="Q35" i="39" s="1"/>
  <c r="K64" i="8"/>
  <c r="K122" s="1"/>
  <c r="K182" s="1"/>
  <c r="Q36" i="39" s="1"/>
  <c r="I161" i="8"/>
  <c r="I173"/>
  <c r="K68"/>
  <c r="K126" s="1"/>
  <c r="K66"/>
  <c r="K124" s="1"/>
  <c r="K69"/>
  <c r="K127" s="1"/>
  <c r="K65"/>
  <c r="K123" s="1"/>
  <c r="K183" s="1"/>
  <c r="Q37" i="39" s="1"/>
  <c r="K67" i="8"/>
  <c r="K125" s="1"/>
  <c r="N16" i="39"/>
  <c r="I151" i="8"/>
  <c r="O4" i="39"/>
  <c r="J59" i="8"/>
  <c r="J117" s="1"/>
  <c r="J62"/>
  <c r="J120" s="1"/>
  <c r="J180" s="1"/>
  <c r="P34" i="39" s="1"/>
  <c r="J57" i="8"/>
  <c r="J115" s="1"/>
  <c r="J175" s="1"/>
  <c r="P29" i="39" s="1"/>
  <c r="J61" i="8"/>
  <c r="J119" s="1"/>
  <c r="J179" s="1"/>
  <c r="P33" i="39" s="1"/>
  <c r="J60" i="8"/>
  <c r="J118" s="1"/>
  <c r="J178" s="1"/>
  <c r="P32" i="39" s="1"/>
  <c r="J58" i="8"/>
  <c r="J116" s="1"/>
  <c r="J176" s="1"/>
  <c r="P30" i="39" s="1"/>
  <c r="D113" i="19"/>
  <c r="D40" i="35" s="1"/>
  <c r="C42" i="3" s="1"/>
  <c r="D100" i="19"/>
  <c r="D27" i="35" s="1"/>
  <c r="C29" i="3" s="1"/>
  <c r="J182" i="8"/>
  <c r="I157"/>
  <c r="I174"/>
  <c r="H149"/>
  <c r="H142"/>
  <c r="F278"/>
  <c r="F243"/>
  <c r="M80"/>
  <c r="M138" s="1"/>
  <c r="M198" s="1"/>
  <c r="S52" i="39" s="1"/>
  <c r="M78" i="8"/>
  <c r="M136" s="1"/>
  <c r="M81"/>
  <c r="M139" s="1"/>
  <c r="M199" s="1"/>
  <c r="S53" i="39" s="1"/>
  <c r="M79" i="8"/>
  <c r="M137" s="1"/>
  <c r="M197" s="1"/>
  <c r="S51" i="39" s="1"/>
  <c r="M82" i="8"/>
  <c r="M140" s="1"/>
  <c r="M200" s="1"/>
  <c r="I152"/>
  <c r="I154"/>
  <c r="I180"/>
  <c r="G50" i="27"/>
  <c r="I50" s="1"/>
  <c r="J50" s="1"/>
  <c r="L50" s="1"/>
  <c r="D56" i="18" s="1"/>
  <c r="D55" i="19" s="1"/>
  <c r="D51" i="27"/>
  <c r="J181" i="8"/>
  <c r="N4" i="39"/>
  <c r="H212" i="8"/>
  <c r="H249" s="1"/>
  <c r="H213"/>
  <c r="H214"/>
  <c r="I160"/>
  <c r="J40"/>
  <c r="J98" s="1"/>
  <c r="J158" s="1"/>
  <c r="P12" i="39" s="1"/>
  <c r="J41" i="8"/>
  <c r="J99" s="1"/>
  <c r="J159" s="1"/>
  <c r="P13" i="39" s="1"/>
  <c r="J42" i="8"/>
  <c r="J100" s="1"/>
  <c r="J160" s="1"/>
  <c r="P14" i="39" s="1"/>
  <c r="J43" i="8"/>
  <c r="J101" s="1"/>
  <c r="J161" s="1"/>
  <c r="P15" i="39" s="1"/>
  <c r="J39" i="8"/>
  <c r="J97" s="1"/>
  <c r="J157" s="1"/>
  <c r="P11" i="39" s="1"/>
  <c r="I172" i="8"/>
  <c r="I170"/>
  <c r="N45" i="39"/>
  <c r="Q52"/>
  <c r="D106" i="19"/>
  <c r="D33" i="35" s="1"/>
  <c r="C35" i="3" s="1"/>
  <c r="D93" i="19"/>
  <c r="D20" i="35" s="1"/>
  <c r="C22" i="3" s="1"/>
  <c r="J169" i="8"/>
  <c r="J70"/>
  <c r="J128" s="1"/>
  <c r="J73"/>
  <c r="J131" s="1"/>
  <c r="J191" s="1"/>
  <c r="P45" i="39" s="1"/>
  <c r="J75" i="8"/>
  <c r="J133" s="1"/>
  <c r="J72"/>
  <c r="J130" s="1"/>
  <c r="J71"/>
  <c r="J129" s="1"/>
  <c r="J189" s="1"/>
  <c r="J74"/>
  <c r="J132" s="1"/>
  <c r="J192" s="1"/>
  <c r="P46" i="39" s="1"/>
  <c r="F267" i="8"/>
  <c r="F276"/>
  <c r="F265"/>
  <c r="F270"/>
  <c r="F256"/>
  <c r="E280"/>
  <c r="E281" s="1"/>
  <c r="F272"/>
  <c r="F253"/>
  <c r="F262"/>
  <c r="F254"/>
  <c r="F273"/>
  <c r="N44" i="39"/>
  <c r="G31" i="27"/>
  <c r="I31" s="1"/>
  <c r="J31" s="1"/>
  <c r="L31" s="1"/>
  <c r="D37" i="18" s="1"/>
  <c r="D36" i="19" s="1"/>
  <c r="D32" i="27"/>
  <c r="O41" i="39"/>
  <c r="L197" i="8"/>
  <c r="J26"/>
  <c r="J32"/>
  <c r="J90" s="1"/>
  <c r="J150" s="1"/>
  <c r="J33"/>
  <c r="J91" s="1"/>
  <c r="J151" s="1"/>
  <c r="P5" i="39" s="1"/>
  <c r="J31" i="8"/>
  <c r="J34"/>
  <c r="J92" s="1"/>
  <c r="J152" s="1"/>
  <c r="J35"/>
  <c r="J93" s="1"/>
  <c r="J36"/>
  <c r="J94" s="1"/>
  <c r="J154" s="1"/>
  <c r="P8" i="39" s="1"/>
  <c r="I176" i="8"/>
  <c r="I179"/>
  <c r="D39" i="27"/>
  <c r="G38"/>
  <c r="I38" s="1"/>
  <c r="J38" s="1"/>
  <c r="I158" i="8"/>
  <c r="I159"/>
  <c r="K77"/>
  <c r="K135" s="1"/>
  <c r="K195" s="1"/>
  <c r="Q49" i="39" s="1"/>
  <c r="K76" i="8"/>
  <c r="K134" s="1"/>
  <c r="K194" s="1"/>
  <c r="Q48" i="39" s="1"/>
  <c r="N25"/>
  <c r="I163" i="8"/>
  <c r="J47"/>
  <c r="J105" s="1"/>
  <c r="J165" s="1"/>
  <c r="J48"/>
  <c r="J106" s="1"/>
  <c r="J44"/>
  <c r="J102" s="1"/>
  <c r="J45"/>
  <c r="J103" s="1"/>
  <c r="J163" s="1"/>
  <c r="P17" i="39" s="1"/>
  <c r="J49" i="8"/>
  <c r="J107" s="1"/>
  <c r="J167" s="1"/>
  <c r="P21" i="39" s="1"/>
  <c r="J46" i="8"/>
  <c r="J104" s="1"/>
  <c r="G43" i="27"/>
  <c r="I43" s="1"/>
  <c r="J43" s="1"/>
  <c r="L43" s="1"/>
  <c r="D49" i="18" s="1"/>
  <c r="D48" i="19" s="1"/>
  <c r="D44" i="27"/>
  <c r="N47" i="39"/>
  <c r="E59" i="27"/>
  <c r="G58"/>
  <c r="I58" s="1"/>
  <c r="J58" s="1"/>
  <c r="L58" s="1"/>
  <c r="D64" i="18" s="1"/>
  <c r="D63" i="19" s="1"/>
  <c r="D122" s="1"/>
  <c r="D49" i="35" s="1"/>
  <c r="C51" i="3" s="1"/>
  <c r="I192" i="8"/>
  <c r="F257"/>
  <c r="K38" i="27" l="1"/>
  <c r="C37"/>
  <c r="K25"/>
  <c r="C24"/>
  <c r="L24"/>
  <c r="D30" i="18" s="1"/>
  <c r="D29" i="19" s="1"/>
  <c r="D88" s="1"/>
  <c r="D15" i="35" s="1"/>
  <c r="C17" i="3" s="1"/>
  <c r="D8" i="27"/>
  <c r="G7"/>
  <c r="I7" s="1"/>
  <c r="J7" s="1"/>
  <c r="L7" s="1"/>
  <c r="D13" i="18" s="1"/>
  <c r="D12" i="19" s="1"/>
  <c r="D84" s="1"/>
  <c r="D11" i="35" s="1"/>
  <c r="C13" i="3" s="1"/>
  <c r="L37" i="27"/>
  <c r="D43" i="18" s="1"/>
  <c r="D42" i="19" s="1"/>
  <c r="G21" i="27"/>
  <c r="I21" s="1"/>
  <c r="J21" s="1"/>
  <c r="L21" s="1"/>
  <c r="D27" i="18" s="1"/>
  <c r="D26" i="19" s="1"/>
  <c r="D22" i="27"/>
  <c r="G22" s="1"/>
  <c r="I22" s="1"/>
  <c r="J22" s="1"/>
  <c r="L22" s="1"/>
  <c r="D28" i="18" s="1"/>
  <c r="D27" i="19" s="1"/>
  <c r="G204" i="8"/>
  <c r="K61" i="27"/>
  <c r="C60"/>
  <c r="G274" i="8"/>
  <c r="G276"/>
  <c r="F280"/>
  <c r="F281" s="1"/>
  <c r="G270"/>
  <c r="G268"/>
  <c r="G260"/>
  <c r="G272"/>
  <c r="G266"/>
  <c r="G262"/>
  <c r="G256"/>
  <c r="G255"/>
  <c r="H251"/>
  <c r="I214"/>
  <c r="G264"/>
  <c r="G269"/>
  <c r="D40" i="27"/>
  <c r="G40" s="1"/>
  <c r="I40" s="1"/>
  <c r="J40" s="1"/>
  <c r="G39"/>
  <c r="I39" s="1"/>
  <c r="J39" s="1"/>
  <c r="O30" i="39"/>
  <c r="J89" i="8"/>
  <c r="J84"/>
  <c r="J190"/>
  <c r="K71"/>
  <c r="K129" s="1"/>
  <c r="K73"/>
  <c r="K131" s="1"/>
  <c r="K70"/>
  <c r="K128" s="1"/>
  <c r="K188" s="1"/>
  <c r="Q42" i="39" s="1"/>
  <c r="K74" i="8"/>
  <c r="K132" s="1"/>
  <c r="K75"/>
  <c r="K133" s="1"/>
  <c r="K193" s="1"/>
  <c r="Q47" i="39" s="1"/>
  <c r="K72" i="8"/>
  <c r="K130" s="1"/>
  <c r="K190" s="1"/>
  <c r="Q44" i="39" s="1"/>
  <c r="O26"/>
  <c r="O14"/>
  <c r="S54"/>
  <c r="O28"/>
  <c r="P36"/>
  <c r="J177" i="8"/>
  <c r="K187"/>
  <c r="O29" i="39"/>
  <c r="R53"/>
  <c r="K168" i="8"/>
  <c r="G278"/>
  <c r="G243"/>
  <c r="J171"/>
  <c r="P49" i="39"/>
  <c r="P48"/>
  <c r="G44" i="27"/>
  <c r="I44" s="1"/>
  <c r="J44" s="1"/>
  <c r="L44" s="1"/>
  <c r="D50" i="18" s="1"/>
  <c r="D49" i="19" s="1"/>
  <c r="D45" i="27"/>
  <c r="K47" i="8"/>
  <c r="K105" s="1"/>
  <c r="K165" s="1"/>
  <c r="Q19" i="39" s="1"/>
  <c r="K44" i="8"/>
  <c r="K102" s="1"/>
  <c r="K162" s="1"/>
  <c r="Q16" i="39" s="1"/>
  <c r="K46" i="8"/>
  <c r="K104" s="1"/>
  <c r="K164" s="1"/>
  <c r="Q18" i="39" s="1"/>
  <c r="K45" i="8"/>
  <c r="K103" s="1"/>
  <c r="K48"/>
  <c r="K106" s="1"/>
  <c r="K166" s="1"/>
  <c r="Q20" i="39" s="1"/>
  <c r="K49" i="8"/>
  <c r="K107" s="1"/>
  <c r="K167" s="1"/>
  <c r="P6" i="39"/>
  <c r="J211" i="8"/>
  <c r="J248" s="1"/>
  <c r="P4" i="39"/>
  <c r="P43"/>
  <c r="J188" i="8"/>
  <c r="P35" i="39"/>
  <c r="O34"/>
  <c r="I211" i="8"/>
  <c r="I248" s="1"/>
  <c r="O6" i="39"/>
  <c r="M196" i="8"/>
  <c r="O5" i="39"/>
  <c r="L66" i="8"/>
  <c r="L124" s="1"/>
  <c r="L184" s="1"/>
  <c r="R38" i="39" s="1"/>
  <c r="L65" i="8"/>
  <c r="L123" s="1"/>
  <c r="L69"/>
  <c r="L127" s="1"/>
  <c r="L187" s="1"/>
  <c r="R41" i="39" s="1"/>
  <c r="L68" i="8"/>
  <c r="L126" s="1"/>
  <c r="L186" s="1"/>
  <c r="R40" i="39" s="1"/>
  <c r="L67" i="8"/>
  <c r="L125" s="1"/>
  <c r="L185" s="1"/>
  <c r="R39" i="39" s="1"/>
  <c r="O15"/>
  <c r="O38" i="8"/>
  <c r="O96" s="1"/>
  <c r="O156" s="1"/>
  <c r="U10" i="39" s="1"/>
  <c r="O37" i="8"/>
  <c r="O95" s="1"/>
  <c r="O155" s="1"/>
  <c r="U9" i="39" s="1"/>
  <c r="H250" i="8"/>
  <c r="G263"/>
  <c r="G259"/>
  <c r="G261"/>
  <c r="G267"/>
  <c r="G254"/>
  <c r="E60" i="27"/>
  <c r="G59"/>
  <c r="I59" s="1"/>
  <c r="J59" s="1"/>
  <c r="L59" s="1"/>
  <c r="D65" i="18" s="1"/>
  <c r="D64" i="19" s="1"/>
  <c r="D123" s="1"/>
  <c r="D50" i="35" s="1"/>
  <c r="C52" i="3" s="1"/>
  <c r="D94" i="19"/>
  <c r="D21" i="35" s="1"/>
  <c r="C23" i="3" s="1"/>
  <c r="D107" i="19"/>
  <c r="D34" i="35" s="1"/>
  <c r="C36" i="3" s="1"/>
  <c r="J162" i="8"/>
  <c r="O13" i="39"/>
  <c r="D52" i="27"/>
  <c r="G51"/>
  <c r="I51" s="1"/>
  <c r="J51" s="1"/>
  <c r="L51" s="1"/>
  <c r="D57" i="18" s="1"/>
  <c r="D56" i="19" s="1"/>
  <c r="O46" i="39"/>
  <c r="P19"/>
  <c r="L76" i="8"/>
  <c r="L134" s="1"/>
  <c r="L194" s="1"/>
  <c r="R48" i="39" s="1"/>
  <c r="L77" i="8"/>
  <c r="L135" s="1"/>
  <c r="L195" s="1"/>
  <c r="R49" i="39" s="1"/>
  <c r="O12"/>
  <c r="O33"/>
  <c r="J153" i="8"/>
  <c r="K36"/>
  <c r="K94" s="1"/>
  <c r="K154" s="1"/>
  <c r="Q8" i="39" s="1"/>
  <c r="K32" i="8"/>
  <c r="K90" s="1"/>
  <c r="K35"/>
  <c r="K93" s="1"/>
  <c r="K153" s="1"/>
  <c r="Q7" i="39" s="1"/>
  <c r="K31" i="8"/>
  <c r="K33"/>
  <c r="K91" s="1"/>
  <c r="K151" s="1"/>
  <c r="Q5" i="39" s="1"/>
  <c r="K34" i="8"/>
  <c r="K92" s="1"/>
  <c r="K26"/>
  <c r="R51" i="39"/>
  <c r="P23"/>
  <c r="O24"/>
  <c r="K40" i="8"/>
  <c r="K98" s="1"/>
  <c r="K41"/>
  <c r="K99" s="1"/>
  <c r="K159" s="1"/>
  <c r="Q13" i="39" s="1"/>
  <c r="K43" i="8"/>
  <c r="K101" s="1"/>
  <c r="K161" s="1"/>
  <c r="Q15" i="39" s="1"/>
  <c r="K39" i="8"/>
  <c r="K97" s="1"/>
  <c r="K157" s="1"/>
  <c r="Q11" i="39" s="1"/>
  <c r="K42" i="8"/>
  <c r="K100" s="1"/>
  <c r="K160" s="1"/>
  <c r="Q14" i="39" s="1"/>
  <c r="N3"/>
  <c r="H225" i="8"/>
  <c r="H226"/>
  <c r="H240"/>
  <c r="H239"/>
  <c r="H228"/>
  <c r="H217"/>
  <c r="H232"/>
  <c r="H220"/>
  <c r="H235"/>
  <c r="H237"/>
  <c r="H241"/>
  <c r="H222"/>
  <c r="H215"/>
  <c r="H252" s="1"/>
  <c r="H230"/>
  <c r="H216"/>
  <c r="H218"/>
  <c r="H219"/>
  <c r="H224"/>
  <c r="H238"/>
  <c r="H223"/>
  <c r="H231"/>
  <c r="H236"/>
  <c r="H202"/>
  <c r="H229"/>
  <c r="H234"/>
  <c r="H227"/>
  <c r="H264" s="1"/>
  <c r="H233"/>
  <c r="H221"/>
  <c r="O11" i="39"/>
  <c r="K185" i="8"/>
  <c r="K186"/>
  <c r="L64"/>
  <c r="L122" s="1"/>
  <c r="L182" s="1"/>
  <c r="R36" i="39" s="1"/>
  <c r="L63" i="8"/>
  <c r="L121" s="1"/>
  <c r="L181" s="1"/>
  <c r="R35" i="39" s="1"/>
  <c r="I142" i="8"/>
  <c r="I149"/>
  <c r="L50"/>
  <c r="L108" s="1"/>
  <c r="L168" s="1"/>
  <c r="R22" i="39" s="1"/>
  <c r="L51" i="8"/>
  <c r="L109" s="1"/>
  <c r="K52"/>
  <c r="K110" s="1"/>
  <c r="K56"/>
  <c r="K114" s="1"/>
  <c r="K53"/>
  <c r="K111" s="1"/>
  <c r="K171" s="1"/>
  <c r="Q25" i="39" s="1"/>
  <c r="K55" i="8"/>
  <c r="K113" s="1"/>
  <c r="K54"/>
  <c r="K112" s="1"/>
  <c r="S10" i="39"/>
  <c r="I213" i="8"/>
  <c r="G265"/>
  <c r="G257"/>
  <c r="G271"/>
  <c r="J164"/>
  <c r="J166"/>
  <c r="O17" i="39"/>
  <c r="G32" i="27"/>
  <c r="I32" s="1"/>
  <c r="J32" s="1"/>
  <c r="L32" s="1"/>
  <c r="D38" i="18" s="1"/>
  <c r="D37" i="19" s="1"/>
  <c r="D33" i="27"/>
  <c r="J193" i="8"/>
  <c r="D114" i="19"/>
  <c r="D41" i="35" s="1"/>
  <c r="C43" i="3" s="1"/>
  <c r="D101" i="19"/>
  <c r="D28" i="35" s="1"/>
  <c r="C30" i="3" s="1"/>
  <c r="O8" i="39"/>
  <c r="N80" i="8"/>
  <c r="N138" s="1"/>
  <c r="N198" s="1"/>
  <c r="T52" i="39" s="1"/>
  <c r="N82" i="8"/>
  <c r="N140" s="1"/>
  <c r="N200" s="1"/>
  <c r="T54" i="39" s="1"/>
  <c r="N81" i="8"/>
  <c r="N139" s="1"/>
  <c r="N199" s="1"/>
  <c r="T53" i="39" s="1"/>
  <c r="N79" i="8"/>
  <c r="N137" s="1"/>
  <c r="N78"/>
  <c r="N136" s="1"/>
  <c r="N196" s="1"/>
  <c r="T50" i="39" s="1"/>
  <c r="K61" i="8"/>
  <c r="K119" s="1"/>
  <c r="K59"/>
  <c r="K117" s="1"/>
  <c r="K177" s="1"/>
  <c r="Q31" i="39" s="1"/>
  <c r="K57" i="8"/>
  <c r="K115" s="1"/>
  <c r="K175" s="1"/>
  <c r="Q29" i="39" s="1"/>
  <c r="K60" i="8"/>
  <c r="K118" s="1"/>
  <c r="K62"/>
  <c r="K120" s="1"/>
  <c r="K58"/>
  <c r="K116" s="1"/>
  <c r="K184"/>
  <c r="O27" i="39"/>
  <c r="N155" i="8"/>
  <c r="I212"/>
  <c r="G273"/>
  <c r="G275"/>
  <c r="G277"/>
  <c r="H270" l="1"/>
  <c r="K39" i="27"/>
  <c r="C38"/>
  <c r="K26"/>
  <c r="C25"/>
  <c r="L25"/>
  <c r="D31" i="18" s="1"/>
  <c r="D30" i="19" s="1"/>
  <c r="D89" s="1"/>
  <c r="D16" i="35" s="1"/>
  <c r="C18" i="3" s="1"/>
  <c r="D9" i="27"/>
  <c r="G9" s="1"/>
  <c r="I9" s="1"/>
  <c r="J9" s="1"/>
  <c r="L9" s="1"/>
  <c r="D15" i="18" s="1"/>
  <c r="D14" i="19" s="1"/>
  <c r="D86" s="1"/>
  <c r="D13" i="35" s="1"/>
  <c r="C15" i="3" s="1"/>
  <c r="G8" i="27"/>
  <c r="I8" s="1"/>
  <c r="J8" s="1"/>
  <c r="L8" s="1"/>
  <c r="D14" i="18" s="1"/>
  <c r="D13" i="19" s="1"/>
  <c r="D85" s="1"/>
  <c r="D12" i="35" s="1"/>
  <c r="C14" i="3" s="1"/>
  <c r="L38" i="27"/>
  <c r="D44" i="18" s="1"/>
  <c r="D43" i="19" s="1"/>
  <c r="H266" i="8"/>
  <c r="H260"/>
  <c r="K62" i="27"/>
  <c r="C61"/>
  <c r="I249" i="8"/>
  <c r="H277"/>
  <c r="H258"/>
  <c r="H273"/>
  <c r="H263"/>
  <c r="H275"/>
  <c r="H253"/>
  <c r="H269"/>
  <c r="H255"/>
  <c r="H257"/>
  <c r="J214"/>
  <c r="G280"/>
  <c r="G281" s="1"/>
  <c r="H261"/>
  <c r="O81"/>
  <c r="O139" s="1"/>
  <c r="O199" s="1"/>
  <c r="O80"/>
  <c r="O138" s="1"/>
  <c r="O198" s="1"/>
  <c r="U52" i="39" s="1"/>
  <c r="O78" i="8"/>
  <c r="O136" s="1"/>
  <c r="O196" s="1"/>
  <c r="U50" i="39" s="1"/>
  <c r="O79" i="8"/>
  <c r="O137" s="1"/>
  <c r="O197" s="1"/>
  <c r="U51" i="39" s="1"/>
  <c r="O82" i="8"/>
  <c r="O140" s="1"/>
  <c r="O200" s="1"/>
  <c r="P20" i="39"/>
  <c r="L169" i="8"/>
  <c r="L41"/>
  <c r="L99" s="1"/>
  <c r="L43"/>
  <c r="L101" s="1"/>
  <c r="L161" s="1"/>
  <c r="L42"/>
  <c r="L100" s="1"/>
  <c r="L160" s="1"/>
  <c r="R14" i="39" s="1"/>
  <c r="L40" i="8"/>
  <c r="L98" s="1"/>
  <c r="L158" s="1"/>
  <c r="R12" i="39" s="1"/>
  <c r="L39" i="8"/>
  <c r="L97" s="1"/>
  <c r="K152"/>
  <c r="K150"/>
  <c r="P7" i="39"/>
  <c r="D102" i="19"/>
  <c r="D29" i="35" s="1"/>
  <c r="C31" i="3" s="1"/>
  <c r="D115" i="19"/>
  <c r="D42" i="35" s="1"/>
  <c r="C44" i="3" s="1"/>
  <c r="Q21" i="39"/>
  <c r="D95" i="19"/>
  <c r="D22" i="35" s="1"/>
  <c r="C24" i="3" s="1"/>
  <c r="D35" i="35"/>
  <c r="C37" i="3" s="1"/>
  <c r="Q41" i="39"/>
  <c r="I250" i="8"/>
  <c r="H267"/>
  <c r="H274"/>
  <c r="H254"/>
  <c r="J212"/>
  <c r="J249" s="1"/>
  <c r="I251"/>
  <c r="H204"/>
  <c r="K178"/>
  <c r="L59"/>
  <c r="L117" s="1"/>
  <c r="L177" s="1"/>
  <c r="R31" i="39" s="1"/>
  <c r="L62" i="8"/>
  <c r="L120" s="1"/>
  <c r="L180" s="1"/>
  <c r="R34" i="39" s="1"/>
  <c r="L57" i="8"/>
  <c r="L115" s="1"/>
  <c r="L175" s="1"/>
  <c r="R29" i="39" s="1"/>
  <c r="L61" i="8"/>
  <c r="L119" s="1"/>
  <c r="L179" s="1"/>
  <c r="R33" i="39" s="1"/>
  <c r="L60" i="8"/>
  <c r="L118" s="1"/>
  <c r="L178" s="1"/>
  <c r="R32" i="39" s="1"/>
  <c r="L58" i="8"/>
  <c r="L116" s="1"/>
  <c r="L176" s="1"/>
  <c r="R30" i="39" s="1"/>
  <c r="M50" i="8"/>
  <c r="M108" s="1"/>
  <c r="M168" s="1"/>
  <c r="S22" i="39" s="1"/>
  <c r="M51" i="8"/>
  <c r="M109" s="1"/>
  <c r="M169" s="1"/>
  <c r="S23" i="39" s="1"/>
  <c r="K84" i="8"/>
  <c r="K89"/>
  <c r="L26"/>
  <c r="L34"/>
  <c r="L92" s="1"/>
  <c r="L152" s="1"/>
  <c r="L33"/>
  <c r="L91" s="1"/>
  <c r="L31"/>
  <c r="L32"/>
  <c r="L90" s="1"/>
  <c r="L150" s="1"/>
  <c r="L35"/>
  <c r="L93" s="1"/>
  <c r="L153" s="1"/>
  <c r="R7" i="39" s="1"/>
  <c r="L36" i="8"/>
  <c r="L94" s="1"/>
  <c r="M77"/>
  <c r="M135" s="1"/>
  <c r="M195" s="1"/>
  <c r="M76"/>
  <c r="M134" s="1"/>
  <c r="M194" s="1"/>
  <c r="S48" i="39" s="1"/>
  <c r="P37" i="8"/>
  <c r="P95" s="1"/>
  <c r="P38"/>
  <c r="P96" s="1"/>
  <c r="S50" i="39"/>
  <c r="K163" i="8"/>
  <c r="L46"/>
  <c r="L104" s="1"/>
  <c r="L164" s="1"/>
  <c r="R18" i="39" s="1"/>
  <c r="L47" i="8"/>
  <c r="L105" s="1"/>
  <c r="L165" s="1"/>
  <c r="L48"/>
  <c r="L106" s="1"/>
  <c r="L44"/>
  <c r="L102" s="1"/>
  <c r="L49"/>
  <c r="L107" s="1"/>
  <c r="L167" s="1"/>
  <c r="R21" i="39" s="1"/>
  <c r="L45" i="8"/>
  <c r="L103" s="1"/>
  <c r="L163" s="1"/>
  <c r="R17" i="39" s="1"/>
  <c r="P25"/>
  <c r="Q22"/>
  <c r="P31"/>
  <c r="L72" i="8"/>
  <c r="L130" s="1"/>
  <c r="L190" s="1"/>
  <c r="R44" i="39" s="1"/>
  <c r="L75" i="8"/>
  <c r="L133" s="1"/>
  <c r="L74"/>
  <c r="L132" s="1"/>
  <c r="L192" s="1"/>
  <c r="R46" i="39" s="1"/>
  <c r="L73" i="8"/>
  <c r="L131" s="1"/>
  <c r="L191" s="1"/>
  <c r="R45" i="39" s="1"/>
  <c r="L71" i="8"/>
  <c r="L129" s="1"/>
  <c r="L189" s="1"/>
  <c r="R43" i="39" s="1"/>
  <c r="L70" i="8"/>
  <c r="L128" s="1"/>
  <c r="H259"/>
  <c r="H276"/>
  <c r="J213"/>
  <c r="K176"/>
  <c r="N197"/>
  <c r="T9" i="39"/>
  <c r="Q38"/>
  <c r="D34" i="27"/>
  <c r="G33"/>
  <c r="I33" s="1"/>
  <c r="J33" s="1"/>
  <c r="L33" s="1"/>
  <c r="D39" i="18" s="1"/>
  <c r="D38" i="19" s="1"/>
  <c r="K173" i="8"/>
  <c r="L56"/>
  <c r="L114" s="1"/>
  <c r="L174" s="1"/>
  <c r="R28" i="39" s="1"/>
  <c r="L53" i="8"/>
  <c r="L111" s="1"/>
  <c r="L171" s="1"/>
  <c r="R25" i="39" s="1"/>
  <c r="L55" i="8"/>
  <c r="L113" s="1"/>
  <c r="L173" s="1"/>
  <c r="R27" i="39" s="1"/>
  <c r="L52" i="8"/>
  <c r="L110" s="1"/>
  <c r="L170" s="1"/>
  <c r="R24" i="39" s="1"/>
  <c r="L54" i="8"/>
  <c r="L112" s="1"/>
  <c r="L172" s="1"/>
  <c r="R26" i="39" s="1"/>
  <c r="I233" i="8"/>
  <c r="I237"/>
  <c r="I217"/>
  <c r="I223"/>
  <c r="I225"/>
  <c r="I228"/>
  <c r="I222"/>
  <c r="I215"/>
  <c r="I252" s="1"/>
  <c r="I219"/>
  <c r="I216"/>
  <c r="I232"/>
  <c r="I224"/>
  <c r="I227"/>
  <c r="I241"/>
  <c r="O3" i="39"/>
  <c r="I218" i="8"/>
  <c r="I239"/>
  <c r="I226"/>
  <c r="I221"/>
  <c r="I220"/>
  <c r="I229"/>
  <c r="I238"/>
  <c r="I275" s="1"/>
  <c r="I230"/>
  <c r="I236"/>
  <c r="I231"/>
  <c r="I240"/>
  <c r="I235"/>
  <c r="I234"/>
  <c r="I202"/>
  <c r="M63"/>
  <c r="M121" s="1"/>
  <c r="M64"/>
  <c r="M122" s="1"/>
  <c r="M182" s="1"/>
  <c r="Q39" i="39"/>
  <c r="H243" i="8"/>
  <c r="H278"/>
  <c r="K158"/>
  <c r="P42" i="39"/>
  <c r="G45" i="27"/>
  <c r="I45" s="1"/>
  <c r="J45" s="1"/>
  <c r="L45" s="1"/>
  <c r="D51" i="18" s="1"/>
  <c r="D50" i="19" s="1"/>
  <c r="D46" i="27"/>
  <c r="K192" i="8"/>
  <c r="K189"/>
  <c r="J142"/>
  <c r="J149"/>
  <c r="P47" i="39"/>
  <c r="P18"/>
  <c r="K172" i="8"/>
  <c r="K170"/>
  <c r="K180"/>
  <c r="K179"/>
  <c r="K174"/>
  <c r="Q40" i="39"/>
  <c r="D53" i="27"/>
  <c r="G53" s="1"/>
  <c r="I53" s="1"/>
  <c r="J53" s="1"/>
  <c r="L53" s="1"/>
  <c r="D59" i="18" s="1"/>
  <c r="D58" i="19" s="1"/>
  <c r="G52" i="27"/>
  <c r="I52" s="1"/>
  <c r="J52" s="1"/>
  <c r="L52" s="1"/>
  <c r="D58" i="18" s="1"/>
  <c r="D57" i="19" s="1"/>
  <c r="P16" i="39"/>
  <c r="E61" i="27"/>
  <c r="G61" s="1"/>
  <c r="I61" s="1"/>
  <c r="J61" s="1"/>
  <c r="L61" s="1"/>
  <c r="D67" i="18" s="1"/>
  <c r="D66" i="19" s="1"/>
  <c r="D125" s="1"/>
  <c r="D52" i="35" s="1"/>
  <c r="C54" i="3" s="1"/>
  <c r="G60" i="27"/>
  <c r="I60" s="1"/>
  <c r="J60" s="1"/>
  <c r="L60" s="1"/>
  <c r="D66" i="18" s="1"/>
  <c r="D65" i="19" s="1"/>
  <c r="D124" s="1"/>
  <c r="D51" i="35" s="1"/>
  <c r="C53" i="3" s="1"/>
  <c r="M67" i="8"/>
  <c r="M125" s="1"/>
  <c r="M69"/>
  <c r="M127" s="1"/>
  <c r="M68"/>
  <c r="M126" s="1"/>
  <c r="M66"/>
  <c r="M124" s="1"/>
  <c r="M65"/>
  <c r="M123" s="1"/>
  <c r="M183" s="1"/>
  <c r="S37" i="39" s="1"/>
  <c r="L183" i="8"/>
  <c r="K191"/>
  <c r="P44" i="39"/>
  <c r="H271" i="8"/>
  <c r="H268"/>
  <c r="H256"/>
  <c r="H272"/>
  <c r="H265"/>
  <c r="H262"/>
  <c r="K40" i="27" l="1"/>
  <c r="C39"/>
  <c r="L39"/>
  <c r="D45" i="18" s="1"/>
  <c r="D44" i="19" s="1"/>
  <c r="K27" i="27"/>
  <c r="C26"/>
  <c r="L26"/>
  <c r="D32" i="18" s="1"/>
  <c r="D31" i="19" s="1"/>
  <c r="D90" s="1"/>
  <c r="D17" i="35" s="1"/>
  <c r="C19" i="3" s="1"/>
  <c r="I261" i="8"/>
  <c r="I204"/>
  <c r="C62" i="27"/>
  <c r="K63"/>
  <c r="L62"/>
  <c r="D68" i="18" s="1"/>
  <c r="D67" i="19" s="1"/>
  <c r="D126" s="1"/>
  <c r="D53" i="35" s="1"/>
  <c r="C55" i="3" s="1"/>
  <c r="I271" i="8"/>
  <c r="I266"/>
  <c r="J250"/>
  <c r="I268"/>
  <c r="I276"/>
  <c r="I264"/>
  <c r="I256"/>
  <c r="I262"/>
  <c r="I270"/>
  <c r="H280"/>
  <c r="H281" s="1"/>
  <c r="I255"/>
  <c r="M185"/>
  <c r="Q43" i="39"/>
  <c r="D109" i="19"/>
  <c r="D36" i="35" s="1"/>
  <c r="C38" i="3" s="1"/>
  <c r="D96" i="19"/>
  <c r="D23" i="35" s="1"/>
  <c r="C25" i="3" s="1"/>
  <c r="Q12" i="39"/>
  <c r="Q27"/>
  <c r="T51"/>
  <c r="M74" i="8"/>
  <c r="M132" s="1"/>
  <c r="M192" s="1"/>
  <c r="S46" i="39" s="1"/>
  <c r="M71" i="8"/>
  <c r="M129" s="1"/>
  <c r="M189" s="1"/>
  <c r="S43" i="39" s="1"/>
  <c r="M75" i="8"/>
  <c r="M133" s="1"/>
  <c r="M193" s="1"/>
  <c r="S47" i="39" s="1"/>
  <c r="M72" i="8"/>
  <c r="M130" s="1"/>
  <c r="M190" s="1"/>
  <c r="M73"/>
  <c r="M131" s="1"/>
  <c r="M191" s="1"/>
  <c r="S45" i="39" s="1"/>
  <c r="M70" i="8"/>
  <c r="M128" s="1"/>
  <c r="M188" s="1"/>
  <c r="S42" i="39" s="1"/>
  <c r="L193" i="8"/>
  <c r="R19" i="39"/>
  <c r="Q17"/>
  <c r="P155" i="8"/>
  <c r="S49" i="39"/>
  <c r="L84" i="8"/>
  <c r="L89"/>
  <c r="M33"/>
  <c r="M91" s="1"/>
  <c r="M151" s="1"/>
  <c r="S5" i="39" s="1"/>
  <c r="M32" i="8"/>
  <c r="M90" s="1"/>
  <c r="M150" s="1"/>
  <c r="M26"/>
  <c r="M35"/>
  <c r="M93" s="1"/>
  <c r="M153" s="1"/>
  <c r="S7" i="39" s="1"/>
  <c r="M31" i="8"/>
  <c r="M36"/>
  <c r="M94" s="1"/>
  <c r="M154" s="1"/>
  <c r="S8" i="39" s="1"/>
  <c r="M34" i="8"/>
  <c r="M92" s="1"/>
  <c r="M152" s="1"/>
  <c r="M59"/>
  <c r="M117" s="1"/>
  <c r="M177" s="1"/>
  <c r="M62"/>
  <c r="M120" s="1"/>
  <c r="M57"/>
  <c r="M115" s="1"/>
  <c r="M175" s="1"/>
  <c r="M60"/>
  <c r="M118" s="1"/>
  <c r="M178" s="1"/>
  <c r="S32" i="39" s="1"/>
  <c r="M61" i="8"/>
  <c r="M119" s="1"/>
  <c r="M58"/>
  <c r="M116" s="1"/>
  <c r="M176" s="1"/>
  <c r="S30" i="39" s="1"/>
  <c r="K212" i="8"/>
  <c r="K213"/>
  <c r="Q4" i="39"/>
  <c r="K214" i="8"/>
  <c r="M40"/>
  <c r="M98" s="1"/>
  <c r="M158" s="1"/>
  <c r="S12" i="39" s="1"/>
  <c r="M43" i="8"/>
  <c r="M101" s="1"/>
  <c r="M161" s="1"/>
  <c r="S15" i="39" s="1"/>
  <c r="M42" i="8"/>
  <c r="M100" s="1"/>
  <c r="M160" s="1"/>
  <c r="M39"/>
  <c r="M97" s="1"/>
  <c r="M157" s="1"/>
  <c r="S11" i="39" s="1"/>
  <c r="M41" i="8"/>
  <c r="M99" s="1"/>
  <c r="M159" s="1"/>
  <c r="S13" i="39" s="1"/>
  <c r="R37"/>
  <c r="M187" i="8"/>
  <c r="Q28" i="39"/>
  <c r="Q34"/>
  <c r="Q26"/>
  <c r="D47" i="27"/>
  <c r="G46"/>
  <c r="I46" s="1"/>
  <c r="J46" s="1"/>
  <c r="L46" s="1"/>
  <c r="D52" i="18" s="1"/>
  <c r="D51" i="19" s="1"/>
  <c r="N63" i="8"/>
  <c r="N121" s="1"/>
  <c r="N181" s="1"/>
  <c r="T35" i="39" s="1"/>
  <c r="N64" i="8"/>
  <c r="N122" s="1"/>
  <c r="N182" s="1"/>
  <c r="T36" i="39" s="1"/>
  <c r="I243" i="8"/>
  <c r="I278"/>
  <c r="L188"/>
  <c r="L166"/>
  <c r="P156"/>
  <c r="L212"/>
  <c r="R4" i="39"/>
  <c r="L157" i="8"/>
  <c r="L159"/>
  <c r="I277"/>
  <c r="I263"/>
  <c r="I253"/>
  <c r="I265"/>
  <c r="I274"/>
  <c r="M186"/>
  <c r="D116" i="19"/>
  <c r="D43" i="35" s="1"/>
  <c r="C45" i="3" s="1"/>
  <c r="D103" i="19"/>
  <c r="D30" i="35" s="1"/>
  <c r="C32" i="3" s="1"/>
  <c r="Q46" i="39"/>
  <c r="M181" i="8"/>
  <c r="M56"/>
  <c r="M114" s="1"/>
  <c r="M55"/>
  <c r="M113" s="1"/>
  <c r="M173" s="1"/>
  <c r="S27" i="39" s="1"/>
  <c r="M53" i="8"/>
  <c r="M111" s="1"/>
  <c r="M52"/>
  <c r="M110" s="1"/>
  <c r="M54"/>
  <c r="M112" s="1"/>
  <c r="G34" i="27"/>
  <c r="I34" s="1"/>
  <c r="J34" s="1"/>
  <c r="L34" s="1"/>
  <c r="D40" i="18" s="1"/>
  <c r="D39" i="19" s="1"/>
  <c r="D35" i="27"/>
  <c r="G35" s="1"/>
  <c r="I35" s="1"/>
  <c r="J35" s="1"/>
  <c r="L35" s="1"/>
  <c r="D41" i="18" s="1"/>
  <c r="D40" i="19" s="1"/>
  <c r="Q30" i="39"/>
  <c r="L162" i="8"/>
  <c r="M46"/>
  <c r="M104" s="1"/>
  <c r="M164" s="1"/>
  <c r="M48"/>
  <c r="M106" s="1"/>
  <c r="M166" s="1"/>
  <c r="S20" i="39" s="1"/>
  <c r="M45" i="8"/>
  <c r="M103" s="1"/>
  <c r="M163" s="1"/>
  <c r="S17" i="39" s="1"/>
  <c r="M44" i="8"/>
  <c r="M102" s="1"/>
  <c r="M162" s="1"/>
  <c r="S16" i="39" s="1"/>
  <c r="M47" i="8"/>
  <c r="M105" s="1"/>
  <c r="M165" s="1"/>
  <c r="S19" i="39" s="1"/>
  <c r="M49" i="8"/>
  <c r="M107" s="1"/>
  <c r="M167" s="1"/>
  <c r="S21" i="39" s="1"/>
  <c r="N76" i="8"/>
  <c r="N134" s="1"/>
  <c r="N194" s="1"/>
  <c r="N77"/>
  <c r="N135" s="1"/>
  <c r="N195" s="1"/>
  <c r="T49" i="39" s="1"/>
  <c r="R6"/>
  <c r="L211" i="8"/>
  <c r="L248" s="1"/>
  <c r="Q32" i="39"/>
  <c r="Q6"/>
  <c r="K211" i="8"/>
  <c r="K248" s="1"/>
  <c r="R15" i="39"/>
  <c r="R23"/>
  <c r="U54"/>
  <c r="U53"/>
  <c r="I272" i="8"/>
  <c r="I267"/>
  <c r="I258"/>
  <c r="I269"/>
  <c r="I259"/>
  <c r="I254"/>
  <c r="J251"/>
  <c r="Q45" i="39"/>
  <c r="M184" i="8"/>
  <c r="N68"/>
  <c r="N126" s="1"/>
  <c r="N186" s="1"/>
  <c r="T40" i="39" s="1"/>
  <c r="N69" i="8"/>
  <c r="N127" s="1"/>
  <c r="N187" s="1"/>
  <c r="T41" i="39" s="1"/>
  <c r="N65" i="8"/>
  <c r="N123" s="1"/>
  <c r="N183" s="1"/>
  <c r="T37" i="39" s="1"/>
  <c r="N66" i="8"/>
  <c r="N124" s="1"/>
  <c r="N184" s="1"/>
  <c r="T38" i="39" s="1"/>
  <c r="N67" i="8"/>
  <c r="N125" s="1"/>
  <c r="N185" s="1"/>
  <c r="T39" i="39" s="1"/>
  <c r="Q33"/>
  <c r="Q24"/>
  <c r="J234" i="8"/>
  <c r="J227"/>
  <c r="J238"/>
  <c r="J232"/>
  <c r="J229"/>
  <c r="J233"/>
  <c r="J224"/>
  <c r="J222"/>
  <c r="J220"/>
  <c r="J216"/>
  <c r="J202"/>
  <c r="J218"/>
  <c r="J221"/>
  <c r="J217"/>
  <c r="J254" s="1"/>
  <c r="J226"/>
  <c r="J231"/>
  <c r="J240"/>
  <c r="J236"/>
  <c r="P3" i="39"/>
  <c r="J219" i="8"/>
  <c r="J256" s="1"/>
  <c r="J241"/>
  <c r="J215"/>
  <c r="J252" s="1"/>
  <c r="J223"/>
  <c r="J230"/>
  <c r="J228"/>
  <c r="J225"/>
  <c r="J239"/>
  <c r="J276" s="1"/>
  <c r="J235"/>
  <c r="J237"/>
  <c r="S36" i="39"/>
  <c r="Q37" i="8"/>
  <c r="Q95" s="1"/>
  <c r="Q155" s="1"/>
  <c r="W9" i="39" s="1"/>
  <c r="Q38" i="8"/>
  <c r="Q96" s="1"/>
  <c r="Q156" s="1"/>
  <c r="W10" i="39" s="1"/>
  <c r="L154" i="8"/>
  <c r="L151"/>
  <c r="K142"/>
  <c r="K149"/>
  <c r="N51"/>
  <c r="N109" s="1"/>
  <c r="N169" s="1"/>
  <c r="T23" i="39" s="1"/>
  <c r="N50" i="8"/>
  <c r="N108" s="1"/>
  <c r="N168" s="1"/>
  <c r="P82"/>
  <c r="P140" s="1"/>
  <c r="P200" s="1"/>
  <c r="V54" i="39" s="1"/>
  <c r="P80" i="8"/>
  <c r="P138" s="1"/>
  <c r="P198" s="1"/>
  <c r="V52" i="39" s="1"/>
  <c r="P81" i="8"/>
  <c r="P139" s="1"/>
  <c r="P199" s="1"/>
  <c r="V53" i="39" s="1"/>
  <c r="P79" i="8"/>
  <c r="P137" s="1"/>
  <c r="P197" s="1"/>
  <c r="V51" i="39" s="1"/>
  <c r="P78" i="8"/>
  <c r="P136" s="1"/>
  <c r="P196" s="1"/>
  <c r="V50" i="39" s="1"/>
  <c r="I273" i="8"/>
  <c r="I257"/>
  <c r="I260"/>
  <c r="C40" i="27" l="1"/>
  <c r="L40"/>
  <c r="D46" i="18" s="1"/>
  <c r="D45" i="19" s="1"/>
  <c r="C27" i="27"/>
  <c r="L27"/>
  <c r="D33" i="18" s="1"/>
  <c r="D32" i="19" s="1"/>
  <c r="D91" s="1"/>
  <c r="D18" i="35" s="1"/>
  <c r="C20" i="3" s="1"/>
  <c r="J204" i="8"/>
  <c r="K64" i="27"/>
  <c r="C63"/>
  <c r="L63"/>
  <c r="D69" i="18" s="1"/>
  <c r="D68" i="19" s="1"/>
  <c r="D127" s="1"/>
  <c r="D54" i="35" s="1"/>
  <c r="C56" i="3" s="1"/>
  <c r="J260" i="8"/>
  <c r="J275"/>
  <c r="J272"/>
  <c r="J267"/>
  <c r="K250"/>
  <c r="J263"/>
  <c r="J261"/>
  <c r="J274"/>
  <c r="J265"/>
  <c r="J271"/>
  <c r="J255"/>
  <c r="T22" i="39"/>
  <c r="R8"/>
  <c r="O66" i="8"/>
  <c r="O124" s="1"/>
  <c r="O184" s="1"/>
  <c r="U38" i="39" s="1"/>
  <c r="O67" i="8"/>
  <c r="O125" s="1"/>
  <c r="O185" s="1"/>
  <c r="U39" i="39" s="1"/>
  <c r="O65" i="8"/>
  <c r="O123" s="1"/>
  <c r="O183" s="1"/>
  <c r="U37" i="39" s="1"/>
  <c r="O68" i="8"/>
  <c r="O126" s="1"/>
  <c r="O186" s="1"/>
  <c r="U40" i="39" s="1"/>
  <c r="O69" i="8"/>
  <c r="O127" s="1"/>
  <c r="O187" s="1"/>
  <c r="U41" i="39" s="1"/>
  <c r="S35"/>
  <c r="S41"/>
  <c r="N41" i="8"/>
  <c r="N99" s="1"/>
  <c r="N159" s="1"/>
  <c r="T13" i="39" s="1"/>
  <c r="N43" i="8"/>
  <c r="N101" s="1"/>
  <c r="N161" s="1"/>
  <c r="N40"/>
  <c r="N98" s="1"/>
  <c r="N158" s="1"/>
  <c r="T12" i="39" s="1"/>
  <c r="N42" i="8"/>
  <c r="N100" s="1"/>
  <c r="N160" s="1"/>
  <c r="T14" i="39" s="1"/>
  <c r="N39" i="8"/>
  <c r="N97" s="1"/>
  <c r="N157" s="1"/>
  <c r="T11" i="39" s="1"/>
  <c r="R47"/>
  <c r="O76" i="8"/>
  <c r="O134" s="1"/>
  <c r="O194" s="1"/>
  <c r="U48" i="39" s="1"/>
  <c r="O77" i="8"/>
  <c r="O135" s="1"/>
  <c r="O195" s="1"/>
  <c r="U49" i="39" s="1"/>
  <c r="M171" i="8"/>
  <c r="R13" i="39"/>
  <c r="V10"/>
  <c r="R42"/>
  <c r="M179" i="8"/>
  <c r="S31" i="39"/>
  <c r="M84" i="8"/>
  <c r="M89"/>
  <c r="S4" i="39"/>
  <c r="S44"/>
  <c r="N71" i="8"/>
  <c r="N129" s="1"/>
  <c r="N189" s="1"/>
  <c r="N73"/>
  <c r="N131" s="1"/>
  <c r="N191" s="1"/>
  <c r="N70"/>
  <c r="N128" s="1"/>
  <c r="N74"/>
  <c r="N132" s="1"/>
  <c r="N192" s="1"/>
  <c r="N72"/>
  <c r="N130" s="1"/>
  <c r="N190" s="1"/>
  <c r="T44" i="39" s="1"/>
  <c r="N75" i="8"/>
  <c r="N133" s="1"/>
  <c r="N193" s="1"/>
  <c r="T47" i="39" s="1"/>
  <c r="S39"/>
  <c r="J268" i="8"/>
  <c r="J259"/>
  <c r="J269"/>
  <c r="I280"/>
  <c r="I281" s="1"/>
  <c r="L214"/>
  <c r="O64"/>
  <c r="O122" s="1"/>
  <c r="O182" s="1"/>
  <c r="O63"/>
  <c r="O121" s="1"/>
  <c r="O181" s="1"/>
  <c r="U35" i="39" s="1"/>
  <c r="K228" i="8"/>
  <c r="K216"/>
  <c r="K236"/>
  <c r="K241"/>
  <c r="K221"/>
  <c r="K239"/>
  <c r="K220"/>
  <c r="K229"/>
  <c r="K219"/>
  <c r="K224"/>
  <c r="K202"/>
  <c r="K235"/>
  <c r="K225"/>
  <c r="K232"/>
  <c r="Q3" i="39"/>
  <c r="K238" i="8"/>
  <c r="K240"/>
  <c r="K222"/>
  <c r="K218"/>
  <c r="K215"/>
  <c r="K252" s="1"/>
  <c r="K223"/>
  <c r="K231"/>
  <c r="K234"/>
  <c r="K217"/>
  <c r="K237"/>
  <c r="K233"/>
  <c r="K270" s="1"/>
  <c r="K226"/>
  <c r="K230"/>
  <c r="K267" s="1"/>
  <c r="K227"/>
  <c r="R37"/>
  <c r="R95" s="1"/>
  <c r="R155" s="1"/>
  <c r="X9" i="39" s="1"/>
  <c r="R38" i="8"/>
  <c r="R96" s="1"/>
  <c r="R156" s="1"/>
  <c r="X10" i="39" s="1"/>
  <c r="O50" i="8"/>
  <c r="O108" s="1"/>
  <c r="O168" s="1"/>
  <c r="U22" i="39" s="1"/>
  <c r="O51" i="8"/>
  <c r="O109" s="1"/>
  <c r="O169" s="1"/>
  <c r="U23" i="39" s="1"/>
  <c r="R5"/>
  <c r="J243" i="8"/>
  <c r="J278"/>
  <c r="S38" i="39"/>
  <c r="T48"/>
  <c r="N46" i="8"/>
  <c r="N104" s="1"/>
  <c r="N164" s="1"/>
  <c r="T18" i="39" s="1"/>
  <c r="N48" i="8"/>
  <c r="N106" s="1"/>
  <c r="N166" s="1"/>
  <c r="T20" i="39" s="1"/>
  <c r="N47" i="8"/>
  <c r="N105" s="1"/>
  <c r="N165" s="1"/>
  <c r="T19" i="39" s="1"/>
  <c r="N44" i="8"/>
  <c r="N102" s="1"/>
  <c r="N162" s="1"/>
  <c r="T16" i="39" s="1"/>
  <c r="N49" i="8"/>
  <c r="N107" s="1"/>
  <c r="N167" s="1"/>
  <c r="T21" i="39" s="1"/>
  <c r="N45" i="8"/>
  <c r="N103" s="1"/>
  <c r="N163" s="1"/>
  <c r="T17" i="39" s="1"/>
  <c r="M170" i="8"/>
  <c r="N56"/>
  <c r="N114" s="1"/>
  <c r="N174" s="1"/>
  <c r="T28" i="39" s="1"/>
  <c r="N55" i="8"/>
  <c r="N113" s="1"/>
  <c r="N173" s="1"/>
  <c r="T27" i="39" s="1"/>
  <c r="N53" i="8"/>
  <c r="N111" s="1"/>
  <c r="N171" s="1"/>
  <c r="T25" i="39" s="1"/>
  <c r="N52" i="8"/>
  <c r="N110" s="1"/>
  <c r="N170" s="1"/>
  <c r="T24" i="39" s="1"/>
  <c r="N54" i="8"/>
  <c r="N112" s="1"/>
  <c r="N172" s="1"/>
  <c r="T26" i="39" s="1"/>
  <c r="S40"/>
  <c r="G47" i="27"/>
  <c r="I47" s="1"/>
  <c r="J47" s="1"/>
  <c r="L47" s="1"/>
  <c r="D53" i="18" s="1"/>
  <c r="D52" i="19" s="1"/>
  <c r="D48" i="27"/>
  <c r="G48" s="1"/>
  <c r="I48" s="1"/>
  <c r="J48" s="1"/>
  <c r="L48" s="1"/>
  <c r="D54" i="18" s="1"/>
  <c r="D53" i="19" s="1"/>
  <c r="M180" i="8"/>
  <c r="N26"/>
  <c r="N33"/>
  <c r="N91" s="1"/>
  <c r="N151" s="1"/>
  <c r="T5" i="39" s="1"/>
  <c r="N34" i="8"/>
  <c r="N92" s="1"/>
  <c r="N152" s="1"/>
  <c r="N35"/>
  <c r="N93" s="1"/>
  <c r="N153" s="1"/>
  <c r="T7" i="39" s="1"/>
  <c r="N36" i="8"/>
  <c r="N94" s="1"/>
  <c r="N154" s="1"/>
  <c r="T8" i="39" s="1"/>
  <c r="N32" i="8"/>
  <c r="N90" s="1"/>
  <c r="N150" s="1"/>
  <c r="N31"/>
  <c r="V9" i="39"/>
  <c r="J257" i="8"/>
  <c r="J266"/>
  <c r="L213"/>
  <c r="L250" s="1"/>
  <c r="K251"/>
  <c r="R16" i="39"/>
  <c r="N57" i="8"/>
  <c r="N115" s="1"/>
  <c r="N175" s="1"/>
  <c r="T29" i="39" s="1"/>
  <c r="N61" i="8"/>
  <c r="N119" s="1"/>
  <c r="N179" s="1"/>
  <c r="T33" i="39" s="1"/>
  <c r="N58" i="8"/>
  <c r="N116" s="1"/>
  <c r="N176" s="1"/>
  <c r="N62"/>
  <c r="N120" s="1"/>
  <c r="N180" s="1"/>
  <c r="T34" i="39" s="1"/>
  <c r="N59" i="8"/>
  <c r="N117" s="1"/>
  <c r="N177" s="1"/>
  <c r="T31" i="39" s="1"/>
  <c r="N60" i="8"/>
  <c r="N118" s="1"/>
  <c r="N178" s="1"/>
  <c r="T32" i="39" s="1"/>
  <c r="Q81" i="8"/>
  <c r="Q139" s="1"/>
  <c r="Q199" s="1"/>
  <c r="W53" i="39" s="1"/>
  <c r="Q78" i="8"/>
  <c r="Q136" s="1"/>
  <c r="Q196" s="1"/>
  <c r="W50" i="39" s="1"/>
  <c r="Q80" i="8"/>
  <c r="Q138" s="1"/>
  <c r="Q198" s="1"/>
  <c r="W52" i="39" s="1"/>
  <c r="Q79" i="8"/>
  <c r="Q137" s="1"/>
  <c r="Q197" s="1"/>
  <c r="Q82"/>
  <c r="Q140" s="1"/>
  <c r="Q200" s="1"/>
  <c r="W54" i="39" s="1"/>
  <c r="S18"/>
  <c r="M172" i="8"/>
  <c r="M174"/>
  <c r="R11" i="39"/>
  <c r="R20"/>
  <c r="D110" i="19"/>
  <c r="D37" i="35" s="1"/>
  <c r="C39" i="3" s="1"/>
  <c r="D97" i="19"/>
  <c r="D24" i="35" s="1"/>
  <c r="C26" i="3" s="1"/>
  <c r="S14" i="39"/>
  <c r="S29"/>
  <c r="M211" i="8"/>
  <c r="M248" s="1"/>
  <c r="S6" i="39"/>
  <c r="L142" i="8"/>
  <c r="L149"/>
  <c r="J277"/>
  <c r="J258"/>
  <c r="J262"/>
  <c r="J273"/>
  <c r="J253"/>
  <c r="J270"/>
  <c r="J264"/>
  <c r="L249"/>
  <c r="K249"/>
  <c r="D104" i="19" l="1"/>
  <c r="D31" i="35" s="1"/>
  <c r="C33" i="3" s="1"/>
  <c r="D117" i="19"/>
  <c r="D44" i="35" s="1"/>
  <c r="C46" i="3" s="1"/>
  <c r="M213" i="8"/>
  <c r="K264"/>
  <c r="K274"/>
  <c r="K204"/>
  <c r="K260"/>
  <c r="K277"/>
  <c r="K262"/>
  <c r="K65" i="27"/>
  <c r="C64"/>
  <c r="L64"/>
  <c r="D70" i="18" s="1"/>
  <c r="D69" i="19" s="1"/>
  <c r="D128" s="1"/>
  <c r="D55" i="35" s="1"/>
  <c r="C57" i="3" s="1"/>
  <c r="K256" i="8"/>
  <c r="K258"/>
  <c r="K254"/>
  <c r="K268"/>
  <c r="M214"/>
  <c r="K255"/>
  <c r="N188"/>
  <c r="N214" s="1"/>
  <c r="T4" i="39"/>
  <c r="N212" i="8"/>
  <c r="N213"/>
  <c r="P63"/>
  <c r="P121" s="1"/>
  <c r="P181" s="1"/>
  <c r="V35" i="39" s="1"/>
  <c r="P64" i="8"/>
  <c r="P122" s="1"/>
  <c r="P182" s="1"/>
  <c r="V36" i="39" s="1"/>
  <c r="T46"/>
  <c r="O71" i="8"/>
  <c r="O129" s="1"/>
  <c r="O189" s="1"/>
  <c r="U43" i="39" s="1"/>
  <c r="O73" i="8"/>
  <c r="O131" s="1"/>
  <c r="O191" s="1"/>
  <c r="U45" i="39" s="1"/>
  <c r="O72" i="8"/>
  <c r="O130" s="1"/>
  <c r="O190" s="1"/>
  <c r="O70"/>
  <c r="O128" s="1"/>
  <c r="O188" s="1"/>
  <c r="U42" i="39" s="1"/>
  <c r="O74" i="8"/>
  <c r="O132" s="1"/>
  <c r="O192" s="1"/>
  <c r="U46" i="39" s="1"/>
  <c r="O75" i="8"/>
  <c r="O133" s="1"/>
  <c r="O193" s="1"/>
  <c r="U47" i="39" s="1"/>
  <c r="S33"/>
  <c r="S25"/>
  <c r="J280" i="8"/>
  <c r="J281" s="1"/>
  <c r="K259"/>
  <c r="K269"/>
  <c r="K261"/>
  <c r="K276"/>
  <c r="K253"/>
  <c r="T15" i="39"/>
  <c r="P67" i="8"/>
  <c r="P125" s="1"/>
  <c r="P185" s="1"/>
  <c r="V39" i="39" s="1"/>
  <c r="P68" i="8"/>
  <c r="P126" s="1"/>
  <c r="P186" s="1"/>
  <c r="V40" i="39" s="1"/>
  <c r="P66" i="8"/>
  <c r="P124" s="1"/>
  <c r="P184" s="1"/>
  <c r="P65"/>
  <c r="P123" s="1"/>
  <c r="P183" s="1"/>
  <c r="V37" i="39" s="1"/>
  <c r="P69" i="8"/>
  <c r="P127" s="1"/>
  <c r="P187" s="1"/>
  <c r="D99" i="19"/>
  <c r="D26" i="35" s="1"/>
  <c r="C28" i="3" s="1"/>
  <c r="D112" i="19"/>
  <c r="D39" i="35" s="1"/>
  <c r="C41" i="3" s="1"/>
  <c r="S38" i="8"/>
  <c r="S96" s="1"/>
  <c r="S156" s="1"/>
  <c r="Y10" i="39" s="1"/>
  <c r="S37" i="8"/>
  <c r="S95" s="1"/>
  <c r="S155" s="1"/>
  <c r="W51" i="39"/>
  <c r="R79" i="8"/>
  <c r="R137" s="1"/>
  <c r="R197" s="1"/>
  <c r="X51" i="39" s="1"/>
  <c r="R80" i="8"/>
  <c r="R138" s="1"/>
  <c r="R198" s="1"/>
  <c r="X52" i="39" s="1"/>
  <c r="R78" i="8"/>
  <c r="R136" s="1"/>
  <c r="R196" s="1"/>
  <c r="X50" i="39" s="1"/>
  <c r="R82" i="8"/>
  <c r="R140" s="1"/>
  <c r="R200" s="1"/>
  <c r="X54" i="39" s="1"/>
  <c r="R81" i="8"/>
  <c r="R139" s="1"/>
  <c r="R199" s="1"/>
  <c r="X53" i="39" s="1"/>
  <c r="T30"/>
  <c r="T6"/>
  <c r="N211" i="8"/>
  <c r="N248" s="1"/>
  <c r="S24" i="39"/>
  <c r="U36"/>
  <c r="T43"/>
  <c r="M149" i="8"/>
  <c r="M142"/>
  <c r="P77"/>
  <c r="P135" s="1"/>
  <c r="P195" s="1"/>
  <c r="V49" i="39" s="1"/>
  <c r="P76" i="8"/>
  <c r="P134" s="1"/>
  <c r="P194" s="1"/>
  <c r="V48" i="39" s="1"/>
  <c r="O39" i="8"/>
  <c r="O97" s="1"/>
  <c r="O157" s="1"/>
  <c r="O40"/>
  <c r="O98" s="1"/>
  <c r="O158" s="1"/>
  <c r="U12" i="39" s="1"/>
  <c r="O42" i="8"/>
  <c r="O100" s="1"/>
  <c r="O160" s="1"/>
  <c r="U14" i="39" s="1"/>
  <c r="O43" i="8"/>
  <c r="O101" s="1"/>
  <c r="O161" s="1"/>
  <c r="U15" i="39" s="1"/>
  <c r="O41" i="8"/>
  <c r="O99" s="1"/>
  <c r="O159" s="1"/>
  <c r="U13" i="39" s="1"/>
  <c r="K271" i="8"/>
  <c r="K257"/>
  <c r="K273"/>
  <c r="L251"/>
  <c r="S28" i="39"/>
  <c r="D98" i="19"/>
  <c r="D25" i="35" s="1"/>
  <c r="C27" i="3" s="1"/>
  <c r="D111" i="19"/>
  <c r="D38" i="35" s="1"/>
  <c r="C40" i="3" s="1"/>
  <c r="O55" i="8"/>
  <c r="O113" s="1"/>
  <c r="O173" s="1"/>
  <c r="U27" i="39" s="1"/>
  <c r="O53" i="8"/>
  <c r="O111" s="1"/>
  <c r="O171" s="1"/>
  <c r="U25" i="39" s="1"/>
  <c r="O56" i="8"/>
  <c r="O114" s="1"/>
  <c r="O174" s="1"/>
  <c r="U28" i="39" s="1"/>
  <c r="O52" i="8"/>
  <c r="O110" s="1"/>
  <c r="O170" s="1"/>
  <c r="U24" i="39" s="1"/>
  <c r="O54" i="8"/>
  <c r="O112" s="1"/>
  <c r="O172" s="1"/>
  <c r="U26" i="39" s="1"/>
  <c r="P51" i="8"/>
  <c r="P109" s="1"/>
  <c r="P169" s="1"/>
  <c r="V23" i="39" s="1"/>
  <c r="P50" i="8"/>
  <c r="P108" s="1"/>
  <c r="P168" s="1"/>
  <c r="V22" i="39" s="1"/>
  <c r="S26"/>
  <c r="N84" i="8"/>
  <c r="N89"/>
  <c r="S34" i="39"/>
  <c r="L202" i="8"/>
  <c r="L221"/>
  <c r="L217"/>
  <c r="L241"/>
  <c r="L215"/>
  <c r="L252" s="1"/>
  <c r="L224"/>
  <c r="L222"/>
  <c r="L223"/>
  <c r="R3" i="39"/>
  <c r="L232" i="8"/>
  <c r="L228"/>
  <c r="L239"/>
  <c r="L231"/>
  <c r="L237"/>
  <c r="L234"/>
  <c r="L226"/>
  <c r="L240"/>
  <c r="L219"/>
  <c r="L229"/>
  <c r="L266" s="1"/>
  <c r="L230"/>
  <c r="L218"/>
  <c r="L216"/>
  <c r="L236"/>
  <c r="L220"/>
  <c r="L235"/>
  <c r="L238"/>
  <c r="L225"/>
  <c r="L227"/>
  <c r="L233"/>
  <c r="O60"/>
  <c r="O118" s="1"/>
  <c r="O178" s="1"/>
  <c r="U32" i="39" s="1"/>
  <c r="O61" i="8"/>
  <c r="O119" s="1"/>
  <c r="O179" s="1"/>
  <c r="U33" i="39" s="1"/>
  <c r="O59" i="8"/>
  <c r="O117" s="1"/>
  <c r="O177" s="1"/>
  <c r="U31" i="39" s="1"/>
  <c r="O57" i="8"/>
  <c r="O115" s="1"/>
  <c r="O175" s="1"/>
  <c r="U29" i="39" s="1"/>
  <c r="O62" i="8"/>
  <c r="O120" s="1"/>
  <c r="O180" s="1"/>
  <c r="U34" i="39" s="1"/>
  <c r="O58" i="8"/>
  <c r="O116" s="1"/>
  <c r="O176" s="1"/>
  <c r="U30" i="39" s="1"/>
  <c r="O26" i="8"/>
  <c r="O34"/>
  <c r="O92" s="1"/>
  <c r="O152" s="1"/>
  <c r="O32"/>
  <c r="O90" s="1"/>
  <c r="O150" s="1"/>
  <c r="O36"/>
  <c r="O94" s="1"/>
  <c r="O154" s="1"/>
  <c r="U8" i="39" s="1"/>
  <c r="O31" i="8"/>
  <c r="O33"/>
  <c r="O91" s="1"/>
  <c r="O151" s="1"/>
  <c r="O35"/>
  <c r="O93" s="1"/>
  <c r="O153" s="1"/>
  <c r="U7" i="39" s="1"/>
  <c r="O46" i="8"/>
  <c r="O104" s="1"/>
  <c r="O164" s="1"/>
  <c r="U18" i="39" s="1"/>
  <c r="O45" i="8"/>
  <c r="O103" s="1"/>
  <c r="O163" s="1"/>
  <c r="U17" i="39" s="1"/>
  <c r="O48" i="8"/>
  <c r="O106" s="1"/>
  <c r="O166" s="1"/>
  <c r="O47"/>
  <c r="O105" s="1"/>
  <c r="O165" s="1"/>
  <c r="U19" i="39" s="1"/>
  <c r="O44" i="8"/>
  <c r="O102" s="1"/>
  <c r="O162" s="1"/>
  <c r="O49"/>
  <c r="O107" s="1"/>
  <c r="O167" s="1"/>
  <c r="U21" i="39" s="1"/>
  <c r="K243" i="8"/>
  <c r="K278"/>
  <c r="T45" i="39"/>
  <c r="K265" i="8"/>
  <c r="K263"/>
  <c r="K275"/>
  <c r="K272"/>
  <c r="K266"/>
  <c r="M212"/>
  <c r="M249" s="1"/>
  <c r="L264" l="1"/>
  <c r="L275"/>
  <c r="L204"/>
  <c r="M251"/>
  <c r="L255"/>
  <c r="C65" i="27"/>
  <c r="K66"/>
  <c r="L65"/>
  <c r="D71" i="18" s="1"/>
  <c r="D70" i="19" s="1"/>
  <c r="D129" s="1"/>
  <c r="D56" i="35" s="1"/>
  <c r="C58" i="3" s="1"/>
  <c r="L270" i="8"/>
  <c r="L272"/>
  <c r="L277"/>
  <c r="N250"/>
  <c r="L268"/>
  <c r="L262"/>
  <c r="L259"/>
  <c r="K280"/>
  <c r="K281" s="1"/>
  <c r="L257"/>
  <c r="L276"/>
  <c r="U11" i="39"/>
  <c r="Q76" i="8"/>
  <c r="Q134" s="1"/>
  <c r="Q194" s="1"/>
  <c r="W48" i="39" s="1"/>
  <c r="Q77" i="8"/>
  <c r="Q135" s="1"/>
  <c r="Q195" s="1"/>
  <c r="W49" i="39" s="1"/>
  <c r="T38" i="8"/>
  <c r="T96" s="1"/>
  <c r="T156" s="1"/>
  <c r="Z10" i="39" s="1"/>
  <c r="T37" i="8"/>
  <c r="T95" s="1"/>
  <c r="T155" s="1"/>
  <c r="Z9" i="39" s="1"/>
  <c r="Q68" i="8"/>
  <c r="Q126" s="1"/>
  <c r="Q186" s="1"/>
  <c r="W40" i="39" s="1"/>
  <c r="Q65" i="8"/>
  <c r="Q123" s="1"/>
  <c r="Q183" s="1"/>
  <c r="W37" i="39" s="1"/>
  <c r="Q66" i="8"/>
  <c r="Q124" s="1"/>
  <c r="Q184" s="1"/>
  <c r="W38" i="39" s="1"/>
  <c r="Q67" i="8"/>
  <c r="Q125" s="1"/>
  <c r="Q185" s="1"/>
  <c r="W39" i="39" s="1"/>
  <c r="Q69" i="8"/>
  <c r="Q127" s="1"/>
  <c r="Q187" s="1"/>
  <c r="W41" i="39" s="1"/>
  <c r="U16"/>
  <c r="O89" i="8"/>
  <c r="O84"/>
  <c r="P62"/>
  <c r="P120" s="1"/>
  <c r="P180" s="1"/>
  <c r="V34" i="39" s="1"/>
  <c r="P60" i="8"/>
  <c r="P118" s="1"/>
  <c r="P178" s="1"/>
  <c r="V32" i="39" s="1"/>
  <c r="P58" i="8"/>
  <c r="P116" s="1"/>
  <c r="P176" s="1"/>
  <c r="V30" i="39" s="1"/>
  <c r="P59" i="8"/>
  <c r="P117" s="1"/>
  <c r="P177" s="1"/>
  <c r="V31" i="39" s="1"/>
  <c r="P61" i="8"/>
  <c r="P119" s="1"/>
  <c r="P179" s="1"/>
  <c r="V33" i="39" s="1"/>
  <c r="P57" i="8"/>
  <c r="P115" s="1"/>
  <c r="P175" s="1"/>
  <c r="V29" i="39" s="1"/>
  <c r="N149" i="8"/>
  <c r="N142"/>
  <c r="P56"/>
  <c r="P114" s="1"/>
  <c r="P174" s="1"/>
  <c r="V28" i="39" s="1"/>
  <c r="P52" i="8"/>
  <c r="P110" s="1"/>
  <c r="P170" s="1"/>
  <c r="V24" i="39" s="1"/>
  <c r="P55" i="8"/>
  <c r="P113" s="1"/>
  <c r="P173" s="1"/>
  <c r="V27" i="39" s="1"/>
  <c r="P53" i="8"/>
  <c r="P111" s="1"/>
  <c r="P171" s="1"/>
  <c r="V25" i="39" s="1"/>
  <c r="P54" i="8"/>
  <c r="P112" s="1"/>
  <c r="P172" s="1"/>
  <c r="V26" i="39" s="1"/>
  <c r="S78" i="8"/>
  <c r="S136" s="1"/>
  <c r="S196" s="1"/>
  <c r="Y50" i="39" s="1"/>
  <c r="S79" i="8"/>
  <c r="S137" s="1"/>
  <c r="S197" s="1"/>
  <c r="Y51" i="39" s="1"/>
  <c r="S80" i="8"/>
  <c r="S138" s="1"/>
  <c r="S198" s="1"/>
  <c r="Y52" i="39" s="1"/>
  <c r="S81" i="8"/>
  <c r="S139" s="1"/>
  <c r="S199" s="1"/>
  <c r="Y53" i="39" s="1"/>
  <c r="S82" i="8"/>
  <c r="S140" s="1"/>
  <c r="S200" s="1"/>
  <c r="Y54" i="39" s="1"/>
  <c r="V41"/>
  <c r="L253" i="8"/>
  <c r="L256"/>
  <c r="L274"/>
  <c r="L269"/>
  <c r="L261"/>
  <c r="L258"/>
  <c r="M250"/>
  <c r="U5" i="39"/>
  <c r="U6"/>
  <c r="O211" i="8"/>
  <c r="O248" s="1"/>
  <c r="M238"/>
  <c r="M228"/>
  <c r="M236"/>
  <c r="M226"/>
  <c r="M224"/>
  <c r="M222"/>
  <c r="M230"/>
  <c r="M215"/>
  <c r="M252" s="1"/>
  <c r="M217"/>
  <c r="M220"/>
  <c r="M240"/>
  <c r="M237"/>
  <c r="M216"/>
  <c r="S3" i="39"/>
  <c r="M219" i="8"/>
  <c r="M234"/>
  <c r="M218"/>
  <c r="M255" s="1"/>
  <c r="M229"/>
  <c r="M266" s="1"/>
  <c r="M227"/>
  <c r="M239"/>
  <c r="M233"/>
  <c r="M232"/>
  <c r="M235"/>
  <c r="M241"/>
  <c r="M221"/>
  <c r="M231"/>
  <c r="M225"/>
  <c r="M202"/>
  <c r="M223"/>
  <c r="Y9" i="39"/>
  <c r="U44"/>
  <c r="Q64" i="8"/>
  <c r="Q122" s="1"/>
  <c r="Q182" s="1"/>
  <c r="W36" i="39" s="1"/>
  <c r="Q63" i="8"/>
  <c r="Q121" s="1"/>
  <c r="Q181" s="1"/>
  <c r="W35" i="39" s="1"/>
  <c r="L273" i="8"/>
  <c r="L271"/>
  <c r="L265"/>
  <c r="L254"/>
  <c r="N251"/>
  <c r="P49"/>
  <c r="P107" s="1"/>
  <c r="P167" s="1"/>
  <c r="V21" i="39" s="1"/>
  <c r="P46" i="8"/>
  <c r="P104" s="1"/>
  <c r="P164" s="1"/>
  <c r="V18" i="39" s="1"/>
  <c r="P48" i="8"/>
  <c r="P106" s="1"/>
  <c r="P166" s="1"/>
  <c r="V20" i="39" s="1"/>
  <c r="P45" i="8"/>
  <c r="P103" s="1"/>
  <c r="P163" s="1"/>
  <c r="V17" i="39" s="1"/>
  <c r="P47" i="8"/>
  <c r="P105" s="1"/>
  <c r="P165" s="1"/>
  <c r="V19" i="39" s="1"/>
  <c r="P44" i="8"/>
  <c r="P102" s="1"/>
  <c r="P162" s="1"/>
  <c r="V16" i="39" s="1"/>
  <c r="P26" i="8"/>
  <c r="P33"/>
  <c r="P91" s="1"/>
  <c r="P151" s="1"/>
  <c r="V5" i="39" s="1"/>
  <c r="P36" i="8"/>
  <c r="P94" s="1"/>
  <c r="P154" s="1"/>
  <c r="V8" i="39" s="1"/>
  <c r="P34" i="8"/>
  <c r="P92" s="1"/>
  <c r="P152" s="1"/>
  <c r="P31"/>
  <c r="P32"/>
  <c r="P90" s="1"/>
  <c r="P150" s="1"/>
  <c r="P35"/>
  <c r="P93" s="1"/>
  <c r="P153" s="1"/>
  <c r="V7" i="39" s="1"/>
  <c r="U20"/>
  <c r="O212" i="8"/>
  <c r="O213"/>
  <c r="O214"/>
  <c r="U4" i="39"/>
  <c r="L278" i="8"/>
  <c r="L243"/>
  <c r="Q50"/>
  <c r="Q108" s="1"/>
  <c r="Q168" s="1"/>
  <c r="W22" i="39" s="1"/>
  <c r="Q51" i="8"/>
  <c r="Q109" s="1"/>
  <c r="Q169" s="1"/>
  <c r="W23" i="39" s="1"/>
  <c r="P39" i="8"/>
  <c r="P97" s="1"/>
  <c r="P157" s="1"/>
  <c r="V11" i="39" s="1"/>
  <c r="P42" i="8"/>
  <c r="P100" s="1"/>
  <c r="P160" s="1"/>
  <c r="V14" i="39" s="1"/>
  <c r="P43" i="8"/>
  <c r="P101" s="1"/>
  <c r="P161" s="1"/>
  <c r="V15" i="39" s="1"/>
  <c r="P41" i="8"/>
  <c r="P99" s="1"/>
  <c r="P159" s="1"/>
  <c r="V13" i="39" s="1"/>
  <c r="P40" i="8"/>
  <c r="P98" s="1"/>
  <c r="P158" s="1"/>
  <c r="V12" i="39" s="1"/>
  <c r="V38"/>
  <c r="P72" i="8"/>
  <c r="P130" s="1"/>
  <c r="P190" s="1"/>
  <c r="V44" i="39" s="1"/>
  <c r="P75" i="8"/>
  <c r="P133" s="1"/>
  <c r="P193" s="1"/>
  <c r="V47" i="39" s="1"/>
  <c r="P71" i="8"/>
  <c r="P129" s="1"/>
  <c r="P189" s="1"/>
  <c r="V43" i="39" s="1"/>
  <c r="P73" i="8"/>
  <c r="P131" s="1"/>
  <c r="P191" s="1"/>
  <c r="V45" i="39" s="1"/>
  <c r="P70" i="8"/>
  <c r="P128" s="1"/>
  <c r="P188" s="1"/>
  <c r="V42" i="39" s="1"/>
  <c r="P74" i="8"/>
  <c r="P132" s="1"/>
  <c r="P192" s="1"/>
  <c r="V46" i="39" s="1"/>
  <c r="T42"/>
  <c r="L267" i="8"/>
  <c r="L263"/>
  <c r="L260"/>
  <c r="N249"/>
  <c r="M204" l="1"/>
  <c r="O249"/>
  <c r="C66" i="27"/>
  <c r="L66"/>
  <c r="D72" i="18" s="1"/>
  <c r="D71" i="19" s="1"/>
  <c r="D130" s="1"/>
  <c r="D57" i="35" s="1"/>
  <c r="C59" i="3" s="1"/>
  <c r="M260" i="8"/>
  <c r="M258"/>
  <c r="M274"/>
  <c r="O250"/>
  <c r="M270"/>
  <c r="M253"/>
  <c r="M272"/>
  <c r="M264"/>
  <c r="M275"/>
  <c r="L280"/>
  <c r="L281" s="1"/>
  <c r="M277"/>
  <c r="M267"/>
  <c r="Q40"/>
  <c r="Q98" s="1"/>
  <c r="Q158" s="1"/>
  <c r="W12" i="39" s="1"/>
  <c r="Q39" i="8"/>
  <c r="Q97" s="1"/>
  <c r="Q157" s="1"/>
  <c r="W11" i="39" s="1"/>
  <c r="Q41" i="8"/>
  <c r="Q99" s="1"/>
  <c r="Q159" s="1"/>
  <c r="W13" i="39" s="1"/>
  <c r="Q43" i="8"/>
  <c r="Q101" s="1"/>
  <c r="Q161" s="1"/>
  <c r="W15" i="39" s="1"/>
  <c r="Q42" i="8"/>
  <c r="Q100" s="1"/>
  <c r="Q160" s="1"/>
  <c r="W14" i="39" s="1"/>
  <c r="N229" i="8"/>
  <c r="N220"/>
  <c r="N233"/>
  <c r="N202"/>
  <c r="N204" s="1"/>
  <c r="N230"/>
  <c r="N241"/>
  <c r="N224"/>
  <c r="N219"/>
  <c r="N240"/>
  <c r="N218"/>
  <c r="N228"/>
  <c r="N225"/>
  <c r="N234"/>
  <c r="N237"/>
  <c r="N227"/>
  <c r="N238"/>
  <c r="N223"/>
  <c r="N221"/>
  <c r="N258" s="1"/>
  <c r="N222"/>
  <c r="T3" i="39"/>
  <c r="N231" i="8"/>
  <c r="N268" s="1"/>
  <c r="N239"/>
  <c r="N232"/>
  <c r="N235"/>
  <c r="N236"/>
  <c r="N217"/>
  <c r="N226"/>
  <c r="N215"/>
  <c r="N252" s="1"/>
  <c r="N216"/>
  <c r="U38"/>
  <c r="U96" s="1"/>
  <c r="U156" s="1"/>
  <c r="AA10" i="39" s="1"/>
  <c r="U37" i="8"/>
  <c r="U95" s="1"/>
  <c r="U155" s="1"/>
  <c r="AA9" i="39" s="1"/>
  <c r="R51" i="8"/>
  <c r="R109" s="1"/>
  <c r="R169" s="1"/>
  <c r="X23" i="39" s="1"/>
  <c r="R50" i="8"/>
  <c r="R108" s="1"/>
  <c r="R168" s="1"/>
  <c r="X22" i="39" s="1"/>
  <c r="V6"/>
  <c r="P211" i="8"/>
  <c r="P248" s="1"/>
  <c r="Q35"/>
  <c r="Q93" s="1"/>
  <c r="Q153" s="1"/>
  <c r="W7" i="39" s="1"/>
  <c r="Q34" i="8"/>
  <c r="Q92" s="1"/>
  <c r="Q152" s="1"/>
  <c r="Q33"/>
  <c r="Q91" s="1"/>
  <c r="Q151" s="1"/>
  <c r="W5" i="39" s="1"/>
  <c r="Q31" i="8"/>
  <c r="Q26"/>
  <c r="Q32"/>
  <c r="Q90" s="1"/>
  <c r="Q150" s="1"/>
  <c r="Q36"/>
  <c r="Q94" s="1"/>
  <c r="Q154" s="1"/>
  <c r="W8" i="39" s="1"/>
  <c r="Q62" i="8"/>
  <c r="Q120" s="1"/>
  <c r="Q180" s="1"/>
  <c r="W34" i="39" s="1"/>
  <c r="Q61" i="8"/>
  <c r="Q119" s="1"/>
  <c r="Q179" s="1"/>
  <c r="W33" i="39" s="1"/>
  <c r="Q59" i="8"/>
  <c r="Q117" s="1"/>
  <c r="Q177" s="1"/>
  <c r="W31" i="39" s="1"/>
  <c r="Q60" i="8"/>
  <c r="Q118" s="1"/>
  <c r="Q178" s="1"/>
  <c r="W32" i="39" s="1"/>
  <c r="Q57" i="8"/>
  <c r="Q115" s="1"/>
  <c r="Q175" s="1"/>
  <c r="W29" i="39" s="1"/>
  <c r="Q58" i="8"/>
  <c r="Q116" s="1"/>
  <c r="Q176" s="1"/>
  <c r="W30" i="39" s="1"/>
  <c r="R76" i="8"/>
  <c r="R134" s="1"/>
  <c r="R194" s="1"/>
  <c r="X48" i="39" s="1"/>
  <c r="R77" i="8"/>
  <c r="R135" s="1"/>
  <c r="R195" s="1"/>
  <c r="X49" i="39" s="1"/>
  <c r="O251" i="8"/>
  <c r="M268"/>
  <c r="M269"/>
  <c r="M257"/>
  <c r="M259"/>
  <c r="M265"/>
  <c r="Q55"/>
  <c r="Q113" s="1"/>
  <c r="Q173" s="1"/>
  <c r="W27" i="39" s="1"/>
  <c r="Q52" i="8"/>
  <c r="Q110" s="1"/>
  <c r="Q170" s="1"/>
  <c r="W24" i="39" s="1"/>
  <c r="Q56" i="8"/>
  <c r="Q114" s="1"/>
  <c r="Q174" s="1"/>
  <c r="W28" i="39" s="1"/>
  <c r="Q54" i="8"/>
  <c r="Q112" s="1"/>
  <c r="Q172" s="1"/>
  <c r="W26" i="39" s="1"/>
  <c r="Q53" i="8"/>
  <c r="Q111" s="1"/>
  <c r="Q171" s="1"/>
  <c r="W25" i="39" s="1"/>
  <c r="M273" i="8"/>
  <c r="Q74"/>
  <c r="Q132" s="1"/>
  <c r="Q192" s="1"/>
  <c r="W46" i="39" s="1"/>
  <c r="Q70" i="8"/>
  <c r="Q128" s="1"/>
  <c r="Q188" s="1"/>
  <c r="W42" i="39" s="1"/>
  <c r="Q73" i="8"/>
  <c r="Q131" s="1"/>
  <c r="Q191" s="1"/>
  <c r="W45" i="39" s="1"/>
  <c r="Q75" i="8"/>
  <c r="Q133" s="1"/>
  <c r="Q193" s="1"/>
  <c r="W47" i="39" s="1"/>
  <c r="Q71" i="8"/>
  <c r="Q129" s="1"/>
  <c r="Q189" s="1"/>
  <c r="W43" i="39" s="1"/>
  <c r="Q72" i="8"/>
  <c r="Q130" s="1"/>
  <c r="Q190" s="1"/>
  <c r="W44" i="39" s="1"/>
  <c r="T79" i="8"/>
  <c r="T137" s="1"/>
  <c r="T197" s="1"/>
  <c r="Z51" i="39" s="1"/>
  <c r="T82" i="8"/>
  <c r="T140" s="1"/>
  <c r="T200" s="1"/>
  <c r="Z54" i="39" s="1"/>
  <c r="T78" i="8"/>
  <c r="T136" s="1"/>
  <c r="T196" s="1"/>
  <c r="Z50" i="39" s="1"/>
  <c r="T80" i="8"/>
  <c r="T138" s="1"/>
  <c r="T198" s="1"/>
  <c r="Z52" i="39" s="1"/>
  <c r="T81" i="8"/>
  <c r="T139" s="1"/>
  <c r="T199" s="1"/>
  <c r="Z53" i="39" s="1"/>
  <c r="P89" i="8"/>
  <c r="P84"/>
  <c r="Q46"/>
  <c r="Q104" s="1"/>
  <c r="Q164" s="1"/>
  <c r="W18" i="39" s="1"/>
  <c r="Q49" i="8"/>
  <c r="Q107" s="1"/>
  <c r="Q167" s="1"/>
  <c r="W21" i="39" s="1"/>
  <c r="Q48" i="8"/>
  <c r="Q106" s="1"/>
  <c r="Q166" s="1"/>
  <c r="W20" i="39" s="1"/>
  <c r="Q45" i="8"/>
  <c r="Q103" s="1"/>
  <c r="Q163" s="1"/>
  <c r="W17" i="39" s="1"/>
  <c r="Q47" i="8"/>
  <c r="Q105" s="1"/>
  <c r="Q165" s="1"/>
  <c r="W19" i="39" s="1"/>
  <c r="Q44" i="8"/>
  <c r="Q102" s="1"/>
  <c r="Q162" s="1"/>
  <c r="W16" i="39" s="1"/>
  <c r="P212" i="8"/>
  <c r="V4" i="39"/>
  <c r="P213" i="8"/>
  <c r="P214"/>
  <c r="R63"/>
  <c r="R121" s="1"/>
  <c r="R181" s="1"/>
  <c r="X35" i="39" s="1"/>
  <c r="R64" i="8"/>
  <c r="R122" s="1"/>
  <c r="R182" s="1"/>
  <c r="X36" i="39" s="1"/>
  <c r="M243" i="8"/>
  <c r="M278"/>
  <c r="O142"/>
  <c r="O149"/>
  <c r="R66"/>
  <c r="R124" s="1"/>
  <c r="R184" s="1"/>
  <c r="X38" i="39" s="1"/>
  <c r="R69" i="8"/>
  <c r="R127" s="1"/>
  <c r="R187" s="1"/>
  <c r="X41" i="39" s="1"/>
  <c r="R68" i="8"/>
  <c r="R126" s="1"/>
  <c r="R186" s="1"/>
  <c r="X40" i="39" s="1"/>
  <c r="R67" i="8"/>
  <c r="R125" s="1"/>
  <c r="R185" s="1"/>
  <c r="X39" i="39" s="1"/>
  <c r="R65" i="8"/>
  <c r="R123" s="1"/>
  <c r="R183" s="1"/>
  <c r="X37" i="39" s="1"/>
  <c r="M254" i="8"/>
  <c r="M261"/>
  <c r="M262"/>
  <c r="M256"/>
  <c r="M276"/>
  <c r="M271"/>
  <c r="M263"/>
  <c r="N267" l="1"/>
  <c r="N262"/>
  <c r="N260"/>
  <c r="N271"/>
  <c r="N273"/>
  <c r="P250"/>
  <c r="N254"/>
  <c r="N276"/>
  <c r="N274"/>
  <c r="N257"/>
  <c r="M280"/>
  <c r="N253"/>
  <c r="N263"/>
  <c r="R47"/>
  <c r="R105" s="1"/>
  <c r="R165" s="1"/>
  <c r="X19" i="39" s="1"/>
  <c r="R46" i="8"/>
  <c r="R104" s="1"/>
  <c r="R164" s="1"/>
  <c r="X18" i="39" s="1"/>
  <c r="R49" i="8"/>
  <c r="R107" s="1"/>
  <c r="R167" s="1"/>
  <c r="X21" i="39" s="1"/>
  <c r="R48" i="8"/>
  <c r="R106" s="1"/>
  <c r="R166" s="1"/>
  <c r="X20" i="39" s="1"/>
  <c r="R45" i="8"/>
  <c r="R103" s="1"/>
  <c r="R163" s="1"/>
  <c r="X17" i="39" s="1"/>
  <c r="R44" i="8"/>
  <c r="R102" s="1"/>
  <c r="R162" s="1"/>
  <c r="X16" i="39" s="1"/>
  <c r="O230" i="8"/>
  <c r="O225"/>
  <c r="O234"/>
  <c r="O238"/>
  <c r="O232"/>
  <c r="O220"/>
  <c r="O228"/>
  <c r="O226"/>
  <c r="O233"/>
  <c r="O215"/>
  <c r="O252" s="1"/>
  <c r="O218"/>
  <c r="O239"/>
  <c r="O235"/>
  <c r="O221"/>
  <c r="O236"/>
  <c r="O217"/>
  <c r="O240"/>
  <c r="O222"/>
  <c r="O227"/>
  <c r="O216"/>
  <c r="O241"/>
  <c r="O237"/>
  <c r="U3" i="39"/>
  <c r="O223" i="8"/>
  <c r="O231"/>
  <c r="O268" s="1"/>
  <c r="O224"/>
  <c r="O202"/>
  <c r="O204" s="1"/>
  <c r="O219"/>
  <c r="O229"/>
  <c r="R73"/>
  <c r="R131" s="1"/>
  <c r="R191" s="1"/>
  <c r="X45" i="39" s="1"/>
  <c r="R72" i="8"/>
  <c r="R130" s="1"/>
  <c r="R190" s="1"/>
  <c r="X44" i="39" s="1"/>
  <c r="R74" i="8"/>
  <c r="R132" s="1"/>
  <c r="R192" s="1"/>
  <c r="X46" i="39" s="1"/>
  <c r="R70" i="8"/>
  <c r="R128" s="1"/>
  <c r="R188" s="1"/>
  <c r="X42" i="39" s="1"/>
  <c r="R71" i="8"/>
  <c r="R129" s="1"/>
  <c r="R189" s="1"/>
  <c r="X43" i="39" s="1"/>
  <c r="R75" i="8"/>
  <c r="R133" s="1"/>
  <c r="R193" s="1"/>
  <c r="X47" i="39" s="1"/>
  <c r="R60" i="8"/>
  <c r="R118" s="1"/>
  <c r="R178" s="1"/>
  <c r="X32" i="39" s="1"/>
  <c r="R61" i="8"/>
  <c r="R119" s="1"/>
  <c r="R179" s="1"/>
  <c r="X33" i="39" s="1"/>
  <c r="R62" i="8"/>
  <c r="R120" s="1"/>
  <c r="R180" s="1"/>
  <c r="X34" i="39" s="1"/>
  <c r="R59" i="8"/>
  <c r="R117" s="1"/>
  <c r="R177" s="1"/>
  <c r="X31" i="39" s="1"/>
  <c r="R58" i="8"/>
  <c r="R116" s="1"/>
  <c r="R176" s="1"/>
  <c r="X30" i="39" s="1"/>
  <c r="R57" i="8"/>
  <c r="R115" s="1"/>
  <c r="R175" s="1"/>
  <c r="X29" i="39" s="1"/>
  <c r="V38" i="8"/>
  <c r="V96" s="1"/>
  <c r="V156" s="1"/>
  <c r="AB10" i="39" s="1"/>
  <c r="V37" i="8"/>
  <c r="V95" s="1"/>
  <c r="V155" s="1"/>
  <c r="AB9" i="39" s="1"/>
  <c r="N278" i="8"/>
  <c r="N243"/>
  <c r="S68"/>
  <c r="S126" s="1"/>
  <c r="S186" s="1"/>
  <c r="Y40" i="39" s="1"/>
  <c r="S67" i="8"/>
  <c r="S125" s="1"/>
  <c r="S185" s="1"/>
  <c r="Y39" i="39" s="1"/>
  <c r="S65" i="8"/>
  <c r="S123" s="1"/>
  <c r="S183" s="1"/>
  <c r="Y37" i="39" s="1"/>
  <c r="S66" i="8"/>
  <c r="S124" s="1"/>
  <c r="S184" s="1"/>
  <c r="Y38" i="39" s="1"/>
  <c r="S69" i="8"/>
  <c r="S127" s="1"/>
  <c r="S187" s="1"/>
  <c r="Y41" i="39" s="1"/>
  <c r="P142" i="8"/>
  <c r="P149"/>
  <c r="R56"/>
  <c r="R114" s="1"/>
  <c r="R174" s="1"/>
  <c r="X28" i="39" s="1"/>
  <c r="R53" i="8"/>
  <c r="R111" s="1"/>
  <c r="R171" s="1"/>
  <c r="X25" i="39" s="1"/>
  <c r="R54" i="8"/>
  <c r="R112" s="1"/>
  <c r="R172" s="1"/>
  <c r="X26" i="39" s="1"/>
  <c r="R52" i="8"/>
  <c r="R110" s="1"/>
  <c r="R170" s="1"/>
  <c r="X24" i="39" s="1"/>
  <c r="R55" i="8"/>
  <c r="R113" s="1"/>
  <c r="R173" s="1"/>
  <c r="X27" i="39" s="1"/>
  <c r="W4"/>
  <c r="Q213" i="8"/>
  <c r="Q214"/>
  <c r="Q212"/>
  <c r="W6" i="39"/>
  <c r="Q211" i="8"/>
  <c r="Q248" s="1"/>
  <c r="R39"/>
  <c r="R97" s="1"/>
  <c r="R157" s="1"/>
  <c r="X11" i="39" s="1"/>
  <c r="R41" i="8"/>
  <c r="R99" s="1"/>
  <c r="R159" s="1"/>
  <c r="X13" i="39" s="1"/>
  <c r="R40" i="8"/>
  <c r="R98" s="1"/>
  <c r="R158" s="1"/>
  <c r="X12" i="39" s="1"/>
  <c r="R43" i="8"/>
  <c r="R101" s="1"/>
  <c r="R161" s="1"/>
  <c r="X15" i="39" s="1"/>
  <c r="R42" i="8"/>
  <c r="R100" s="1"/>
  <c r="R160" s="1"/>
  <c r="X14" i="39" s="1"/>
  <c r="N255" i="8"/>
  <c r="P251"/>
  <c r="N269"/>
  <c r="N259"/>
  <c r="N264"/>
  <c r="N265"/>
  <c r="N261"/>
  <c r="N270"/>
  <c r="S63"/>
  <c r="S121" s="1"/>
  <c r="S181" s="1"/>
  <c r="Y35" i="39" s="1"/>
  <c r="S64" i="8"/>
  <c r="S122" s="1"/>
  <c r="S182" s="1"/>
  <c r="Y36" i="39" s="1"/>
  <c r="P249" i="8"/>
  <c r="M281"/>
  <c r="N272"/>
  <c r="N275"/>
  <c r="N256"/>
  <c r="U82"/>
  <c r="U140" s="1"/>
  <c r="U200" s="1"/>
  <c r="AA54" i="39" s="1"/>
  <c r="U79" i="8"/>
  <c r="U137" s="1"/>
  <c r="U197" s="1"/>
  <c r="AA51" i="39" s="1"/>
  <c r="U81" i="8"/>
  <c r="U139" s="1"/>
  <c r="U199" s="1"/>
  <c r="AA53" i="39" s="1"/>
  <c r="U80" i="8"/>
  <c r="U138" s="1"/>
  <c r="U198" s="1"/>
  <c r="AA52" i="39" s="1"/>
  <c r="U78" i="8"/>
  <c r="U136" s="1"/>
  <c r="U196" s="1"/>
  <c r="AA50" i="39" s="1"/>
  <c r="S77" i="8"/>
  <c r="S135" s="1"/>
  <c r="S195" s="1"/>
  <c r="Y49" i="39" s="1"/>
  <c r="S76" i="8"/>
  <c r="S134" s="1"/>
  <c r="S194" s="1"/>
  <c r="Y48" i="39" s="1"/>
  <c r="R34" i="8"/>
  <c r="R92" s="1"/>
  <c r="R152" s="1"/>
  <c r="R35"/>
  <c r="R93" s="1"/>
  <c r="R153" s="1"/>
  <c r="X7" i="39" s="1"/>
  <c r="R26" i="8"/>
  <c r="R33"/>
  <c r="R91" s="1"/>
  <c r="R151" s="1"/>
  <c r="X5" i="39" s="1"/>
  <c r="R31" i="8"/>
  <c r="R36"/>
  <c r="R94" s="1"/>
  <c r="R154" s="1"/>
  <c r="X8" i="39" s="1"/>
  <c r="R32" i="8"/>
  <c r="R90" s="1"/>
  <c r="R150" s="1"/>
  <c r="Q84"/>
  <c r="Q89"/>
  <c r="S51"/>
  <c r="S109" s="1"/>
  <c r="S169" s="1"/>
  <c r="Y23" i="39" s="1"/>
  <c r="S50" i="8"/>
  <c r="S108" s="1"/>
  <c r="S168" s="1"/>
  <c r="Y22" i="39" s="1"/>
  <c r="N277" i="8"/>
  <c r="N266"/>
  <c r="O276" l="1"/>
  <c r="O270"/>
  <c r="O274"/>
  <c r="O256"/>
  <c r="O266"/>
  <c r="O272"/>
  <c r="O259"/>
  <c r="O261"/>
  <c r="O264"/>
  <c r="O258"/>
  <c r="Q251"/>
  <c r="O277"/>
  <c r="Q249"/>
  <c r="N280"/>
  <c r="N281" s="1"/>
  <c r="O255"/>
  <c r="O253"/>
  <c r="O263"/>
  <c r="S47"/>
  <c r="S105" s="1"/>
  <c r="S165" s="1"/>
  <c r="Y19" i="39" s="1"/>
  <c r="S45" i="8"/>
  <c r="S103" s="1"/>
  <c r="S163" s="1"/>
  <c r="Y17" i="39" s="1"/>
  <c r="S49" i="8"/>
  <c r="S107" s="1"/>
  <c r="S167" s="1"/>
  <c r="Y21" i="39" s="1"/>
  <c r="S48" i="8"/>
  <c r="S106" s="1"/>
  <c r="S166" s="1"/>
  <c r="Y20" i="39" s="1"/>
  <c r="S46" i="8"/>
  <c r="S104" s="1"/>
  <c r="S164" s="1"/>
  <c r="Y18" i="39" s="1"/>
  <c r="S44" i="8"/>
  <c r="S102" s="1"/>
  <c r="S162" s="1"/>
  <c r="Y16" i="39" s="1"/>
  <c r="O269" i="8"/>
  <c r="O257"/>
  <c r="O262"/>
  <c r="S35"/>
  <c r="S93" s="1"/>
  <c r="S153" s="1"/>
  <c r="Y7" i="39" s="1"/>
  <c r="S33" i="8"/>
  <c r="S91" s="1"/>
  <c r="S151" s="1"/>
  <c r="Y5" i="39" s="1"/>
  <c r="S31" i="8"/>
  <c r="S32"/>
  <c r="S90" s="1"/>
  <c r="S150" s="1"/>
  <c r="S36"/>
  <c r="S94" s="1"/>
  <c r="S154" s="1"/>
  <c r="Y8" i="39" s="1"/>
  <c r="S34" i="8"/>
  <c r="S92" s="1"/>
  <c r="S152" s="1"/>
  <c r="S26"/>
  <c r="S39"/>
  <c r="S97" s="1"/>
  <c r="S157" s="1"/>
  <c r="Y11" i="39" s="1"/>
  <c r="S43" i="8"/>
  <c r="S101" s="1"/>
  <c r="S161" s="1"/>
  <c r="Y15" i="39" s="1"/>
  <c r="S41" i="8"/>
  <c r="S99" s="1"/>
  <c r="S159" s="1"/>
  <c r="Y13" i="39" s="1"/>
  <c r="S42" i="8"/>
  <c r="S100" s="1"/>
  <c r="S160" s="1"/>
  <c r="Y14" i="39" s="1"/>
  <c r="S40" i="8"/>
  <c r="S98" s="1"/>
  <c r="S158" s="1"/>
  <c r="Y12" i="39" s="1"/>
  <c r="O243" i="8"/>
  <c r="O278"/>
  <c r="S75"/>
  <c r="S133" s="1"/>
  <c r="S193" s="1"/>
  <c r="Y47" i="39" s="1"/>
  <c r="S74" i="8"/>
  <c r="S132" s="1"/>
  <c r="S192" s="1"/>
  <c r="Y46" i="39" s="1"/>
  <c r="S73" i="8"/>
  <c r="S131" s="1"/>
  <c r="S191" s="1"/>
  <c r="Y45" i="39" s="1"/>
  <c r="S71" i="8"/>
  <c r="S129" s="1"/>
  <c r="S189" s="1"/>
  <c r="Y43" i="39" s="1"/>
  <c r="S70" i="8"/>
  <c r="S128" s="1"/>
  <c r="S188" s="1"/>
  <c r="Y42" i="39" s="1"/>
  <c r="S72" i="8"/>
  <c r="S130" s="1"/>
  <c r="S190" s="1"/>
  <c r="Y44" i="39" s="1"/>
  <c r="O273" i="8"/>
  <c r="O265"/>
  <c r="O271"/>
  <c r="S56"/>
  <c r="S114" s="1"/>
  <c r="S174" s="1"/>
  <c r="Y28" i="39" s="1"/>
  <c r="S53" i="8"/>
  <c r="S111" s="1"/>
  <c r="S171" s="1"/>
  <c r="Y25" i="39" s="1"/>
  <c r="S55" i="8"/>
  <c r="S113" s="1"/>
  <c r="S173" s="1"/>
  <c r="Y27" i="39" s="1"/>
  <c r="S54" i="8"/>
  <c r="S112" s="1"/>
  <c r="S172" s="1"/>
  <c r="Y26" i="39" s="1"/>
  <c r="S52" i="8"/>
  <c r="S110" s="1"/>
  <c r="S170" s="1"/>
  <c r="Y24" i="39" s="1"/>
  <c r="T68" i="8"/>
  <c r="T126" s="1"/>
  <c r="T186" s="1"/>
  <c r="Z40" i="39" s="1"/>
  <c r="T67" i="8"/>
  <c r="T125" s="1"/>
  <c r="T185" s="1"/>
  <c r="Z39" i="39" s="1"/>
  <c r="T69" i="8"/>
  <c r="T127" s="1"/>
  <c r="T187" s="1"/>
  <c r="Z41" i="39" s="1"/>
  <c r="T66" i="8"/>
  <c r="T124" s="1"/>
  <c r="T184" s="1"/>
  <c r="Z38" i="39" s="1"/>
  <c r="T65" i="8"/>
  <c r="T123" s="1"/>
  <c r="T183" s="1"/>
  <c r="Z37" i="39" s="1"/>
  <c r="S59" i="8"/>
  <c r="S117" s="1"/>
  <c r="S177" s="1"/>
  <c r="Y31" i="39" s="1"/>
  <c r="S61" i="8"/>
  <c r="S119" s="1"/>
  <c r="S179" s="1"/>
  <c r="Y33" i="39" s="1"/>
  <c r="S62" i="8"/>
  <c r="S120" s="1"/>
  <c r="S180" s="1"/>
  <c r="Y34" i="39" s="1"/>
  <c r="S60" i="8"/>
  <c r="S118" s="1"/>
  <c r="S178" s="1"/>
  <c r="Y32" i="39" s="1"/>
  <c r="S58" i="8"/>
  <c r="S116" s="1"/>
  <c r="S176" s="1"/>
  <c r="Y30" i="39" s="1"/>
  <c r="S57" i="8"/>
  <c r="S115" s="1"/>
  <c r="S175" s="1"/>
  <c r="Y29" i="39" s="1"/>
  <c r="Q149" i="8"/>
  <c r="Q142"/>
  <c r="R89"/>
  <c r="R84"/>
  <c r="X6" i="39"/>
  <c r="R211" i="8"/>
  <c r="R248" s="1"/>
  <c r="T76"/>
  <c r="T134" s="1"/>
  <c r="T194" s="1"/>
  <c r="Z48" i="39" s="1"/>
  <c r="T77" i="8"/>
  <c r="T135" s="1"/>
  <c r="T195" s="1"/>
  <c r="Z49" i="39" s="1"/>
  <c r="T51" i="8"/>
  <c r="T109" s="1"/>
  <c r="T169" s="1"/>
  <c r="Z23" i="39" s="1"/>
  <c r="T50" i="8"/>
  <c r="T108" s="1"/>
  <c r="T168" s="1"/>
  <c r="Z22" i="39" s="1"/>
  <c r="T64" i="8"/>
  <c r="T122" s="1"/>
  <c r="T182" s="1"/>
  <c r="Z36" i="39" s="1"/>
  <c r="T63" i="8"/>
  <c r="T121" s="1"/>
  <c r="T181" s="1"/>
  <c r="Z35" i="39" s="1"/>
  <c r="X4"/>
  <c r="R212" i="8"/>
  <c r="R213"/>
  <c r="R214"/>
  <c r="V79"/>
  <c r="V137" s="1"/>
  <c r="V197" s="1"/>
  <c r="AB51" i="39" s="1"/>
  <c r="V78" i="8"/>
  <c r="V136" s="1"/>
  <c r="V196" s="1"/>
  <c r="AB50" i="39" s="1"/>
  <c r="V82" i="8"/>
  <c r="V140" s="1"/>
  <c r="V200" s="1"/>
  <c r="AB54" i="39" s="1"/>
  <c r="V80" i="8"/>
  <c r="V138" s="1"/>
  <c r="V198" s="1"/>
  <c r="AB52" i="39" s="1"/>
  <c r="V81" i="8"/>
  <c r="V139" s="1"/>
  <c r="V199" s="1"/>
  <c r="AB53" i="39" s="1"/>
  <c r="P217" i="8"/>
  <c r="P224"/>
  <c r="P216"/>
  <c r="P219"/>
  <c r="P232"/>
  <c r="P231"/>
  <c r="P235"/>
  <c r="P225"/>
  <c r="P220"/>
  <c r="P227"/>
  <c r="P215"/>
  <c r="P252" s="1"/>
  <c r="P237"/>
  <c r="P218"/>
  <c r="P255" s="1"/>
  <c r="P238"/>
  <c r="P202"/>
  <c r="P204" s="1"/>
  <c r="P236"/>
  <c r="P221"/>
  <c r="P258" s="1"/>
  <c r="P228"/>
  <c r="P265" s="1"/>
  <c r="P241"/>
  <c r="P222"/>
  <c r="P240"/>
  <c r="P233"/>
  <c r="P230"/>
  <c r="P223"/>
  <c r="P226"/>
  <c r="P239"/>
  <c r="P276" s="1"/>
  <c r="P234"/>
  <c r="V3" i="39"/>
  <c r="P229" i="8"/>
  <c r="W37"/>
  <c r="W95" s="1"/>
  <c r="W155" s="1"/>
  <c r="AC9" i="39" s="1"/>
  <c r="W38" i="8"/>
  <c r="W96" s="1"/>
  <c r="W156" s="1"/>
  <c r="AC10" i="39" s="1"/>
  <c r="O267" i="8"/>
  <c r="Q250"/>
  <c r="O260"/>
  <c r="O254"/>
  <c r="O275"/>
  <c r="P260" l="1"/>
  <c r="P266"/>
  <c r="P254"/>
  <c r="P273"/>
  <c r="P259"/>
  <c r="P262"/>
  <c r="R249"/>
  <c r="P256"/>
  <c r="P277"/>
  <c r="P274"/>
  <c r="P270"/>
  <c r="P268"/>
  <c r="R251"/>
  <c r="U50"/>
  <c r="U108" s="1"/>
  <c r="U168" s="1"/>
  <c r="AA22" i="39" s="1"/>
  <c r="U51" i="8"/>
  <c r="U109" s="1"/>
  <c r="U169" s="1"/>
  <c r="AA23" i="39" s="1"/>
  <c r="T62" i="8"/>
  <c r="T120" s="1"/>
  <c r="T180" s="1"/>
  <c r="Z34" i="39" s="1"/>
  <c r="T61" i="8"/>
  <c r="T119" s="1"/>
  <c r="T179" s="1"/>
  <c r="Z33" i="39" s="1"/>
  <c r="T60" i="8"/>
  <c r="T118" s="1"/>
  <c r="T178" s="1"/>
  <c r="Z32" i="39" s="1"/>
  <c r="T59" i="8"/>
  <c r="T117" s="1"/>
  <c r="T177" s="1"/>
  <c r="Z31" i="39" s="1"/>
  <c r="T58" i="8"/>
  <c r="T116" s="1"/>
  <c r="T176" s="1"/>
  <c r="Z30" i="39" s="1"/>
  <c r="T57" i="8"/>
  <c r="T115" s="1"/>
  <c r="T175" s="1"/>
  <c r="Z29" i="39" s="1"/>
  <c r="T55" i="8"/>
  <c r="T113" s="1"/>
  <c r="T173" s="1"/>
  <c r="Z27" i="39" s="1"/>
  <c r="T53" i="8"/>
  <c r="T111" s="1"/>
  <c r="T171" s="1"/>
  <c r="Z25" i="39" s="1"/>
  <c r="T56" i="8"/>
  <c r="T114" s="1"/>
  <c r="T174" s="1"/>
  <c r="Z28" i="39" s="1"/>
  <c r="T54" i="8"/>
  <c r="T112" s="1"/>
  <c r="T172" s="1"/>
  <c r="Z26" i="39" s="1"/>
  <c r="T52" i="8"/>
  <c r="T110" s="1"/>
  <c r="T170" s="1"/>
  <c r="Z24" i="39" s="1"/>
  <c r="S84" i="8"/>
  <c r="S89"/>
  <c r="P257"/>
  <c r="P269"/>
  <c r="R250"/>
  <c r="U63"/>
  <c r="U121" s="1"/>
  <c r="U181" s="1"/>
  <c r="AA35" i="39" s="1"/>
  <c r="U64" i="8"/>
  <c r="U122" s="1"/>
  <c r="U182" s="1"/>
  <c r="AA36" i="39" s="1"/>
  <c r="U77" i="8"/>
  <c r="U135" s="1"/>
  <c r="U195" s="1"/>
  <c r="AA49" i="39" s="1"/>
  <c r="U76" i="8"/>
  <c r="U134" s="1"/>
  <c r="U194" s="1"/>
  <c r="AA48" i="39" s="1"/>
  <c r="R149" i="8"/>
  <c r="R142"/>
  <c r="T75"/>
  <c r="T133" s="1"/>
  <c r="T193" s="1"/>
  <c r="Z47" i="39" s="1"/>
  <c r="T72" i="8"/>
  <c r="T130" s="1"/>
  <c r="T190" s="1"/>
  <c r="Z44" i="39" s="1"/>
  <c r="T71" i="8"/>
  <c r="T129" s="1"/>
  <c r="T189" s="1"/>
  <c r="Z43" i="39" s="1"/>
  <c r="T70" i="8"/>
  <c r="T128" s="1"/>
  <c r="T188" s="1"/>
  <c r="Z42" i="39" s="1"/>
  <c r="T73" i="8"/>
  <c r="T131" s="1"/>
  <c r="T191" s="1"/>
  <c r="Z45" i="39" s="1"/>
  <c r="T74" i="8"/>
  <c r="T132" s="1"/>
  <c r="T192" s="1"/>
  <c r="Z46" i="39" s="1"/>
  <c r="T39" i="8"/>
  <c r="T97" s="1"/>
  <c r="T157" s="1"/>
  <c r="Z11" i="39" s="1"/>
  <c r="T43" i="8"/>
  <c r="T101" s="1"/>
  <c r="T161" s="1"/>
  <c r="Z15" i="39" s="1"/>
  <c r="T41" i="8"/>
  <c r="T99" s="1"/>
  <c r="T159" s="1"/>
  <c r="Z13" i="39" s="1"/>
  <c r="T42" i="8"/>
  <c r="T100" s="1"/>
  <c r="T160" s="1"/>
  <c r="Z14" i="39" s="1"/>
  <c r="T40" i="8"/>
  <c r="T98" s="1"/>
  <c r="T158" s="1"/>
  <c r="Z12" i="39" s="1"/>
  <c r="Y4"/>
  <c r="S213" i="8"/>
  <c r="S212"/>
  <c r="S214"/>
  <c r="T35"/>
  <c r="T93" s="1"/>
  <c r="T153" s="1"/>
  <c r="Z7" i="39" s="1"/>
  <c r="T26" i="8"/>
  <c r="T34"/>
  <c r="T92" s="1"/>
  <c r="T152" s="1"/>
  <c r="T33"/>
  <c r="T91" s="1"/>
  <c r="T151" s="1"/>
  <c r="Z5" i="39" s="1"/>
  <c r="T36" i="8"/>
  <c r="T94" s="1"/>
  <c r="T154" s="1"/>
  <c r="Z8" i="39" s="1"/>
  <c r="T32" i="8"/>
  <c r="T90" s="1"/>
  <c r="T150" s="1"/>
  <c r="T31"/>
  <c r="P264"/>
  <c r="P261"/>
  <c r="Q230"/>
  <c r="Q215"/>
  <c r="Q252" s="1"/>
  <c r="Q229"/>
  <c r="Q224"/>
  <c r="Q233"/>
  <c r="Q237"/>
  <c r="Q202"/>
  <c r="Q204" s="1"/>
  <c r="Q221"/>
  <c r="Q227"/>
  <c r="Q222"/>
  <c r="Q225"/>
  <c r="Q235"/>
  <c r="Q239"/>
  <c r="Q226"/>
  <c r="Q236"/>
  <c r="Q217"/>
  <c r="Q219"/>
  <c r="Q216"/>
  <c r="Q253" s="1"/>
  <c r="Q223"/>
  <c r="Q228"/>
  <c r="Q238"/>
  <c r="Q231"/>
  <c r="Q218"/>
  <c r="Q241"/>
  <c r="Q220"/>
  <c r="W3" i="39"/>
  <c r="Q232" i="8"/>
  <c r="Q240"/>
  <c r="Q234"/>
  <c r="Q271" s="1"/>
  <c r="Y6" i="39"/>
  <c r="S211" i="8"/>
  <c r="S248" s="1"/>
  <c r="T47"/>
  <c r="T105" s="1"/>
  <c r="T165" s="1"/>
  <c r="Z19" i="39" s="1"/>
  <c r="T49" i="8"/>
  <c r="T107" s="1"/>
  <c r="T167" s="1"/>
  <c r="Z21" i="39" s="1"/>
  <c r="T45" i="8"/>
  <c r="T103" s="1"/>
  <c r="T163" s="1"/>
  <c r="Z17" i="39" s="1"/>
  <c r="T44" i="8"/>
  <c r="T102" s="1"/>
  <c r="T162" s="1"/>
  <c r="Z16" i="39" s="1"/>
  <c r="T46" i="8"/>
  <c r="T104" s="1"/>
  <c r="T164" s="1"/>
  <c r="Z18" i="39" s="1"/>
  <c r="T48" i="8"/>
  <c r="T106" s="1"/>
  <c r="T166" s="1"/>
  <c r="Z20" i="39" s="1"/>
  <c r="X38" i="8"/>
  <c r="X96" s="1"/>
  <c r="X37"/>
  <c r="X95" s="1"/>
  <c r="AA38"/>
  <c r="Y156" s="1"/>
  <c r="AE10" i="39" s="1"/>
  <c r="AA37" i="8"/>
  <c r="Y155" s="1"/>
  <c r="AE9" i="39" s="1"/>
  <c r="P278" i="8"/>
  <c r="P243"/>
  <c r="W80"/>
  <c r="W138" s="1"/>
  <c r="W198" s="1"/>
  <c r="AC52" i="39" s="1"/>
  <c r="W82" i="8"/>
  <c r="W140" s="1"/>
  <c r="W200" s="1"/>
  <c r="AC54" i="39" s="1"/>
  <c r="W79" i="8"/>
  <c r="W137" s="1"/>
  <c r="W197" s="1"/>
  <c r="AC51" i="39" s="1"/>
  <c r="W78" i="8"/>
  <c r="W136" s="1"/>
  <c r="W196" s="1"/>
  <c r="AC50" i="39" s="1"/>
  <c r="W81" i="8"/>
  <c r="W139" s="1"/>
  <c r="W199" s="1"/>
  <c r="AC53" i="39" s="1"/>
  <c r="U65" i="8"/>
  <c r="U123" s="1"/>
  <c r="U183" s="1"/>
  <c r="AA37" i="39" s="1"/>
  <c r="U66" i="8"/>
  <c r="U124" s="1"/>
  <c r="U184" s="1"/>
  <c r="AA38" i="39" s="1"/>
  <c r="U69" i="8"/>
  <c r="U127" s="1"/>
  <c r="U187" s="1"/>
  <c r="AA41" i="39" s="1"/>
  <c r="U67" i="8"/>
  <c r="U125" s="1"/>
  <c r="U185" s="1"/>
  <c r="AA39" i="39" s="1"/>
  <c r="U68" i="8"/>
  <c r="U126" s="1"/>
  <c r="U186" s="1"/>
  <c r="AA40" i="39" s="1"/>
  <c r="O280" i="8"/>
  <c r="O281" s="1"/>
  <c r="P263"/>
  <c r="P275"/>
  <c r="P271"/>
  <c r="P267"/>
  <c r="P272"/>
  <c r="P253"/>
  <c r="Q275" l="1"/>
  <c r="Q257"/>
  <c r="Q255"/>
  <c r="Q262"/>
  <c r="Q264"/>
  <c r="P280"/>
  <c r="P281" s="1"/>
  <c r="Q269"/>
  <c r="Q260"/>
  <c r="Q273"/>
  <c r="Q266"/>
  <c r="Q276"/>
  <c r="Q268"/>
  <c r="Q277"/>
  <c r="Q265"/>
  <c r="Q254"/>
  <c r="S250"/>
  <c r="X156"/>
  <c r="AA96"/>
  <c r="Q278"/>
  <c r="Q243"/>
  <c r="Z4" i="39"/>
  <c r="T212" i="8"/>
  <c r="T214"/>
  <c r="T213"/>
  <c r="R238"/>
  <c r="R241"/>
  <c r="R225"/>
  <c r="R202"/>
  <c r="R204" s="1"/>
  <c r="R222"/>
  <c r="R226"/>
  <c r="R233"/>
  <c r="R235"/>
  <c r="X3" i="39"/>
  <c r="R224" i="8"/>
  <c r="R221"/>
  <c r="R219"/>
  <c r="R229"/>
  <c r="R230"/>
  <c r="R237"/>
  <c r="R223"/>
  <c r="R215"/>
  <c r="R252" s="1"/>
  <c r="R228"/>
  <c r="R240"/>
  <c r="R227"/>
  <c r="R220"/>
  <c r="R234"/>
  <c r="R217"/>
  <c r="R218"/>
  <c r="R216"/>
  <c r="R253" s="1"/>
  <c r="R239"/>
  <c r="R236"/>
  <c r="R231"/>
  <c r="R232"/>
  <c r="S149"/>
  <c r="S142"/>
  <c r="Q272"/>
  <c r="Q258"/>
  <c r="Q261"/>
  <c r="X155"/>
  <c r="AA95"/>
  <c r="U49"/>
  <c r="U107" s="1"/>
  <c r="U167" s="1"/>
  <c r="AA21" i="39" s="1"/>
  <c r="U48" i="8"/>
  <c r="U106" s="1"/>
  <c r="U166" s="1"/>
  <c r="AA20" i="39" s="1"/>
  <c r="U45" i="8"/>
  <c r="U103" s="1"/>
  <c r="U163" s="1"/>
  <c r="AA17" i="39" s="1"/>
  <c r="U47" i="8"/>
  <c r="U105" s="1"/>
  <c r="U165" s="1"/>
  <c r="AA19" i="39" s="1"/>
  <c r="U46" i="8"/>
  <c r="U104" s="1"/>
  <c r="U164" s="1"/>
  <c r="AA18" i="39" s="1"/>
  <c r="U44" i="8"/>
  <c r="U102" s="1"/>
  <c r="U162" s="1"/>
  <c r="AA16" i="39" s="1"/>
  <c r="T84" i="8"/>
  <c r="T89"/>
  <c r="Z6" i="39"/>
  <c r="T211" i="8"/>
  <c r="T248" s="1"/>
  <c r="U39"/>
  <c r="U97" s="1"/>
  <c r="U157" s="1"/>
  <c r="AA11" i="39" s="1"/>
  <c r="U41" i="8"/>
  <c r="U99" s="1"/>
  <c r="U159" s="1"/>
  <c r="AA13" i="39" s="1"/>
  <c r="U43" i="8"/>
  <c r="U101" s="1"/>
  <c r="U161" s="1"/>
  <c r="AA15" i="39" s="1"/>
  <c r="U40" i="8"/>
  <c r="U98" s="1"/>
  <c r="U158" s="1"/>
  <c r="AA12" i="39" s="1"/>
  <c r="U42" i="8"/>
  <c r="U100" s="1"/>
  <c r="U160" s="1"/>
  <c r="AA14" i="39" s="1"/>
  <c r="V76" i="8"/>
  <c r="V134" s="1"/>
  <c r="V194" s="1"/>
  <c r="AB48" i="39" s="1"/>
  <c r="V77" i="8"/>
  <c r="V135" s="1"/>
  <c r="V195" s="1"/>
  <c r="AB49" i="39" s="1"/>
  <c r="U55" i="8"/>
  <c r="U113" s="1"/>
  <c r="U173" s="1"/>
  <c r="AA27" i="39" s="1"/>
  <c r="U56" i="8"/>
  <c r="U114" s="1"/>
  <c r="U174" s="1"/>
  <c r="AA28" i="39" s="1"/>
  <c r="U52" i="8"/>
  <c r="U110" s="1"/>
  <c r="U170" s="1"/>
  <c r="AA24" i="39" s="1"/>
  <c r="U53" i="8"/>
  <c r="U111" s="1"/>
  <c r="U171" s="1"/>
  <c r="AA25" i="39" s="1"/>
  <c r="U54" i="8"/>
  <c r="U112" s="1"/>
  <c r="U172" s="1"/>
  <c r="AA26" i="39" s="1"/>
  <c r="Q270" i="8"/>
  <c r="Q267"/>
  <c r="S249"/>
  <c r="V69"/>
  <c r="V127" s="1"/>
  <c r="V187" s="1"/>
  <c r="AB41" i="39" s="1"/>
  <c r="V66" i="8"/>
  <c r="V124" s="1"/>
  <c r="V184" s="1"/>
  <c r="AB38" i="39" s="1"/>
  <c r="V68" i="8"/>
  <c r="V126" s="1"/>
  <c r="V186" s="1"/>
  <c r="AB40" i="39" s="1"/>
  <c r="V67" i="8"/>
  <c r="V125" s="1"/>
  <c r="V185" s="1"/>
  <c r="AB39" i="39" s="1"/>
  <c r="V65" i="8"/>
  <c r="V123" s="1"/>
  <c r="V183" s="1"/>
  <c r="AB37" i="39" s="1"/>
  <c r="V51" i="8"/>
  <c r="V109" s="1"/>
  <c r="V169" s="1"/>
  <c r="AB23" i="39" s="1"/>
  <c r="V50" i="8"/>
  <c r="V108" s="1"/>
  <c r="V168" s="1"/>
  <c r="AB22" i="39" s="1"/>
  <c r="AA80" i="8"/>
  <c r="Y198" s="1"/>
  <c r="AE52" i="39" s="1"/>
  <c r="AA81" i="8"/>
  <c r="Y199" s="1"/>
  <c r="AE53" i="39" s="1"/>
  <c r="X80" i="8"/>
  <c r="X138" s="1"/>
  <c r="X82"/>
  <c r="X140" s="1"/>
  <c r="X78"/>
  <c r="X136" s="1"/>
  <c r="X79"/>
  <c r="X137" s="1"/>
  <c r="X81"/>
  <c r="X139" s="1"/>
  <c r="AA79"/>
  <c r="Y197" s="1"/>
  <c r="AE51" i="39" s="1"/>
  <c r="AA78" i="8"/>
  <c r="Y196" s="1"/>
  <c r="AE50" i="39" s="1"/>
  <c r="AA82" i="8"/>
  <c r="Y200" s="1"/>
  <c r="AE54" i="39" s="1"/>
  <c r="U35" i="8"/>
  <c r="U93" s="1"/>
  <c r="U153" s="1"/>
  <c r="AA7" i="39" s="1"/>
  <c r="U33" i="8"/>
  <c r="U91" s="1"/>
  <c r="U151" s="1"/>
  <c r="AA5" i="39" s="1"/>
  <c r="U34" i="8"/>
  <c r="U92" s="1"/>
  <c r="U152" s="1"/>
  <c r="U32"/>
  <c r="U90" s="1"/>
  <c r="U150" s="1"/>
  <c r="U36"/>
  <c r="U94" s="1"/>
  <c r="U154" s="1"/>
  <c r="AA8" i="39" s="1"/>
  <c r="U31" i="8"/>
  <c r="U26"/>
  <c r="U74"/>
  <c r="U132" s="1"/>
  <c r="U192" s="1"/>
  <c r="AA46" i="39" s="1"/>
  <c r="U70" i="8"/>
  <c r="U128" s="1"/>
  <c r="U188" s="1"/>
  <c r="AA42" i="39" s="1"/>
  <c r="U75" i="8"/>
  <c r="U133" s="1"/>
  <c r="U193" s="1"/>
  <c r="AA47" i="39" s="1"/>
  <c r="U72" i="8"/>
  <c r="U130" s="1"/>
  <c r="U190" s="1"/>
  <c r="AA44" i="39" s="1"/>
  <c r="U71" i="8"/>
  <c r="U129" s="1"/>
  <c r="U189" s="1"/>
  <c r="AA43" i="39" s="1"/>
  <c r="U73" i="8"/>
  <c r="U131" s="1"/>
  <c r="U191" s="1"/>
  <c r="AA45" i="39" s="1"/>
  <c r="V64" i="8"/>
  <c r="V122" s="1"/>
  <c r="V182" s="1"/>
  <c r="AB36" i="39" s="1"/>
  <c r="V63" i="8"/>
  <c r="V121" s="1"/>
  <c r="V181" s="1"/>
  <c r="AB35" i="39" s="1"/>
  <c r="U60" i="8"/>
  <c r="U118" s="1"/>
  <c r="U178" s="1"/>
  <c r="AA32" i="39" s="1"/>
  <c r="U62" i="8"/>
  <c r="U120" s="1"/>
  <c r="U180" s="1"/>
  <c r="AA34" i="39" s="1"/>
  <c r="U59" i="8"/>
  <c r="U117" s="1"/>
  <c r="U177" s="1"/>
  <c r="AA31" i="39" s="1"/>
  <c r="U61" i="8"/>
  <c r="U119" s="1"/>
  <c r="U179" s="1"/>
  <c r="AA33" i="39" s="1"/>
  <c r="U58" i="8"/>
  <c r="U116" s="1"/>
  <c r="U176" s="1"/>
  <c r="AA30" i="39" s="1"/>
  <c r="U57" i="8"/>
  <c r="U115" s="1"/>
  <c r="U175" s="1"/>
  <c r="AA29" i="39" s="1"/>
  <c r="Q256" i="8"/>
  <c r="Q263"/>
  <c r="Q259"/>
  <c r="Q274"/>
  <c r="S251"/>
  <c r="R257" l="1"/>
  <c r="R273"/>
  <c r="Q280"/>
  <c r="Q281" s="1"/>
  <c r="R276"/>
  <c r="R260"/>
  <c r="R254"/>
  <c r="T251"/>
  <c r="R258"/>
  <c r="R270"/>
  <c r="R269"/>
  <c r="R266"/>
  <c r="R277"/>
  <c r="R262"/>
  <c r="R268"/>
  <c r="R264"/>
  <c r="T250"/>
  <c r="W76"/>
  <c r="W134" s="1"/>
  <c r="W194" s="1"/>
  <c r="AC48" i="39" s="1"/>
  <c r="W77" i="8"/>
  <c r="W135" s="1"/>
  <c r="W195" s="1"/>
  <c r="AC49" i="39" s="1"/>
  <c r="AD9"/>
  <c r="AA155" i="8"/>
  <c r="R255"/>
  <c r="R256"/>
  <c r="R272"/>
  <c r="AA6" i="39"/>
  <c r="U211" i="8"/>
  <c r="U248" s="1"/>
  <c r="W63"/>
  <c r="W121" s="1"/>
  <c r="W181" s="1"/>
  <c r="AC35" i="39" s="1"/>
  <c r="W64" i="8"/>
  <c r="W122" s="1"/>
  <c r="W182" s="1"/>
  <c r="AC36" i="39" s="1"/>
  <c r="AD10"/>
  <c r="AA156" i="8"/>
  <c r="R259"/>
  <c r="R275"/>
  <c r="U89"/>
  <c r="U84"/>
  <c r="X200"/>
  <c r="AA140"/>
  <c r="W67"/>
  <c r="W125" s="1"/>
  <c r="W185" s="1"/>
  <c r="AC39" i="39" s="1"/>
  <c r="W66" i="8"/>
  <c r="W124" s="1"/>
  <c r="W184" s="1"/>
  <c r="AC38" i="39" s="1"/>
  <c r="W69" i="8"/>
  <c r="W127" s="1"/>
  <c r="W187" s="1"/>
  <c r="AC41" i="39" s="1"/>
  <c r="W68" i="8"/>
  <c r="W126" s="1"/>
  <c r="W186" s="1"/>
  <c r="AC40" i="39" s="1"/>
  <c r="W65" i="8"/>
  <c r="W123" s="1"/>
  <c r="W183" s="1"/>
  <c r="AC37" i="39" s="1"/>
  <c r="V58" i="8"/>
  <c r="V116" s="1"/>
  <c r="V176" s="1"/>
  <c r="AB30" i="39" s="1"/>
  <c r="V61" i="8"/>
  <c r="V119" s="1"/>
  <c r="V179" s="1"/>
  <c r="AB33" i="39" s="1"/>
  <c r="V60" i="8"/>
  <c r="V118" s="1"/>
  <c r="V178" s="1"/>
  <c r="AB32" i="39" s="1"/>
  <c r="V57" i="8"/>
  <c r="V115" s="1"/>
  <c r="V175" s="1"/>
  <c r="AB29" i="39" s="1"/>
  <c r="V62" i="8"/>
  <c r="V120" s="1"/>
  <c r="V180" s="1"/>
  <c r="AB34" i="39" s="1"/>
  <c r="V59" i="8"/>
  <c r="V117" s="1"/>
  <c r="V177" s="1"/>
  <c r="AB31" i="39" s="1"/>
  <c r="X196" i="8"/>
  <c r="AA136"/>
  <c r="V32"/>
  <c r="V90" s="1"/>
  <c r="V150" s="1"/>
  <c r="V35"/>
  <c r="V93" s="1"/>
  <c r="V153" s="1"/>
  <c r="AB7" i="39" s="1"/>
  <c r="V34" i="8"/>
  <c r="V92" s="1"/>
  <c r="V152" s="1"/>
  <c r="V36"/>
  <c r="V94" s="1"/>
  <c r="V154" s="1"/>
  <c r="AB8" i="39" s="1"/>
  <c r="V33" i="8"/>
  <c r="V91" s="1"/>
  <c r="V151" s="1"/>
  <c r="AB5" i="39" s="1"/>
  <c r="V31" i="8"/>
  <c r="V26"/>
  <c r="U212"/>
  <c r="U213"/>
  <c r="AA4" i="39"/>
  <c r="U214" i="8"/>
  <c r="X197"/>
  <c r="AA137"/>
  <c r="W50"/>
  <c r="W108" s="1"/>
  <c r="W168" s="1"/>
  <c r="AC22" i="39" s="1"/>
  <c r="W51" i="8"/>
  <c r="W109" s="1"/>
  <c r="W169" s="1"/>
  <c r="AC23" i="39" s="1"/>
  <c r="V41" i="8"/>
  <c r="V99" s="1"/>
  <c r="V159" s="1"/>
  <c r="AB13" i="39" s="1"/>
  <c r="V43" i="8"/>
  <c r="V101" s="1"/>
  <c r="V161" s="1"/>
  <c r="AB15" i="39" s="1"/>
  <c r="V40" i="8"/>
  <c r="V98" s="1"/>
  <c r="V158" s="1"/>
  <c r="AB12" i="39" s="1"/>
  <c r="V39" i="8"/>
  <c r="V97" s="1"/>
  <c r="V157" s="1"/>
  <c r="AB11" i="39" s="1"/>
  <c r="V42" i="8"/>
  <c r="V100" s="1"/>
  <c r="V160" s="1"/>
  <c r="AB14" i="39" s="1"/>
  <c r="V72" i="8"/>
  <c r="V130" s="1"/>
  <c r="V190" s="1"/>
  <c r="AB44" i="39" s="1"/>
  <c r="V71" i="8"/>
  <c r="V129" s="1"/>
  <c r="V189" s="1"/>
  <c r="AB43" i="39" s="1"/>
  <c r="V74" i="8"/>
  <c r="V132" s="1"/>
  <c r="V192" s="1"/>
  <c r="AB46" i="39" s="1"/>
  <c r="V75" i="8"/>
  <c r="V133" s="1"/>
  <c r="V193" s="1"/>
  <c r="AB47" i="39" s="1"/>
  <c r="V70" i="8"/>
  <c r="V128" s="1"/>
  <c r="V188" s="1"/>
  <c r="AB42" i="39" s="1"/>
  <c r="V73" i="8"/>
  <c r="V131" s="1"/>
  <c r="V191" s="1"/>
  <c r="AB45" i="39" s="1"/>
  <c r="X199" i="8"/>
  <c r="AA139"/>
  <c r="X198"/>
  <c r="AA138"/>
  <c r="V52"/>
  <c r="V110" s="1"/>
  <c r="V170" s="1"/>
  <c r="AB24" i="39" s="1"/>
  <c r="V53" i="8"/>
  <c r="V111" s="1"/>
  <c r="V171" s="1"/>
  <c r="AB25" i="39" s="1"/>
  <c r="V54" i="8"/>
  <c r="V112" s="1"/>
  <c r="V172" s="1"/>
  <c r="AB26" i="39" s="1"/>
  <c r="V55" i="8"/>
  <c r="V113" s="1"/>
  <c r="V173" s="1"/>
  <c r="AB27" i="39" s="1"/>
  <c r="V56" i="8"/>
  <c r="V114" s="1"/>
  <c r="V174" s="1"/>
  <c r="AB28" i="39" s="1"/>
  <c r="T142" i="8"/>
  <c r="T149"/>
  <c r="V45"/>
  <c r="V103" s="1"/>
  <c r="V163" s="1"/>
  <c r="AB17" i="39" s="1"/>
  <c r="V49" i="8"/>
  <c r="V107" s="1"/>
  <c r="V167" s="1"/>
  <c r="AB21" i="39" s="1"/>
  <c r="V48" i="8"/>
  <c r="V106" s="1"/>
  <c r="V166" s="1"/>
  <c r="AB20" i="39" s="1"/>
  <c r="V47" i="8"/>
  <c r="V105" s="1"/>
  <c r="V165" s="1"/>
  <c r="AB19" i="39" s="1"/>
  <c r="V46" i="8"/>
  <c r="V104" s="1"/>
  <c r="V164" s="1"/>
  <c r="AB18" i="39" s="1"/>
  <c r="V44" i="8"/>
  <c r="V102" s="1"/>
  <c r="V162" s="1"/>
  <c r="AB16" i="39" s="1"/>
  <c r="Y3"/>
  <c r="S241" i="8"/>
  <c r="S221"/>
  <c r="S202"/>
  <c r="S204" s="1"/>
  <c r="S223"/>
  <c r="S225"/>
  <c r="S217"/>
  <c r="S216"/>
  <c r="S227"/>
  <c r="S218"/>
  <c r="S239"/>
  <c r="S236"/>
  <c r="S229"/>
  <c r="S237"/>
  <c r="S220"/>
  <c r="S219"/>
  <c r="S231"/>
  <c r="S224"/>
  <c r="S234"/>
  <c r="S215"/>
  <c r="S252" s="1"/>
  <c r="S226"/>
  <c r="S228"/>
  <c r="S232"/>
  <c r="S235"/>
  <c r="S230"/>
  <c r="S267" s="1"/>
  <c r="S233"/>
  <c r="S222"/>
  <c r="S259" s="1"/>
  <c r="S238"/>
  <c r="S240"/>
  <c r="R278"/>
  <c r="R243"/>
  <c r="R274"/>
  <c r="R271"/>
  <c r="R265"/>
  <c r="R267"/>
  <c r="R261"/>
  <c r="R263"/>
  <c r="T249"/>
  <c r="U249" l="1"/>
  <c r="S270"/>
  <c r="S255"/>
  <c r="S265"/>
  <c r="S261"/>
  <c r="R280"/>
  <c r="R281" s="1"/>
  <c r="S277"/>
  <c r="S263"/>
  <c r="S275"/>
  <c r="S272"/>
  <c r="S256"/>
  <c r="AD52" i="39"/>
  <c r="AA198" i="8"/>
  <c r="T240"/>
  <c r="T220"/>
  <c r="T217"/>
  <c r="T222"/>
  <c r="T228"/>
  <c r="T221"/>
  <c r="T226"/>
  <c r="T229"/>
  <c r="T216"/>
  <c r="T219"/>
  <c r="T215"/>
  <c r="T252" s="1"/>
  <c r="T233"/>
  <c r="T236"/>
  <c r="T241"/>
  <c r="T202"/>
  <c r="T204" s="1"/>
  <c r="T227"/>
  <c r="T223"/>
  <c r="T218"/>
  <c r="T237"/>
  <c r="T239"/>
  <c r="T238"/>
  <c r="Z3" i="39"/>
  <c r="T225" i="8"/>
  <c r="T234"/>
  <c r="T231"/>
  <c r="T232"/>
  <c r="T230"/>
  <c r="T224"/>
  <c r="T235"/>
  <c r="W42"/>
  <c r="W100" s="1"/>
  <c r="W160" s="1"/>
  <c r="AC14" i="39" s="1"/>
  <c r="W43" i="8"/>
  <c r="W101" s="1"/>
  <c r="W161" s="1"/>
  <c r="AC15" i="39" s="1"/>
  <c r="W39" i="8"/>
  <c r="W97" s="1"/>
  <c r="W157" s="1"/>
  <c r="AC11" i="39" s="1"/>
  <c r="W41" i="8"/>
  <c r="W99" s="1"/>
  <c r="W159" s="1"/>
  <c r="AC13" i="39" s="1"/>
  <c r="W40" i="8"/>
  <c r="W98" s="1"/>
  <c r="W158" s="1"/>
  <c r="AC12" i="39" s="1"/>
  <c r="V89" i="8"/>
  <c r="V84"/>
  <c r="AA65"/>
  <c r="Y183" s="1"/>
  <c r="AE37" i="39" s="1"/>
  <c r="AA68" i="8"/>
  <c r="Y186" s="1"/>
  <c r="AE40" i="39" s="1"/>
  <c r="X68" i="8"/>
  <c r="X126" s="1"/>
  <c r="X69"/>
  <c r="X127" s="1"/>
  <c r="X66"/>
  <c r="X124" s="1"/>
  <c r="X67"/>
  <c r="X125" s="1"/>
  <c r="X65"/>
  <c r="X123" s="1"/>
  <c r="AA66"/>
  <c r="Y184" s="1"/>
  <c r="AE38" i="39" s="1"/>
  <c r="AA69" i="8"/>
  <c r="Y187" s="1"/>
  <c r="AE41" i="39" s="1"/>
  <c r="AA67" i="8"/>
  <c r="Y185" s="1"/>
  <c r="AE39" i="39" s="1"/>
  <c r="U149" i="8"/>
  <c r="U142"/>
  <c r="S268"/>
  <c r="S266"/>
  <c r="S264"/>
  <c r="S260"/>
  <c r="U250"/>
  <c r="AD51" i="39"/>
  <c r="AA197" i="8"/>
  <c r="S278"/>
  <c r="S243"/>
  <c r="W46"/>
  <c r="W104" s="1"/>
  <c r="W164" s="1"/>
  <c r="AC18" i="39" s="1"/>
  <c r="W49" i="8"/>
  <c r="W107" s="1"/>
  <c r="W167" s="1"/>
  <c r="AC21" i="39" s="1"/>
  <c r="W47" i="8"/>
  <c r="W105" s="1"/>
  <c r="W165" s="1"/>
  <c r="AC19" i="39" s="1"/>
  <c r="W45" i="8"/>
  <c r="W103" s="1"/>
  <c r="W163" s="1"/>
  <c r="AC17" i="39" s="1"/>
  <c r="W48" i="8"/>
  <c r="W106" s="1"/>
  <c r="W166" s="1"/>
  <c r="AC20" i="39" s="1"/>
  <c r="W44" i="8"/>
  <c r="W102" s="1"/>
  <c r="W162" s="1"/>
  <c r="AC16" i="39" s="1"/>
  <c r="W53" i="8"/>
  <c r="W111" s="1"/>
  <c r="W171" s="1"/>
  <c r="AC25" i="39" s="1"/>
  <c r="W54" i="8"/>
  <c r="W112" s="1"/>
  <c r="W172" s="1"/>
  <c r="AC26" i="39" s="1"/>
  <c r="W52" i="8"/>
  <c r="W110" s="1"/>
  <c r="W170" s="1"/>
  <c r="AC24" i="39" s="1"/>
  <c r="W56" i="8"/>
  <c r="W114" s="1"/>
  <c r="W174" s="1"/>
  <c r="AC28" i="39" s="1"/>
  <c r="W55" i="8"/>
  <c r="W113" s="1"/>
  <c r="W173" s="1"/>
  <c r="AC27" i="39" s="1"/>
  <c r="AD53"/>
  <c r="AA199" i="8"/>
  <c r="X51"/>
  <c r="X109" s="1"/>
  <c r="X50"/>
  <c r="X108" s="1"/>
  <c r="AA51"/>
  <c r="Y169" s="1"/>
  <c r="AE23" i="39" s="1"/>
  <c r="AA50" i="8"/>
  <c r="Y168" s="1"/>
  <c r="AE22" i="39" s="1"/>
  <c r="AB6"/>
  <c r="V211" i="8"/>
  <c r="V248" s="1"/>
  <c r="AD50" i="39"/>
  <c r="AA196" i="8"/>
  <c r="AA64"/>
  <c r="Y182" s="1"/>
  <c r="AE36" i="39" s="1"/>
  <c r="X63" i="8"/>
  <c r="X121" s="1"/>
  <c r="X64"/>
  <c r="X122" s="1"/>
  <c r="AA63"/>
  <c r="Y181" s="1"/>
  <c r="AE35" i="39" s="1"/>
  <c r="S253" i="8"/>
  <c r="S274"/>
  <c r="S262"/>
  <c r="V212"/>
  <c r="AB4" i="39"/>
  <c r="V213" i="8"/>
  <c r="V214"/>
  <c r="W72"/>
  <c r="W130" s="1"/>
  <c r="W190" s="1"/>
  <c r="AC44" i="39" s="1"/>
  <c r="W75" i="8"/>
  <c r="W133" s="1"/>
  <c r="W193" s="1"/>
  <c r="AC47" i="39" s="1"/>
  <c r="W71" i="8"/>
  <c r="W129" s="1"/>
  <c r="W189" s="1"/>
  <c r="AC43" i="39" s="1"/>
  <c r="W73" i="8"/>
  <c r="W131" s="1"/>
  <c r="W191" s="1"/>
  <c r="AC45" i="39" s="1"/>
  <c r="W74" i="8"/>
  <c r="W132" s="1"/>
  <c r="W192" s="1"/>
  <c r="AC46" i="39" s="1"/>
  <c r="W70" i="8"/>
  <c r="W128" s="1"/>
  <c r="W188" s="1"/>
  <c r="AC42" i="39" s="1"/>
  <c r="W26" i="8"/>
  <c r="W34"/>
  <c r="W92" s="1"/>
  <c r="W152" s="1"/>
  <c r="W32"/>
  <c r="W90" s="1"/>
  <c r="W150" s="1"/>
  <c r="W35"/>
  <c r="W93" s="1"/>
  <c r="W153" s="1"/>
  <c r="AC7" i="39" s="1"/>
  <c r="W31" i="8"/>
  <c r="W33"/>
  <c r="W91" s="1"/>
  <c r="W151" s="1"/>
  <c r="AC5" i="39" s="1"/>
  <c r="W36" i="8"/>
  <c r="W94" s="1"/>
  <c r="W154" s="1"/>
  <c r="AC8" i="39" s="1"/>
  <c r="W61" i="8"/>
  <c r="W119" s="1"/>
  <c r="W179" s="1"/>
  <c r="AC33" i="39" s="1"/>
  <c r="W58" i="8"/>
  <c r="W116" s="1"/>
  <c r="W176" s="1"/>
  <c r="AC30" i="39" s="1"/>
  <c r="W57" i="8"/>
  <c r="W115" s="1"/>
  <c r="W175" s="1"/>
  <c r="AC29" i="39" s="1"/>
  <c r="W60" i="8"/>
  <c r="W118" s="1"/>
  <c r="W178" s="1"/>
  <c r="AC32" i="39" s="1"/>
  <c r="W62" i="8"/>
  <c r="W120" s="1"/>
  <c r="W180" s="1"/>
  <c r="AC34" i="39" s="1"/>
  <c r="W59" i="8"/>
  <c r="W117" s="1"/>
  <c r="W177" s="1"/>
  <c r="AC31" i="39" s="1"/>
  <c r="AD54"/>
  <c r="AA200" i="8"/>
  <c r="AA76"/>
  <c r="Y194" s="1"/>
  <c r="AE48" i="39" s="1"/>
  <c r="X77" i="8"/>
  <c r="X135" s="1"/>
  <c r="X76"/>
  <c r="X134" s="1"/>
  <c r="AA77"/>
  <c r="Y195" s="1"/>
  <c r="AE49" i="39" s="1"/>
  <c r="S273" i="8"/>
  <c r="S269"/>
  <c r="S271"/>
  <c r="S257"/>
  <c r="S276"/>
  <c r="S254"/>
  <c r="S258"/>
  <c r="U251"/>
  <c r="T258" l="1"/>
  <c r="T271"/>
  <c r="T267"/>
  <c r="T260"/>
  <c r="T255"/>
  <c r="T261"/>
  <c r="V250"/>
  <c r="S280"/>
  <c r="S281" s="1"/>
  <c r="T268"/>
  <c r="T275"/>
  <c r="T253"/>
  <c r="T265"/>
  <c r="T276"/>
  <c r="T264"/>
  <c r="T270"/>
  <c r="X194"/>
  <c r="AA134"/>
  <c r="X168"/>
  <c r="AA108"/>
  <c r="AA60"/>
  <c r="Y178" s="1"/>
  <c r="AE32" i="39" s="1"/>
  <c r="X62" i="8"/>
  <c r="X120" s="1"/>
  <c r="X59"/>
  <c r="X117" s="1"/>
  <c r="X60"/>
  <c r="X118" s="1"/>
  <c r="X57"/>
  <c r="X115" s="1"/>
  <c r="X61"/>
  <c r="X119" s="1"/>
  <c r="X58"/>
  <c r="X116" s="1"/>
  <c r="AA58"/>
  <c r="Y176" s="1"/>
  <c r="AE30" i="39" s="1"/>
  <c r="AA61" i="8"/>
  <c r="Y179" s="1"/>
  <c r="AE33" i="39" s="1"/>
  <c r="AA62" i="8"/>
  <c r="Y180" s="1"/>
  <c r="AE34" i="39" s="1"/>
  <c r="AA57" i="8"/>
  <c r="Y175" s="1"/>
  <c r="AE29" i="39" s="1"/>
  <c r="AA59" i="8"/>
  <c r="Y177" s="1"/>
  <c r="AE31" i="39" s="1"/>
  <c r="X182" i="8"/>
  <c r="AA122"/>
  <c r="W84"/>
  <c r="W89"/>
  <c r="AA32"/>
  <c r="Y150" s="1"/>
  <c r="X35"/>
  <c r="X93" s="1"/>
  <c r="X33"/>
  <c r="X91" s="1"/>
  <c r="X26"/>
  <c r="AA36"/>
  <c r="Y154" s="1"/>
  <c r="AE8" i="39" s="1"/>
  <c r="X36" i="8"/>
  <c r="X94" s="1"/>
  <c r="X34"/>
  <c r="X92" s="1"/>
  <c r="X32"/>
  <c r="X90" s="1"/>
  <c r="AA31"/>
  <c r="Y149" s="1"/>
  <c r="X31"/>
  <c r="AA33"/>
  <c r="Y151" s="1"/>
  <c r="AE5" i="39" s="1"/>
  <c r="AA34" i="8"/>
  <c r="Y152" s="1"/>
  <c r="AA35"/>
  <c r="Y153" s="1"/>
  <c r="AE7" i="39" s="1"/>
  <c r="AA72" i="8"/>
  <c r="Y190" s="1"/>
  <c r="AE44" i="39" s="1"/>
  <c r="AA73" i="8"/>
  <c r="Y191" s="1"/>
  <c r="AE45" i="39" s="1"/>
  <c r="X71" i="8"/>
  <c r="X129" s="1"/>
  <c r="X73"/>
  <c r="X131" s="1"/>
  <c r="X74"/>
  <c r="X132" s="1"/>
  <c r="X70"/>
  <c r="X128" s="1"/>
  <c r="X75"/>
  <c r="X133" s="1"/>
  <c r="X72"/>
  <c r="X130" s="1"/>
  <c r="AA71"/>
  <c r="Y189" s="1"/>
  <c r="AE43" i="39" s="1"/>
  <c r="AA70" i="8"/>
  <c r="Y188" s="1"/>
  <c r="AE42" i="39" s="1"/>
  <c r="AA74" i="8"/>
  <c r="Y192" s="1"/>
  <c r="AE46" i="39" s="1"/>
  <c r="AA75" i="8"/>
  <c r="Y193" s="1"/>
  <c r="AE47" i="39" s="1"/>
  <c r="X184" i="8"/>
  <c r="AA124"/>
  <c r="AA40"/>
  <c r="Y158" s="1"/>
  <c r="AE12" i="39" s="1"/>
  <c r="AA41" i="8"/>
  <c r="Y159" s="1"/>
  <c r="AE13" i="39" s="1"/>
  <c r="X43" i="8"/>
  <c r="X101" s="1"/>
  <c r="X42"/>
  <c r="X100" s="1"/>
  <c r="X41"/>
  <c r="X99" s="1"/>
  <c r="X39"/>
  <c r="X97" s="1"/>
  <c r="X40"/>
  <c r="X98" s="1"/>
  <c r="AA43"/>
  <c r="Y161" s="1"/>
  <c r="AE15" i="39" s="1"/>
  <c r="AA39" i="8"/>
  <c r="Y157" s="1"/>
  <c r="AE11" i="39" s="1"/>
  <c r="AA42" i="8"/>
  <c r="Y160" s="1"/>
  <c r="AE14" i="39" s="1"/>
  <c r="T278" i="8"/>
  <c r="T243"/>
  <c r="T272"/>
  <c r="T273"/>
  <c r="T277"/>
  <c r="V249"/>
  <c r="T269"/>
  <c r="T256"/>
  <c r="T257"/>
  <c r="X181"/>
  <c r="AA121"/>
  <c r="AA48"/>
  <c r="Y166" s="1"/>
  <c r="AE20" i="39" s="1"/>
  <c r="AA44" i="8"/>
  <c r="Y162" s="1"/>
  <c r="AE16" i="39" s="1"/>
  <c r="X47" i="8"/>
  <c r="X105" s="1"/>
  <c r="X44"/>
  <c r="X102" s="1"/>
  <c r="AA49"/>
  <c r="Y167" s="1"/>
  <c r="AE21" i="39" s="1"/>
  <c r="X46" i="8"/>
  <c r="X104" s="1"/>
  <c r="X45"/>
  <c r="X103" s="1"/>
  <c r="X49"/>
  <c r="X107" s="1"/>
  <c r="X48"/>
  <c r="X106" s="1"/>
  <c r="AA45"/>
  <c r="Y163" s="1"/>
  <c r="AE17" i="39" s="1"/>
  <c r="AA46" i="8"/>
  <c r="Y164" s="1"/>
  <c r="AE18" i="39" s="1"/>
  <c r="AA47" i="8"/>
  <c r="Y165" s="1"/>
  <c r="AE19" i="39" s="1"/>
  <c r="U202" i="8"/>
  <c r="U204" s="1"/>
  <c r="U232"/>
  <c r="U220"/>
  <c r="U222"/>
  <c r="U229"/>
  <c r="U235"/>
  <c r="U239"/>
  <c r="U237"/>
  <c r="AA3" i="39"/>
  <c r="U226" i="8"/>
  <c r="U241"/>
  <c r="U224"/>
  <c r="U225"/>
  <c r="U217"/>
  <c r="U231"/>
  <c r="U236"/>
  <c r="U238"/>
  <c r="U218"/>
  <c r="U221"/>
  <c r="U258" s="1"/>
  <c r="U230"/>
  <c r="U223"/>
  <c r="U216"/>
  <c r="U227"/>
  <c r="U219"/>
  <c r="U215"/>
  <c r="U252" s="1"/>
  <c r="U240"/>
  <c r="U228"/>
  <c r="U233"/>
  <c r="U234"/>
  <c r="X183"/>
  <c r="AA123"/>
  <c r="X186"/>
  <c r="AA126"/>
  <c r="V149"/>
  <c r="V142"/>
  <c r="X187"/>
  <c r="AA127"/>
  <c r="X195"/>
  <c r="AA135"/>
  <c r="AC6" i="39"/>
  <c r="W211" i="8"/>
  <c r="W248" s="1"/>
  <c r="X169"/>
  <c r="AA109"/>
  <c r="AA56"/>
  <c r="Y174" s="1"/>
  <c r="AE28" i="39" s="1"/>
  <c r="AA52" i="8"/>
  <c r="Y170" s="1"/>
  <c r="AE24" i="39" s="1"/>
  <c r="X56" i="8"/>
  <c r="X114" s="1"/>
  <c r="X54"/>
  <c r="X112" s="1"/>
  <c r="X55"/>
  <c r="X113" s="1"/>
  <c r="X53"/>
  <c r="X111" s="1"/>
  <c r="X52"/>
  <c r="X110" s="1"/>
  <c r="AA54"/>
  <c r="Y172" s="1"/>
  <c r="AE26" i="39" s="1"/>
  <c r="AA53" i="8"/>
  <c r="Y171" s="1"/>
  <c r="AE25" i="39" s="1"/>
  <c r="AA55" i="8"/>
  <c r="Y173" s="1"/>
  <c r="AE27" i="39" s="1"/>
  <c r="X185" i="8"/>
  <c r="AA125"/>
  <c r="V251"/>
  <c r="T262"/>
  <c r="T274"/>
  <c r="T263"/>
  <c r="T254"/>
  <c r="W213"/>
  <c r="W214"/>
  <c r="W212"/>
  <c r="AC4" i="39"/>
  <c r="T266" i="8"/>
  <c r="T259"/>
  <c r="U255" l="1"/>
  <c r="U260"/>
  <c r="U275"/>
  <c r="U265"/>
  <c r="U277"/>
  <c r="W250"/>
  <c r="U269"/>
  <c r="U272"/>
  <c r="W249"/>
  <c r="U253"/>
  <c r="U263"/>
  <c r="T280"/>
  <c r="T281" s="1"/>
  <c r="U270"/>
  <c r="U267"/>
  <c r="AD39" i="39"/>
  <c r="AA185" i="8"/>
  <c r="X174"/>
  <c r="AA114"/>
  <c r="AD23" i="39"/>
  <c r="AA169" i="8"/>
  <c r="AD49" i="39"/>
  <c r="AA195" i="8"/>
  <c r="V220"/>
  <c r="V228"/>
  <c r="V218"/>
  <c r="V241"/>
  <c r="V225"/>
  <c r="V233"/>
  <c r="V219"/>
  <c r="V215"/>
  <c r="V252" s="1"/>
  <c r="V234"/>
  <c r="V240"/>
  <c r="V232"/>
  <c r="V230"/>
  <c r="V221"/>
  <c r="V258" s="1"/>
  <c r="V217"/>
  <c r="V227"/>
  <c r="V223"/>
  <c r="V231"/>
  <c r="V238"/>
  <c r="V229"/>
  <c r="V239"/>
  <c r="V235"/>
  <c r="V224"/>
  <c r="V226"/>
  <c r="V236"/>
  <c r="AB3" i="39"/>
  <c r="V216" i="8"/>
  <c r="V222"/>
  <c r="V202"/>
  <c r="V204" s="1"/>
  <c r="V237"/>
  <c r="AD37" i="39"/>
  <c r="AA183" i="8"/>
  <c r="X164"/>
  <c r="AA104"/>
  <c r="X160"/>
  <c r="AA100"/>
  <c r="X188"/>
  <c r="AA128"/>
  <c r="X152"/>
  <c r="AA92"/>
  <c r="X151"/>
  <c r="AA91"/>
  <c r="X176"/>
  <c r="AA116"/>
  <c r="X177"/>
  <c r="AA117"/>
  <c r="AD22" i="39"/>
  <c r="AA168" i="8"/>
  <c r="X172"/>
  <c r="AA112"/>
  <c r="U278"/>
  <c r="U243"/>
  <c r="X163"/>
  <c r="AA103"/>
  <c r="X165"/>
  <c r="AA105"/>
  <c r="AD35" i="39"/>
  <c r="AA181" i="8"/>
  <c r="X159"/>
  <c r="AA99"/>
  <c r="X193"/>
  <c r="AA133"/>
  <c r="X189"/>
  <c r="AA129"/>
  <c r="AE6" i="39"/>
  <c r="Y211" i="8"/>
  <c r="Y248" s="1"/>
  <c r="X150"/>
  <c r="AA90"/>
  <c r="W149"/>
  <c r="W142"/>
  <c r="X178"/>
  <c r="AA118"/>
  <c r="U254"/>
  <c r="W251"/>
  <c r="U264"/>
  <c r="U268"/>
  <c r="U276"/>
  <c r="U257"/>
  <c r="X173"/>
  <c r="AA113"/>
  <c r="AD41" i="39"/>
  <c r="AA187" i="8"/>
  <c r="AD40" i="39"/>
  <c r="AA186" i="8"/>
  <c r="X167"/>
  <c r="AA107"/>
  <c r="X162"/>
  <c r="AA102"/>
  <c r="X157"/>
  <c r="AA97"/>
  <c r="X190"/>
  <c r="AA130"/>
  <c r="X191"/>
  <c r="AA131"/>
  <c r="AE3" i="39"/>
  <c r="Y225" i="8"/>
  <c r="Y229"/>
  <c r="Y241"/>
  <c r="Y221"/>
  <c r="Y234"/>
  <c r="Y227"/>
  <c r="Y223"/>
  <c r="Y216"/>
  <c r="Y228"/>
  <c r="Y233"/>
  <c r="Y215"/>
  <c r="Y224"/>
  <c r="Y231"/>
  <c r="Y230"/>
  <c r="Y267" s="1"/>
  <c r="Y219"/>
  <c r="Y237"/>
  <c r="Y240"/>
  <c r="Y239"/>
  <c r="Y232"/>
  <c r="Y217"/>
  <c r="Y254" s="1"/>
  <c r="Y220"/>
  <c r="Y218"/>
  <c r="Y235"/>
  <c r="Y236"/>
  <c r="Y202"/>
  <c r="Y238"/>
  <c r="Y226"/>
  <c r="Y222"/>
  <c r="Y213"/>
  <c r="AE4" i="39"/>
  <c r="Y212" i="8"/>
  <c r="Y249" s="1"/>
  <c r="Y214"/>
  <c r="AD36" i="39"/>
  <c r="AA182" i="8"/>
  <c r="X175"/>
  <c r="AA115"/>
  <c r="AD48" i="39"/>
  <c r="AA194" i="8"/>
  <c r="U256"/>
  <c r="U273"/>
  <c r="U261"/>
  <c r="U274"/>
  <c r="U259"/>
  <c r="X170"/>
  <c r="AA110"/>
  <c r="X171"/>
  <c r="AA111"/>
  <c r="X166"/>
  <c r="AA106"/>
  <c r="X158"/>
  <c r="AA98"/>
  <c r="X161"/>
  <c r="AA101"/>
  <c r="AD38" i="39"/>
  <c r="AA184" i="8"/>
  <c r="X192"/>
  <c r="AA132"/>
  <c r="X89"/>
  <c r="X84"/>
  <c r="AA84" s="1"/>
  <c r="X154"/>
  <c r="AA94"/>
  <c r="X153"/>
  <c r="AA93"/>
  <c r="X179"/>
  <c r="AA119"/>
  <c r="X180"/>
  <c r="AA120"/>
  <c r="U271"/>
  <c r="U262"/>
  <c r="U266"/>
  <c r="Y259" l="1"/>
  <c r="V256"/>
  <c r="V263"/>
  <c r="V272"/>
  <c r="V253"/>
  <c r="V261"/>
  <c r="Y263"/>
  <c r="Y275"/>
  <c r="Y272"/>
  <c r="V274"/>
  <c r="V268"/>
  <c r="Y269"/>
  <c r="Y278"/>
  <c r="Y251"/>
  <c r="Y261"/>
  <c r="Y253"/>
  <c r="Y258"/>
  <c r="U280"/>
  <c r="U281" s="1"/>
  <c r="V275"/>
  <c r="V277"/>
  <c r="V270"/>
  <c r="V265"/>
  <c r="Y266"/>
  <c r="V273"/>
  <c r="V260"/>
  <c r="V267"/>
  <c r="AD33" i="39"/>
  <c r="AA179" i="8"/>
  <c r="AD8" i="39"/>
  <c r="AA154" i="8"/>
  <c r="AD46" i="39"/>
  <c r="AA192" i="8"/>
  <c r="AD15" i="39"/>
  <c r="AA161" i="8"/>
  <c r="AD20" i="39"/>
  <c r="AA166" i="8"/>
  <c r="AD24" i="39"/>
  <c r="AA170" i="8"/>
  <c r="AD44" i="39"/>
  <c r="AA190" i="8"/>
  <c r="AD16" i="39"/>
  <c r="AA162" i="8"/>
  <c r="AD27" i="39"/>
  <c r="AA173" i="8"/>
  <c r="AD32" i="39"/>
  <c r="AA178" i="8"/>
  <c r="AD4" i="39"/>
  <c r="X212" i="8"/>
  <c r="X213"/>
  <c r="X214"/>
  <c r="AA150"/>
  <c r="AD43" i="39"/>
  <c r="AA189" i="8"/>
  <c r="AD13" i="39"/>
  <c r="AA159" i="8"/>
  <c r="AD19" i="39"/>
  <c r="AA165" i="8"/>
  <c r="AD30" i="39"/>
  <c r="AA176" i="8"/>
  <c r="X211"/>
  <c r="X248" s="1"/>
  <c r="AD6" i="39"/>
  <c r="AA152" i="8"/>
  <c r="AD14" i="39"/>
  <c r="AA160" i="8"/>
  <c r="AD28" i="39"/>
  <c r="AA174" i="8"/>
  <c r="Y273"/>
  <c r="Y274"/>
  <c r="V254"/>
  <c r="Y250"/>
  <c r="Y257"/>
  <c r="Y277"/>
  <c r="Y268"/>
  <c r="Y265"/>
  <c r="Y271"/>
  <c r="Y262"/>
  <c r="V259"/>
  <c r="V266"/>
  <c r="V264"/>
  <c r="V269"/>
  <c r="V255"/>
  <c r="AD34" i="39"/>
  <c r="AA180" i="8"/>
  <c r="AD7" i="39"/>
  <c r="AA153" i="8"/>
  <c r="X142"/>
  <c r="AA142" s="1"/>
  <c r="X149"/>
  <c r="AA89"/>
  <c r="AD12" i="39"/>
  <c r="AA158" i="8"/>
  <c r="AD25" i="39"/>
  <c r="AA171" i="8"/>
  <c r="AD45" i="39"/>
  <c r="AA191" i="8"/>
  <c r="AD11" i="39"/>
  <c r="AA157" i="8"/>
  <c r="AD21" i="39"/>
  <c r="AA167" i="8"/>
  <c r="W225"/>
  <c r="W233"/>
  <c r="W229"/>
  <c r="W240"/>
  <c r="W241"/>
  <c r="W215"/>
  <c r="W252" s="1"/>
  <c r="W230"/>
  <c r="W235"/>
  <c r="W202"/>
  <c r="W204" s="1"/>
  <c r="AC3" i="39"/>
  <c r="W219" i="8"/>
  <c r="W227"/>
  <c r="W237"/>
  <c r="W238"/>
  <c r="W239"/>
  <c r="W234"/>
  <c r="W220"/>
  <c r="W218"/>
  <c r="W224"/>
  <c r="W221"/>
  <c r="W236"/>
  <c r="W223"/>
  <c r="W222"/>
  <c r="W232"/>
  <c r="W228"/>
  <c r="W216"/>
  <c r="W253" s="1"/>
  <c r="W226"/>
  <c r="W217"/>
  <c r="W231"/>
  <c r="AD47" i="39"/>
  <c r="AA193" i="8"/>
  <c r="AD17" i="39"/>
  <c r="AA163" i="8"/>
  <c r="AD26" i="39"/>
  <c r="AA172" i="8"/>
  <c r="AD31" i="39"/>
  <c r="AA177" i="8"/>
  <c r="AD5" i="39"/>
  <c r="AA151" i="8"/>
  <c r="AD42" i="39"/>
  <c r="AA188" i="8"/>
  <c r="AD18" i="39"/>
  <c r="AA164" i="8"/>
  <c r="V243"/>
  <c r="V278"/>
  <c r="Y255"/>
  <c r="Y276"/>
  <c r="Y270"/>
  <c r="Y264"/>
  <c r="V276"/>
  <c r="AD29" i="39"/>
  <c r="AA175" i="8"/>
  <c r="Y256"/>
  <c r="Y252"/>
  <c r="Y260"/>
  <c r="V271"/>
  <c r="V262"/>
  <c r="V257"/>
  <c r="W263" l="1"/>
  <c r="W271"/>
  <c r="W259"/>
  <c r="W276"/>
  <c r="X250"/>
  <c r="W261"/>
  <c r="W256"/>
  <c r="W268"/>
  <c r="W273"/>
  <c r="W267"/>
  <c r="V280"/>
  <c r="V281" s="1"/>
  <c r="W265"/>
  <c r="Y280"/>
  <c r="W255"/>
  <c r="W266"/>
  <c r="W254"/>
  <c r="W269"/>
  <c r="W258"/>
  <c r="W264"/>
  <c r="W272"/>
  <c r="W277"/>
  <c r="X251"/>
  <c r="W243"/>
  <c r="W278"/>
  <c r="X215"/>
  <c r="X252" s="1"/>
  <c r="X233"/>
  <c r="X216"/>
  <c r="X225"/>
  <c r="X230"/>
  <c r="X227"/>
  <c r="X232"/>
  <c r="X234"/>
  <c r="X228"/>
  <c r="X217"/>
  <c r="X239"/>
  <c r="X224"/>
  <c r="X223"/>
  <c r="X240"/>
  <c r="X220"/>
  <c r="X226"/>
  <c r="X263" s="1"/>
  <c r="X218"/>
  <c r="X236"/>
  <c r="X229"/>
  <c r="X237"/>
  <c r="X231"/>
  <c r="X268" s="1"/>
  <c r="AD3" i="39"/>
  <c r="X235" i="8"/>
  <c r="X202"/>
  <c r="C10" s="1"/>
  <c r="X238"/>
  <c r="X241"/>
  <c r="X219"/>
  <c r="X222"/>
  <c r="X221"/>
  <c r="AA149"/>
  <c r="B202" s="1"/>
  <c r="W257"/>
  <c r="W274"/>
  <c r="W262"/>
  <c r="W260"/>
  <c r="W275"/>
  <c r="W270"/>
  <c r="X249"/>
  <c r="X258" l="1"/>
  <c r="X277"/>
  <c r="X254"/>
  <c r="X275"/>
  <c r="W280"/>
  <c r="W281" s="1"/>
  <c r="X273"/>
  <c r="X264"/>
  <c r="X270"/>
  <c r="X272"/>
  <c r="X256"/>
  <c r="X266"/>
  <c r="X257"/>
  <c r="X276"/>
  <c r="X269"/>
  <c r="X253"/>
  <c r="X243"/>
  <c r="X278"/>
  <c r="X204"/>
  <c r="AA202"/>
  <c r="X259"/>
  <c r="X274"/>
  <c r="X261"/>
  <c r="X271"/>
  <c r="X262"/>
  <c r="X255"/>
  <c r="X260"/>
  <c r="X265"/>
  <c r="X267"/>
  <c r="X280" l="1"/>
  <c r="X281" s="1"/>
</calcChain>
</file>

<file path=xl/comments1.xml><?xml version="1.0" encoding="utf-8"?>
<comments xmlns="http://schemas.openxmlformats.org/spreadsheetml/2006/main">
  <authors>
    <author xml:space="preserve"> </author>
    <author>Tina Jayaweera</author>
  </authors>
  <commentList>
    <comment ref="I6"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O6"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A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C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D7" authorId="0">
      <text>
        <r>
          <rPr>
            <b/>
            <sz val="8"/>
            <color indexed="81"/>
            <rFont val="Tahoma"/>
            <family val="2"/>
          </rPr>
          <t xml:space="preserve"> :ProCost</t>
        </r>
        <r>
          <rPr>
            <sz val="8"/>
            <color indexed="81"/>
            <rFont val="Tahoma"/>
            <family val="2"/>
          </rPr>
          <t xml:space="preserve">
Physical life of the measure in years.  Must be &gt;=1.</t>
        </r>
      </text>
    </comment>
    <comment ref="E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F7"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G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H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I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J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K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L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M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N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O7" authorId="0">
      <text>
        <r>
          <rPr>
            <b/>
            <sz val="8"/>
            <color indexed="81"/>
            <rFont val="Tahoma"/>
            <family val="2"/>
          </rPr>
          <t xml:space="preserve"> :</t>
        </r>
        <r>
          <rPr>
            <sz val="8"/>
            <color indexed="81"/>
            <rFont val="Tahoma"/>
            <family val="2"/>
          </rPr>
          <t xml:space="preserve">
Annual gas savings, or increases, in therms.</t>
        </r>
      </text>
    </comment>
    <comment ref="P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BH86"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86"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86"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86"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H143"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143"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143"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143"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List>
</comments>
</file>

<file path=xl/comments2.xml><?xml version="1.0" encoding="utf-8"?>
<comments xmlns="http://schemas.openxmlformats.org/spreadsheetml/2006/main">
  <authors>
    <author xml:space="preserve"> </author>
  </authors>
  <commentList>
    <comment ref="J4"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4"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5"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5"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5"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5" authorId="0">
      <text>
        <r>
          <rPr>
            <b/>
            <sz val="8"/>
            <color indexed="81"/>
            <rFont val="Tahoma"/>
            <family val="2"/>
          </rPr>
          <t xml:space="preserve"> :ProCost</t>
        </r>
        <r>
          <rPr>
            <sz val="8"/>
            <color indexed="81"/>
            <rFont val="Tahoma"/>
            <family val="2"/>
          </rPr>
          <t xml:space="preserve">
Physical life of the measure in years.  Must be &gt;=1.</t>
        </r>
      </text>
    </comment>
    <comment ref="F5"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5"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5"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5"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5"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5"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5"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5"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5"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5" authorId="0">
      <text>
        <r>
          <rPr>
            <b/>
            <sz val="8"/>
            <color indexed="81"/>
            <rFont val="Tahoma"/>
            <family val="2"/>
          </rPr>
          <t xml:space="preserve"> :</t>
        </r>
        <r>
          <rPr>
            <sz val="8"/>
            <color indexed="81"/>
            <rFont val="Tahoma"/>
            <family val="2"/>
          </rPr>
          <t xml:space="preserve">
Annual gas savings, or increases, in therms.</t>
        </r>
      </text>
    </comment>
    <comment ref="Q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3.xml><?xml version="1.0" encoding="utf-8"?>
<comments xmlns="http://schemas.openxmlformats.org/spreadsheetml/2006/main">
  <authors>
    <author xml:space="preserve"> </author>
  </authors>
  <commentList>
    <comment ref="J5"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5"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6"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6"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6"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6" authorId="0">
      <text>
        <r>
          <rPr>
            <b/>
            <sz val="8"/>
            <color indexed="81"/>
            <rFont val="Tahoma"/>
            <family val="2"/>
          </rPr>
          <t xml:space="preserve"> :ProCost</t>
        </r>
        <r>
          <rPr>
            <sz val="8"/>
            <color indexed="81"/>
            <rFont val="Tahoma"/>
            <family val="2"/>
          </rPr>
          <t xml:space="preserve">
Physical life of the measure in years.  Must be &gt;=1.</t>
        </r>
      </text>
    </comment>
    <comment ref="F6"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6"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6"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6"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6"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6"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6"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6"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6"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6"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6" authorId="0">
      <text>
        <r>
          <rPr>
            <b/>
            <sz val="8"/>
            <color indexed="81"/>
            <rFont val="Tahoma"/>
            <family val="2"/>
          </rPr>
          <t xml:space="preserve"> :</t>
        </r>
        <r>
          <rPr>
            <sz val="8"/>
            <color indexed="81"/>
            <rFont val="Tahoma"/>
            <family val="2"/>
          </rPr>
          <t xml:space="preserve">
Annual gas savings, or increases, in therms.</t>
        </r>
      </text>
    </comment>
    <comment ref="Q6"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J77"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77"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78"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78"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78"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78" authorId="0">
      <text>
        <r>
          <rPr>
            <b/>
            <sz val="8"/>
            <color indexed="81"/>
            <rFont val="Tahoma"/>
            <family val="2"/>
          </rPr>
          <t xml:space="preserve"> :ProCost</t>
        </r>
        <r>
          <rPr>
            <sz val="8"/>
            <color indexed="81"/>
            <rFont val="Tahoma"/>
            <family val="2"/>
          </rPr>
          <t xml:space="preserve">
Physical life of the measure in years.  Must be &gt;=1.</t>
        </r>
      </text>
    </comment>
    <comment ref="F78"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78"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78"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78"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78"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78"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78"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78"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78"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78"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78" authorId="0">
      <text>
        <r>
          <rPr>
            <b/>
            <sz val="8"/>
            <color indexed="81"/>
            <rFont val="Tahoma"/>
            <family val="2"/>
          </rPr>
          <t xml:space="preserve"> :</t>
        </r>
        <r>
          <rPr>
            <sz val="8"/>
            <color indexed="81"/>
            <rFont val="Tahoma"/>
            <family val="2"/>
          </rPr>
          <t xml:space="preserve">
Annual gas savings, or increases, in therms.</t>
        </r>
      </text>
    </comment>
    <comment ref="Q78"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4.xml><?xml version="1.0" encoding="utf-8"?>
<comments xmlns="http://schemas.openxmlformats.org/spreadsheetml/2006/main">
  <authors>
    <author>Tina Jayaweera</author>
  </authors>
  <commentList>
    <comment ref="D37" authorId="0">
      <text>
        <r>
          <rPr>
            <b/>
            <sz val="9"/>
            <color indexed="81"/>
            <rFont val="Tahoma"/>
            <family val="2"/>
          </rPr>
          <t>Tina Jayaweera:</t>
        </r>
        <r>
          <rPr>
            <sz val="9"/>
            <color indexed="81"/>
            <rFont val="Tahoma"/>
            <family val="2"/>
          </rPr>
          <t xml:space="preserve">
from Dick Stroh</t>
        </r>
      </text>
    </comment>
  </commentList>
</comments>
</file>

<file path=xl/comments5.xml><?xml version="1.0" encoding="utf-8"?>
<comments xmlns="http://schemas.openxmlformats.org/spreadsheetml/2006/main">
  <authors>
    <author>Tina Jayaweera</author>
  </authors>
  <commentList>
    <comment ref="B2" authorId="0">
      <text>
        <r>
          <rPr>
            <b/>
            <sz val="9"/>
            <color indexed="81"/>
            <rFont val="Tahoma"/>
            <family val="2"/>
          </rPr>
          <t>Tina Jayaweera:</t>
        </r>
        <r>
          <rPr>
            <sz val="9"/>
            <color indexed="81"/>
            <rFont val="Tahoma"/>
            <family val="2"/>
          </rPr>
          <t xml:space="preserve">
From 2012 Census of Ag, County Level data, Table 10</t>
        </r>
      </text>
    </comment>
    <comment ref="E2" authorId="0">
      <text>
        <r>
          <rPr>
            <b/>
            <sz val="9"/>
            <color indexed="81"/>
            <rFont val="Tahoma"/>
            <charset val="1"/>
          </rPr>
          <t>Tina Jayaweera:</t>
        </r>
        <r>
          <rPr>
            <sz val="9"/>
            <color indexed="81"/>
            <rFont val="Tahoma"/>
            <charset val="1"/>
          </rPr>
          <t xml:space="preserve">
Only including those west or partially west of divide</t>
        </r>
      </text>
    </comment>
    <comment ref="F2" authorId="0">
      <text>
        <r>
          <rPr>
            <b/>
            <sz val="9"/>
            <color indexed="81"/>
            <rFont val="Tahoma"/>
            <family val="2"/>
          </rPr>
          <t>Tina Jayaweera:</t>
        </r>
        <r>
          <rPr>
            <sz val="9"/>
            <color indexed="81"/>
            <rFont val="Tahoma"/>
            <family val="2"/>
          </rPr>
          <t xml:space="preserve">
From 2012 Census of Ag, County Level data, Table 10</t>
        </r>
      </text>
    </comment>
    <comment ref="J2" authorId="0">
      <text>
        <r>
          <rPr>
            <b/>
            <sz val="9"/>
            <color indexed="81"/>
            <rFont val="Tahoma"/>
            <family val="2"/>
          </rPr>
          <t>Tina Jayaweera:</t>
        </r>
        <r>
          <rPr>
            <sz val="9"/>
            <color indexed="81"/>
            <rFont val="Tahoma"/>
            <family val="2"/>
          </rPr>
          <t xml:space="preserve">
From 2012 Census of Ag, County Level data, Table 10</t>
        </r>
      </text>
    </comment>
    <comment ref="N2" authorId="0">
      <text>
        <r>
          <rPr>
            <b/>
            <sz val="9"/>
            <color indexed="81"/>
            <rFont val="Tahoma"/>
            <family val="2"/>
          </rPr>
          <t>Tina Jayaweera:</t>
        </r>
        <r>
          <rPr>
            <sz val="9"/>
            <color indexed="81"/>
            <rFont val="Tahoma"/>
            <family val="2"/>
          </rPr>
          <t xml:space="preserve">
From 2012 Census of Ag, County Level data, Table 10</t>
        </r>
      </text>
    </comment>
  </commentList>
</comments>
</file>

<file path=xl/comments6.xml><?xml version="1.0" encoding="utf-8"?>
<comments xmlns="http://schemas.openxmlformats.org/spreadsheetml/2006/main">
  <authors>
    <author xml:space="preserve"> </author>
  </authors>
  <commentList>
    <comment ref="J6"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6"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7" authorId="0">
      <text>
        <r>
          <rPr>
            <b/>
            <sz val="8"/>
            <color indexed="81"/>
            <rFont val="Tahoma"/>
            <family val="2"/>
          </rPr>
          <t xml:space="preserve"> :ProCost</t>
        </r>
        <r>
          <rPr>
            <sz val="8"/>
            <color indexed="81"/>
            <rFont val="Tahoma"/>
            <family val="2"/>
          </rPr>
          <t xml:space="preserve">
Physical life of the measure in years.  Must be &gt;=1.</t>
        </r>
      </text>
    </comment>
    <comment ref="F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7"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7" authorId="0">
      <text>
        <r>
          <rPr>
            <b/>
            <sz val="8"/>
            <color indexed="81"/>
            <rFont val="Tahoma"/>
            <family val="2"/>
          </rPr>
          <t xml:space="preserve"> :</t>
        </r>
        <r>
          <rPr>
            <sz val="8"/>
            <color indexed="81"/>
            <rFont val="Tahoma"/>
            <family val="2"/>
          </rPr>
          <t xml:space="preserve">
Annual gas savings, or increases, in therms.</t>
        </r>
      </text>
    </comment>
    <comment ref="Q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7.xml><?xml version="1.0" encoding="utf-8"?>
<comments xmlns="http://schemas.openxmlformats.org/spreadsheetml/2006/main">
  <authors>
    <author>Adam Hadley, PE</author>
    <author>Hadley</author>
    <author>Tina Jayaweera</author>
  </authors>
  <commentList>
    <comment ref="B1" authorId="0">
      <text>
        <r>
          <rPr>
            <b/>
            <sz val="8"/>
            <color indexed="81"/>
            <rFont val="Tahoma"/>
            <family val="2"/>
          </rPr>
          <t>Adam Hadley, PE:</t>
        </r>
        <r>
          <rPr>
            <sz val="8"/>
            <color indexed="81"/>
            <rFont val="Tahoma"/>
            <family val="2"/>
          </rPr>
          <t xml:space="preserve">
Subcommittee estimates that 25% of farmers are already maintaining their systems, 75% are not.</t>
        </r>
      </text>
    </comment>
    <comment ref="K6" authorId="1">
      <text>
        <r>
          <rPr>
            <b/>
            <sz val="9"/>
            <color indexed="81"/>
            <rFont val="Tahoma"/>
            <family val="2"/>
          </rPr>
          <t>Hadley:</t>
        </r>
        <r>
          <rPr>
            <sz val="9"/>
            <color indexed="81"/>
            <rFont val="Tahoma"/>
            <family val="2"/>
          </rPr>
          <t xml:space="preserve">
professional judgment via consensus of subcommittee.</t>
        </r>
      </text>
    </comment>
    <comment ref="K32" authorId="0">
      <text>
        <r>
          <rPr>
            <b/>
            <sz val="8"/>
            <color indexed="81"/>
            <rFont val="Tahoma"/>
            <family val="2"/>
          </rPr>
          <t>Adam Hadley, PE:</t>
        </r>
        <r>
          <rPr>
            <sz val="8"/>
            <color indexed="81"/>
            <rFont val="Tahoma"/>
            <family val="2"/>
          </rPr>
          <t xml:space="preserve">
Source: RTF Subcommittee estimate</t>
        </r>
      </text>
    </comment>
    <comment ref="L32" authorId="0">
      <text>
        <r>
          <rPr>
            <b/>
            <sz val="8"/>
            <color indexed="81"/>
            <rFont val="Tahoma"/>
            <family val="2"/>
          </rPr>
          <t>Adam Hadley, PE:</t>
        </r>
        <r>
          <rPr>
            <sz val="8"/>
            <color indexed="81"/>
            <rFont val="Tahoma"/>
            <family val="2"/>
          </rPr>
          <t xml:space="preserve">
Doesn't include installation cost (except for Boot Gasket and Pipe Repair).  Source: Subcommittee estimates based on program experience.</t>
        </r>
      </text>
    </comment>
    <comment ref="N32" authorId="0">
      <text>
        <r>
          <rPr>
            <b/>
            <sz val="8"/>
            <color indexed="81"/>
            <rFont val="Tahoma"/>
            <family val="2"/>
          </rPr>
          <t>Adam Hadley, PE:</t>
        </r>
        <r>
          <rPr>
            <sz val="8"/>
            <color indexed="81"/>
            <rFont val="Tahoma"/>
            <family val="2"/>
          </rPr>
          <t xml:space="preserve">
Source: RTF Subcommittee estimate, from program experience.</t>
        </r>
      </text>
    </comment>
    <comment ref="L36" authorId="0">
      <text>
        <r>
          <rPr>
            <b/>
            <sz val="8"/>
            <color indexed="81"/>
            <rFont val="Tahoma"/>
            <family val="2"/>
          </rPr>
          <t>Adam Hadley, PE:</t>
        </r>
        <r>
          <rPr>
            <sz val="8"/>
            <color indexed="81"/>
            <rFont val="Tahoma"/>
            <family val="2"/>
          </rPr>
          <t xml:space="preserve">
Range from $0.80 to $10</t>
        </r>
      </text>
    </comment>
    <comment ref="L41" authorId="2">
      <text>
        <r>
          <rPr>
            <b/>
            <sz val="9"/>
            <color indexed="81"/>
            <rFont val="Tahoma"/>
            <family val="2"/>
          </rPr>
          <t>Tina Jayaweera:</t>
        </r>
        <r>
          <rPr>
            <sz val="9"/>
            <color indexed="81"/>
            <rFont val="Tahoma"/>
            <family val="2"/>
          </rPr>
          <t xml:space="preserve">
from RTF workbook:
sum([AgIrrigationHardware_v2_2.xls]Input Assumptions'!K17:K19)</t>
        </r>
      </text>
    </comment>
    <comment ref="M41" authorId="2">
      <text>
        <r>
          <rPr>
            <b/>
            <sz val="9"/>
            <color indexed="81"/>
            <rFont val="Tahoma"/>
            <family val="2"/>
          </rPr>
          <t>Tina Jayaweera:</t>
        </r>
        <r>
          <rPr>
            <sz val="9"/>
            <color indexed="81"/>
            <rFont val="Tahoma"/>
            <family val="2"/>
          </rPr>
          <t xml:space="preserve">
From: 
SUM('[AgIrrigationHardware_v2_2.xls]Input Assumptions'!L17:L19)</t>
        </r>
      </text>
    </comment>
    <comment ref="F42" authorId="1">
      <text>
        <r>
          <rPr>
            <b/>
            <sz val="9"/>
            <color indexed="81"/>
            <rFont val="Tahoma"/>
            <family val="2"/>
          </rPr>
          <t>Hadley:</t>
        </r>
        <r>
          <rPr>
            <sz val="9"/>
            <color indexed="81"/>
            <rFont val="Tahoma"/>
            <family val="2"/>
          </rPr>
          <t xml:space="preserve">
1% per foot; spec requires 3' min; 50% to divvy the savings between goosenecks and drop tubes.</t>
        </r>
      </text>
    </comment>
    <comment ref="I42" authorId="1">
      <text>
        <r>
          <rPr>
            <b/>
            <sz val="9"/>
            <color indexed="81"/>
            <rFont val="Tahoma"/>
            <family val="2"/>
          </rPr>
          <t>Hadley:</t>
        </r>
        <r>
          <rPr>
            <sz val="9"/>
            <color indexed="81"/>
            <rFont val="Tahoma"/>
            <family val="2"/>
          </rPr>
          <t xml:space="preserve">
1% per foot; spec requires 3' min; 50% to divvy the savings between goosenecks and drop tubes.</t>
        </r>
      </text>
    </comment>
    <comment ref="G44" authorId="1">
      <text>
        <r>
          <rPr>
            <b/>
            <sz val="9"/>
            <color indexed="81"/>
            <rFont val="Tahoma"/>
            <family val="2"/>
          </rPr>
          <t>Hadley:</t>
        </r>
        <r>
          <rPr>
            <sz val="9"/>
            <color indexed="81"/>
            <rFont val="Tahoma"/>
            <family val="2"/>
          </rPr>
          <t xml:space="preserve">
subcommittee estimate (professional judgment)</t>
        </r>
      </text>
    </comment>
    <comment ref="J44" authorId="1">
      <text>
        <r>
          <rPr>
            <b/>
            <sz val="9"/>
            <color indexed="81"/>
            <rFont val="Tahoma"/>
            <family val="2"/>
          </rPr>
          <t>Hadley:</t>
        </r>
        <r>
          <rPr>
            <sz val="9"/>
            <color indexed="81"/>
            <rFont val="Tahoma"/>
            <family val="2"/>
          </rPr>
          <t xml:space="preserve">
subcommittee estimate (professional judgment)</t>
        </r>
      </text>
    </comment>
  </commentList>
</comments>
</file>

<file path=xl/comments8.xml><?xml version="1.0" encoding="utf-8"?>
<comments xmlns="http://schemas.openxmlformats.org/spreadsheetml/2006/main">
  <authors>
    <author>Hadley</author>
  </authors>
  <commentList>
    <comment ref="Q140" authorId="0">
      <text>
        <r>
          <rPr>
            <b/>
            <sz val="9"/>
            <color indexed="81"/>
            <rFont val="Tahoma"/>
            <family val="2"/>
          </rPr>
          <t>Hadley:</t>
        </r>
        <r>
          <rPr>
            <sz val="9"/>
            <color indexed="81"/>
            <rFont val="Tahoma"/>
            <family val="2"/>
          </rPr>
          <t xml:space="preserve">
not a separate measure and distinct from Pivot boot (center of pivot).</t>
        </r>
      </text>
    </comment>
  </commentList>
</comments>
</file>

<file path=xl/sharedStrings.xml><?xml version="1.0" encoding="utf-8"?>
<sst xmlns="http://schemas.openxmlformats.org/spreadsheetml/2006/main" count="11075" uniqueCount="1781">
  <si>
    <t>Data Set Name</t>
  </si>
  <si>
    <t>Measure Index Name</t>
  </si>
  <si>
    <t>Costs must be denominated in the same year as 'Input Cost Reference Year' =</t>
  </si>
  <si>
    <t>Input Data</t>
  </si>
  <si>
    <t>Periodic Replacement Costs and Savings and Replacement Period</t>
  </si>
  <si>
    <t>Gas Inputs</t>
  </si>
  <si>
    <t>Category Name</t>
  </si>
  <si>
    <t>Measure Name</t>
  </si>
  <si>
    <t>Savings (kwh/yr)</t>
  </si>
  <si>
    <t>Life (yrs)</t>
  </si>
  <si>
    <t>Capital Cost</t>
  </si>
  <si>
    <t>Annual O&amp;M</t>
  </si>
  <si>
    <t>Shape Pointer</t>
  </si>
  <si>
    <t>Non-E Val ($/yr)</t>
  </si>
  <si>
    <t>Cost 1 ($)</t>
  </si>
  <si>
    <t xml:space="preserve">Period 1 </t>
  </si>
  <si>
    <t>Cost 2 ($)</t>
  </si>
  <si>
    <t>Period 2</t>
  </si>
  <si>
    <t>Cost 3 ($)</t>
  </si>
  <si>
    <t>Period 3</t>
  </si>
  <si>
    <t>Savings (therms/yr)</t>
  </si>
  <si>
    <t>TRC Net Levelized Cost (Net of All Benefits) in mills/kWh</t>
  </si>
  <si>
    <t>Busbar Savings</t>
  </si>
  <si>
    <t>Vintage</t>
  </si>
  <si>
    <t>Methodology</t>
  </si>
  <si>
    <t>Retro</t>
  </si>
  <si>
    <t>Measure Bundle</t>
  </si>
  <si>
    <t>Report Year</t>
  </si>
  <si>
    <t>Total Regional Stock</t>
  </si>
  <si>
    <t>Applicability</t>
  </si>
  <si>
    <t>MAX</t>
  </si>
  <si>
    <t>Achievability =&gt;</t>
  </si>
  <si>
    <t>SUPPLY CURVE SAVINGS BY BUNDLE</t>
  </si>
  <si>
    <t>kWh per home</t>
  </si>
  <si>
    <t>lvlcost</t>
  </si>
  <si>
    <t>measure</t>
  </si>
  <si>
    <t>RECOMBINE MEASURE BUNDLES INTO SUPPLY CURVE CUMULATIVE</t>
  </si>
  <si>
    <t>Block 1: &lt;= 0 mills/kWh</t>
  </si>
  <si>
    <t>&gt;=-9999</t>
  </si>
  <si>
    <t>&lt;=0</t>
  </si>
  <si>
    <t>Block 2: &lt;= 10 mills/kWh</t>
  </si>
  <si>
    <t>&gt;0</t>
  </si>
  <si>
    <t>&lt;=10</t>
  </si>
  <si>
    <t>Block 3: 10-20 mills/kWh</t>
  </si>
  <si>
    <t>&gt;10</t>
  </si>
  <si>
    <t>&lt;=20</t>
  </si>
  <si>
    <t>Block 4: 20-30 mills/kWh</t>
  </si>
  <si>
    <t>&gt;20</t>
  </si>
  <si>
    <t>&lt;=30</t>
  </si>
  <si>
    <t>Block 5: 30-40 mills/kWh</t>
  </si>
  <si>
    <t>&gt;30</t>
  </si>
  <si>
    <t>&lt;=40</t>
  </si>
  <si>
    <t>Block 6: 40-50 mills/kWh</t>
  </si>
  <si>
    <t>&gt;40</t>
  </si>
  <si>
    <t>&lt;=50</t>
  </si>
  <si>
    <t>Block 7: 50-60 mills/kWh</t>
  </si>
  <si>
    <t>&gt;50</t>
  </si>
  <si>
    <t>&lt;=60</t>
  </si>
  <si>
    <t>Block 8: 60-70 mills/kWh</t>
  </si>
  <si>
    <t>&gt;60</t>
  </si>
  <si>
    <t>&lt;=70</t>
  </si>
  <si>
    <t>Block 9: 70-80 mills/kWh</t>
  </si>
  <si>
    <t>&gt;70</t>
  </si>
  <si>
    <t>&lt;=80</t>
  </si>
  <si>
    <t>Block 10: 80-90 mills/kWh</t>
  </si>
  <si>
    <t>&gt;80</t>
  </si>
  <si>
    <t>&lt;=90</t>
  </si>
  <si>
    <t>Block 11: 90-100 mills/kWh</t>
  </si>
  <si>
    <t>&gt;90</t>
  </si>
  <si>
    <t>&lt;=100</t>
  </si>
  <si>
    <t>Block 12: 100-110 mills/kWh</t>
  </si>
  <si>
    <t>&gt;100</t>
  </si>
  <si>
    <t>&lt;=110</t>
  </si>
  <si>
    <t>Block 13: 110-120 mills/kWh</t>
  </si>
  <si>
    <t>&gt;110</t>
  </si>
  <si>
    <t>&lt;=120</t>
  </si>
  <si>
    <t>Block 14: 120-130 mills/kWh</t>
  </si>
  <si>
    <t>&gt;120</t>
  </si>
  <si>
    <t>&lt;=130</t>
  </si>
  <si>
    <t>Block 15: 130-140 mills/kWh</t>
  </si>
  <si>
    <t>&gt;130</t>
  </si>
  <si>
    <t>&lt;=140</t>
  </si>
  <si>
    <t>Block 16: 140-150 mills/kWh</t>
  </si>
  <si>
    <t>&gt;140</t>
  </si>
  <si>
    <t>&lt;=150</t>
  </si>
  <si>
    <t>Block 17: 150-160 mills/kWh</t>
  </si>
  <si>
    <t>&gt;150</t>
  </si>
  <si>
    <t>&lt;=160</t>
  </si>
  <si>
    <t>Block 18: 160-170 mills/kWh</t>
  </si>
  <si>
    <t>&gt;160</t>
  </si>
  <si>
    <t>&lt;=170</t>
  </si>
  <si>
    <t>Block 19: 170-180 mills/kWh</t>
  </si>
  <si>
    <t>&gt;170</t>
  </si>
  <si>
    <t>&lt;=180</t>
  </si>
  <si>
    <t>Block 20: 180-190 mills/kWh</t>
  </si>
  <si>
    <t>&gt;180</t>
  </si>
  <si>
    <t>&lt;=190</t>
  </si>
  <si>
    <t>Block 21: 190-200 mills/kWh</t>
  </si>
  <si>
    <t>&gt;190</t>
  </si>
  <si>
    <t>&lt;=200</t>
  </si>
  <si>
    <t>Block 22: &gt; 200 mills/kWh</t>
  </si>
  <si>
    <t>&gt;200</t>
  </si>
  <si>
    <t>&lt;=9999</t>
  </si>
  <si>
    <t>RECOMBINE MEASURE BUNDLES INTO SUPPLY CURVE INCREMENTAL</t>
  </si>
  <si>
    <t>Total per Year</t>
  </si>
  <si>
    <t>Total Cumulative</t>
  </si>
  <si>
    <t>Region</t>
  </si>
  <si>
    <t>Measure:</t>
  </si>
  <si>
    <t>Item</t>
  </si>
  <si>
    <t>Measures Described</t>
  </si>
  <si>
    <t>Energy Savings Calculation Basis</t>
  </si>
  <si>
    <t>None</t>
  </si>
  <si>
    <t>Applicable Stock</t>
  </si>
  <si>
    <t>Baseline Saturation</t>
  </si>
  <si>
    <t>Baseline HVAC Loads</t>
  </si>
  <si>
    <t>NA</t>
  </si>
  <si>
    <t>Permutations</t>
  </si>
  <si>
    <t>Costs</t>
  </si>
  <si>
    <t>Measure Life</t>
  </si>
  <si>
    <t>Savings Shape</t>
  </si>
  <si>
    <t>Achievability Ramp Rate</t>
  </si>
  <si>
    <t>Retro or LO</t>
  </si>
  <si>
    <t>Early Retrofit Parameters</t>
  </si>
  <si>
    <t>R or L</t>
  </si>
  <si>
    <t>Savings 2
(kWh)</t>
  </si>
  <si>
    <t>Remaining
Life (yrs)</t>
  </si>
  <si>
    <t>Salvage Value ($)</t>
  </si>
  <si>
    <t>R</t>
  </si>
  <si>
    <t>aMW</t>
  </si>
  <si>
    <t>Total</t>
  </si>
  <si>
    <t>Baseline Factor</t>
  </si>
  <si>
    <t>Plant Efficiency</t>
  </si>
  <si>
    <t>type</t>
  </si>
  <si>
    <t>mix</t>
  </si>
  <si>
    <t>lift</t>
  </si>
  <si>
    <t>psi</t>
  </si>
  <si>
    <t>Avg Lift</t>
  </si>
  <si>
    <t>Avg psi</t>
  </si>
  <si>
    <t>Avg Hours</t>
  </si>
  <si>
    <t>Average Nozzle Flow - Wheel/hand lines (gpm)</t>
  </si>
  <si>
    <t>Average Nozzle Flow - pivots/linear move (gpm)</t>
  </si>
  <si>
    <t>W. Idaho</t>
  </si>
  <si>
    <t>Wheel Lines/ Hand Lines</t>
  </si>
  <si>
    <t>Wells</t>
  </si>
  <si>
    <t>Surface Water</t>
  </si>
  <si>
    <t>Pivots/Linear Move</t>
  </si>
  <si>
    <t>E&amp;S Idaho</t>
  </si>
  <si>
    <t>Western WA/OR</t>
  </si>
  <si>
    <t>Eastern WA/OR</t>
  </si>
  <si>
    <t>Montana</t>
  </si>
  <si>
    <t>Applies To</t>
  </si>
  <si>
    <t>Savings Mechanism</t>
  </si>
  <si>
    <t>Measure-Specific Input Assumptions</t>
  </si>
  <si>
    <t>All Regions except E&amp;S Idaho</t>
  </si>
  <si>
    <t>E&amp;S Idaho only</t>
  </si>
  <si>
    <t>All Regions</t>
  </si>
  <si>
    <t>Average Flow of device</t>
  </si>
  <si>
    <t>% Savings Flow
(% hrs Savings)</t>
  </si>
  <si>
    <t>Flow reduction (gpm)</t>
  </si>
  <si>
    <t>Technical Life of the Item (years)</t>
  </si>
  <si>
    <t>Cost of Item</t>
  </si>
  <si>
    <t>Installation Cost</t>
  </si>
  <si>
    <t>Total Measure Cost</t>
  </si>
  <si>
    <t>Flow controlling type nozzles</t>
  </si>
  <si>
    <t>Wheel Line
Handline</t>
  </si>
  <si>
    <t>Impact Sprinklers</t>
  </si>
  <si>
    <t>uniformity (new nozzle)</t>
  </si>
  <si>
    <t>New nozzle</t>
  </si>
  <si>
    <t>Rebuilt or new impact sprinkler</t>
  </si>
  <si>
    <t>leaks
uniformity (distribution)</t>
  </si>
  <si>
    <t>Gaskets</t>
  </si>
  <si>
    <t>leaks</t>
  </si>
  <si>
    <t>Drains</t>
  </si>
  <si>
    <t>Cut and Press Repair</t>
  </si>
  <si>
    <t>Hubs</t>
  </si>
  <si>
    <t>Wheel Line (Thunderbird)</t>
  </si>
  <si>
    <t>Levelers</t>
  </si>
  <si>
    <t>Wheel Line</t>
  </si>
  <si>
    <t>New Sprinkler Package</t>
  </si>
  <si>
    <t>Center Pivot
Linear Move</t>
  </si>
  <si>
    <t>Impact Sprinklers
(conversion from)</t>
  </si>
  <si>
    <t>uniformity (new nozzle)
uniformity (distribution)
pressure?</t>
  </si>
  <si>
    <t>Goose neck</t>
  </si>
  <si>
    <t>uniformity (distribution)</t>
  </si>
  <si>
    <r>
      <t xml:space="preserve">Drop tubes
</t>
    </r>
    <r>
      <rPr>
        <sz val="8"/>
        <rFont val="Arial"/>
        <family val="2"/>
      </rPr>
      <t>(minimum 3 ft hose)</t>
    </r>
  </si>
  <si>
    <t>Boot Gasket</t>
  </si>
  <si>
    <t>Center Pivot</t>
  </si>
  <si>
    <t>Tower Gasket</t>
  </si>
  <si>
    <t>Source: 2006 - 2008 Idaho irrigation data from PacifiCorp</t>
  </si>
  <si>
    <t>Site Count</t>
  </si>
  <si>
    <t>Method</t>
  </si>
  <si>
    <t>Flow rate (gpm)</t>
  </si>
  <si>
    <t>Pumping Lift (ft)</t>
  </si>
  <si>
    <t>Discharge pressure (psi)</t>
  </si>
  <si>
    <t>TDH</t>
  </si>
  <si>
    <t>Eff</t>
  </si>
  <si>
    <t>Average Hours (kWh/kW, average for multiple years)</t>
  </si>
  <si>
    <t>Average Median Hours
(kWh/kW, median for multiple years)</t>
  </si>
  <si>
    <t>Average</t>
  </si>
  <si>
    <t>Flow-weighted average</t>
  </si>
  <si>
    <t>TDH-weighted average</t>
  </si>
  <si>
    <t>Source: 2009 - 2011 Idaho irrigation data from PacifiCorp</t>
  </si>
  <si>
    <t>System Type</t>
  </si>
  <si>
    <t>Count</t>
  </si>
  <si>
    <t>Average Values</t>
  </si>
  <si>
    <t>Verified at Pump</t>
  </si>
  <si>
    <t>Verified at Pivot</t>
  </si>
  <si>
    <t>TDH (ft.)</t>
  </si>
  <si>
    <t>Primary pump specs:</t>
  </si>
  <si>
    <t>Booster pump specs:</t>
  </si>
  <si>
    <t>GPM @ Pump</t>
  </si>
  <si>
    <t>Flow rate at pump (ft/sec)</t>
  </si>
  <si>
    <t>Pressure at Pump (PSI)</t>
  </si>
  <si>
    <t>GPM @ Pivot</t>
  </si>
  <si>
    <t>Flow rate at Pivot (ft/sec)</t>
  </si>
  <si>
    <t>Pressure at Pivot (PSI)</t>
  </si>
  <si>
    <t>HP</t>
  </si>
  <si>
    <t>rated motor kW</t>
  </si>
  <si>
    <t>Full load kW 
(spot reading)</t>
  </si>
  <si>
    <t>spot  reading avg PF</t>
  </si>
  <si>
    <t>Booster spot  reading kW</t>
  </si>
  <si>
    <t>Booster PF</t>
  </si>
  <si>
    <t>Booster pump kW</t>
  </si>
  <si>
    <t>canal</t>
  </si>
  <si>
    <t>handline</t>
  </si>
  <si>
    <t>pivot</t>
  </si>
  <si>
    <t>solid set</t>
  </si>
  <si>
    <t>wheel</t>
  </si>
  <si>
    <t>wheel and handlines</t>
  </si>
  <si>
    <t>(blank)</t>
  </si>
  <si>
    <t>All</t>
  </si>
  <si>
    <t>Type</t>
  </si>
  <si>
    <t>Canal</t>
  </si>
  <si>
    <t>Gravity</t>
  </si>
  <si>
    <t>Surface</t>
  </si>
  <si>
    <t>Well</t>
  </si>
  <si>
    <t>Source:  BPA irrigation pump tests in years 2002-2012</t>
  </si>
  <si>
    <t>Pump Type</t>
  </si>
  <si>
    <t>Motor Rated HP</t>
  </si>
  <si>
    <t>Rated RPM</t>
  </si>
  <si>
    <t>Motor Type</t>
  </si>
  <si>
    <t>Measured Volts</t>
  </si>
  <si>
    <t>Measured Amps</t>
  </si>
  <si>
    <t>Measured kW</t>
  </si>
  <si>
    <t>Overall Plant Efficiency</t>
  </si>
  <si>
    <t>Average Operating Hours</t>
  </si>
  <si>
    <t>Percent Loaded</t>
  </si>
  <si>
    <t>Engineer</t>
  </si>
  <si>
    <t>Associated File</t>
  </si>
  <si>
    <t>Individualizer</t>
  </si>
  <si>
    <t>Turbine-Sub</t>
  </si>
  <si>
    <t>Submersible</t>
  </si>
  <si>
    <t>Tom Osborn</t>
  </si>
  <si>
    <t>Linwood Farms Well#1 BB09-101.pdf</t>
  </si>
  <si>
    <t>BB711231Underwood WellA.pdf</t>
  </si>
  <si>
    <t>Centrifugal</t>
  </si>
  <si>
    <t>ODP</t>
  </si>
  <si>
    <t>Sunnyside Port of 2008.pdf</t>
  </si>
  <si>
    <t>Black Rock 2008.pdf</t>
  </si>
  <si>
    <t>BREA07-111 Pivot 18.pdf</t>
  </si>
  <si>
    <t>BREA07-110 Pivot 12.pdf</t>
  </si>
  <si>
    <t>BREA07-113 Pivot 21.pdf</t>
  </si>
  <si>
    <t>BREA07-112 Pivot 20.pdf</t>
  </si>
  <si>
    <t>BREA07-115 Pivot 23.pdf</t>
  </si>
  <si>
    <t>BREA07-114 Pivot 22.pdf</t>
  </si>
  <si>
    <t>BREA07-116 Pivot 15.pdf</t>
  </si>
  <si>
    <t>BREA07-101 River Station.pdf</t>
  </si>
  <si>
    <t>Kerns OT06-104.pdf</t>
  </si>
  <si>
    <t>BB06-105 Canyon Crest Frans Blk 21 Unit 1.pdf</t>
  </si>
  <si>
    <t>BB06-104 Ochoa T-16.pdf</t>
  </si>
  <si>
    <t>Well #2</t>
  </si>
  <si>
    <t>Well #6</t>
  </si>
  <si>
    <t>Well #9</t>
  </si>
  <si>
    <t>Well #10</t>
  </si>
  <si>
    <t>Well #14</t>
  </si>
  <si>
    <t>Well #15</t>
  </si>
  <si>
    <t>Booster</t>
  </si>
  <si>
    <t>Well # 15 Booster</t>
  </si>
  <si>
    <t>Well #16</t>
  </si>
  <si>
    <t>Well #18</t>
  </si>
  <si>
    <t>BB06-103 Herrman NW Blk 18 Unit 108.pdf</t>
  </si>
  <si>
    <t>BB06-102 Herrman NW Blk 18 Unit 179A&amp;B.pdf</t>
  </si>
  <si>
    <t>BB06-101 N.Metzger Blk 13 Unit 106.pdf</t>
  </si>
  <si>
    <t>OT06-102 Rufenacht Land at River.pdf</t>
  </si>
  <si>
    <t>OT06-101 Rufenacht Land Back of House.pdf</t>
  </si>
  <si>
    <t>OT06-103A Pickard Ranches.pdf</t>
  </si>
  <si>
    <t>Hassinger Dam Pump OT06-106.pdf</t>
  </si>
  <si>
    <t>Hassinger Apple Tree OT06-105.pdf</t>
  </si>
  <si>
    <t>Freeman 31 Aug 2010 Meter # 1 1323.xls</t>
  </si>
  <si>
    <t>Pump #4</t>
  </si>
  <si>
    <t>Freeman 31 Aug 2010 Meter # 2 2957.xls</t>
  </si>
  <si>
    <t>Pump #1</t>
  </si>
  <si>
    <t>Pump #2</t>
  </si>
  <si>
    <t>Pump #3</t>
  </si>
  <si>
    <t>Vertical Turbine</t>
  </si>
  <si>
    <t>Dick Stroh</t>
  </si>
  <si>
    <t>Idaho Falls Pump Data.xls</t>
  </si>
  <si>
    <t>Split–Case Centrifugal</t>
  </si>
  <si>
    <t>End Suction Centrifugal</t>
  </si>
  <si>
    <t>Mixed Flow</t>
  </si>
  <si>
    <t>Propeller</t>
  </si>
  <si>
    <t>*********</t>
  </si>
  <si>
    <t>Paddle Wheel</t>
  </si>
  <si>
    <t>Sum</t>
  </si>
  <si>
    <t>Max</t>
  </si>
  <si>
    <t>Min</t>
  </si>
  <si>
    <t>STD Dev</t>
  </si>
  <si>
    <t>Ratio of 2012$'s yo 2012$</t>
  </si>
  <si>
    <t>Extra Flow or Leak (gpm)</t>
  </si>
  <si>
    <t>AC-FT/yr</t>
  </si>
  <si>
    <t>psi @ Pump</t>
  </si>
  <si>
    <t>lift (ft)</t>
  </si>
  <si>
    <t>Total Head (ft)</t>
  </si>
  <si>
    <t>hp</t>
  </si>
  <si>
    <t>kW</t>
  </si>
  <si>
    <t>Hours of Operation per Season</t>
  </si>
  <si>
    <t>Savings (kWh/yr)</t>
  </si>
  <si>
    <t>Wheel/hand line systems: Replace worn nozzle with new flow controlling type nozzle for impact sprinklers - Eastern &amp; Southern Idaho</t>
  </si>
  <si>
    <t>Wheel/hand line systems: Replace worn nozzle with new nozzle - Eastern &amp; Southern Idaho</t>
  </si>
  <si>
    <t>Wheel/hand line systems: Rebuild or replace leaking impact sprinkler with new or rebuilt impact sprinkler - Eastern &amp; Southern Idaho</t>
  </si>
  <si>
    <t>Wheel/hand line systems: Replace leaking gasket with new gasket - Eastern &amp; Southern Idaho</t>
  </si>
  <si>
    <t>Wheel/hand line systems: Replace leaking drain with new drain - Eastern &amp; Southern Idaho</t>
  </si>
  <si>
    <t>Wheel/hand line systems: Cut and pipe press repair of leaking hand-lines, wheel-lines, and portable main-lines - Eastern &amp; Southern Idaho</t>
  </si>
  <si>
    <t>Thunderbird wheel line systems: Replace leaking hub with new hub - Eastern &amp; Southern Idaho</t>
  </si>
  <si>
    <t>Wheel line systems: Rebuild or replace leaking or malfunctioning leveler with new or rebuilt leveler. - Eastern &amp; Southern Idaho</t>
  </si>
  <si>
    <t>Center pivot/linear move systems: Install new sprinkler package on an existing system. - Eastern &amp; Southern Idaho</t>
  </si>
  <si>
    <t>Center pivot/linear move systems: New gooseneck elbows - Eastern &amp; Southern Idaho</t>
  </si>
  <si>
    <t>Center pivot/linear move systems: New drop tubes (3 feet minimum) - Eastern &amp; Southern Idaho</t>
  </si>
  <si>
    <t>Center pivot/linear move systems: Replace leaking pivot boot gasket with new pivot boot gasket - Eastern &amp; Southern Idaho</t>
  </si>
  <si>
    <t>Center pivot/linear move systems: Replace leaking tower gasket with new tower gasket - Eastern &amp; Southern Idaho</t>
  </si>
  <si>
    <t>Wheel/hand line systems: Replace worn nozzle with new flow controlling type nozzle for impact sprinklers - Western Idaho</t>
  </si>
  <si>
    <t>Wheel/hand line systems: Replace worn nozzle with new nozzle - Western Idaho</t>
  </si>
  <si>
    <t>Wheel/hand line systems: Rebuild or replace leaking impact sprinkler with new or rebuilt impact sprinkler - Western Idaho</t>
  </si>
  <si>
    <t>Wheel/hand line systems: Replace leaking gasket with new gasket - Western Idaho</t>
  </si>
  <si>
    <t>Wheel/hand line systems: Replace leaking drain with new drain - Western Idaho</t>
  </si>
  <si>
    <t>Wheel/hand line systems: Cut and pipe press repair of leaking hand-lines, wheel-lines, and portable main-lines - Western Idaho</t>
  </si>
  <si>
    <t>Thunderbird wheel line systems: Replace leaking hub with new hub - Western Idaho</t>
  </si>
  <si>
    <t>Wheel line systems: Rebuild or replace leaking or malfunctioning leveler with new or rebuilt leveler. - Western Idaho</t>
  </si>
  <si>
    <t>Center pivot/linear move systems: Install new sprinkler package on an existing system. - Western Idaho</t>
  </si>
  <si>
    <t>Center pivot/linear move systems: New gooseneck elbows - Western Idaho</t>
  </si>
  <si>
    <t>Center pivot/linear move systems: New drop tubes (3 feet minimum) - Western Idaho</t>
  </si>
  <si>
    <t>Center pivot/linear move systems: Replace leaking pivot boot gasket with new pivot boot gasket - Western Idaho</t>
  </si>
  <si>
    <t>Center pivot/linear move systems: Replace leaking tower gasket with new tower gasket - Western Idaho</t>
  </si>
  <si>
    <t>Wheel/hand line systems: Replace worn nozzle with new flow controlling type nozzle for impact sprinklers - Western Washington and Oregon</t>
  </si>
  <si>
    <t>Wheel/hand line systems: Replace worn nozzle with new nozzle - Western Washington and Oregon</t>
  </si>
  <si>
    <t>Wheel/hand line systems: Rebuild or replace leaking impact sprinkler with new or rebuilt impact sprinkler - Western Washington and Oregon</t>
  </si>
  <si>
    <t>Wheel/hand line systems: Replace leaking gasket with new gasket - Western Washington and Oregon</t>
  </si>
  <si>
    <t>Wheel/hand line systems: Replace leaking drain with new drain - Western Washington and Oregon</t>
  </si>
  <si>
    <t>Wheel/hand line systems: Cut and pipe press repair of leaking hand-lines, wheel-lines, and portable main-lines - Western Washington and Oregon</t>
  </si>
  <si>
    <t>Thunderbird wheel line systems: Replace leaking hub with new hub - Western Washington and Oregon</t>
  </si>
  <si>
    <t>Wheel line systems: Rebuild or replace leaking or malfunctioning leveler with new or rebuilt leveler. - Western Washington and Oregon</t>
  </si>
  <si>
    <t>Center pivot/linear move systems: Install new sprinkler package on an existing system. - Western Washington and Oregon</t>
  </si>
  <si>
    <t>Center pivot/linear move systems: New gooseneck elbows - Western Washington and Oregon</t>
  </si>
  <si>
    <t>Center pivot/linear move systems: New drop tubes (3 feet minimum) - Western Washington and Oregon</t>
  </si>
  <si>
    <t>Center pivot/linear move systems: Replace leaking pivot boot gasket with new pivot boot gasket - Western Washington and Oregon</t>
  </si>
  <si>
    <t>Center pivot/linear move systems: Replace leaking tower gasket with new tower gasket - Western Washington and Oregon</t>
  </si>
  <si>
    <t>Wheel/hand line systems: Replace worn nozzle with new flow controlling type nozzle for impact sprinklers - Eastern Washington and Oregon</t>
  </si>
  <si>
    <t>Wheel/hand line systems: Replace worn nozzle with new nozzle - Eastern Washington and Oregon</t>
  </si>
  <si>
    <t>Wheel/hand line systems: Rebuild or replace leaking impact sprinkler with new or rebuilt impact sprinkler - Eastern Washington and Oregon</t>
  </si>
  <si>
    <t>Wheel/hand line systems: Replace leaking gasket with new gasket - Eastern Washington and Oregon</t>
  </si>
  <si>
    <t>Wheel/hand line systems: Replace leaking drain with new drain - Eastern Washington and Oregon</t>
  </si>
  <si>
    <t>Wheel/hand line systems: Cut and pipe press repair of leaking hand-lines, wheel-lines, and portable main-lines - Eastern Washington and Oregon</t>
  </si>
  <si>
    <t>Thunderbird wheel line systems: Replace leaking hub with new hub - Eastern Washington and Oregon</t>
  </si>
  <si>
    <t>Wheel line systems: Rebuild or replace leaking or malfunctioning leveler with new or rebuilt leveler. - Eastern Washington and Oregon</t>
  </si>
  <si>
    <t>Center pivot/linear move systems: Install new sprinkler package on an existing system. - Eastern Washington and Oregon</t>
  </si>
  <si>
    <t>Center pivot/linear move systems: New gooseneck elbows - Eastern Washington and Oregon</t>
  </si>
  <si>
    <t>Center pivot/linear move systems: New drop tubes (3 feet minimum) - Eastern Washington and Oregon</t>
  </si>
  <si>
    <t>Center pivot/linear move systems: Replace leaking pivot boot gasket with new pivot boot gasket - Eastern Washington and Oregon</t>
  </si>
  <si>
    <t>Center pivot/linear move systems: Replace leaking tower gasket with new tower gasket - Eastern Washington and Oregon</t>
  </si>
  <si>
    <t>Wheel/hand line systems: Replace worn nozzle with new flow controlling type nozzle for impact sprinklers - Montana</t>
  </si>
  <si>
    <t>Wheel/hand line systems: Replace worn nozzle with new nozzle - Montana</t>
  </si>
  <si>
    <t>Wheel/hand line systems: Rebuild or replace leaking impact sprinkler with new or rebuilt impact sprinkler - Montana</t>
  </si>
  <si>
    <t>Wheel/hand line systems: Replace leaking gasket with new gasket - Montana</t>
  </si>
  <si>
    <t>Wheel/hand line systems: Replace leaking drain with new drain - Montana</t>
  </si>
  <si>
    <t>Wheel/hand line systems: Cut and pipe press repair of leaking hand-lines, wheel-lines, and portable main-lines - Montana</t>
  </si>
  <si>
    <t>Thunderbird wheel line systems: Replace leaking hub with new hub - Montana</t>
  </si>
  <si>
    <t>Wheel line systems: Rebuild or replace leaking or malfunctioning leveler with new or rebuilt leveler. - Montana</t>
  </si>
  <si>
    <t>Center pivot/linear move systems: Install new sprinkler package on an existing system. - Montana</t>
  </si>
  <si>
    <t>Center pivot/linear move systems: New gooseneck elbows - Montana</t>
  </si>
  <si>
    <t>Center pivot/linear move systems: New drop tubes (3 feet minimum) - Montana</t>
  </si>
  <si>
    <t>Center pivot/linear move systems: Replace leaking pivot boot gasket with new pivot boot gasket - Montana</t>
  </si>
  <si>
    <t>Center pivot/linear move systems: Replace leaking tower gasket with new tower gasket - Montana</t>
  </si>
  <si>
    <t>AgrIrrg</t>
  </si>
  <si>
    <t>Kincaid, DC, "Evaluation of low pressure center pivots, stationary laterals, spray losses, and reservoir tillage," USDA-ARS.</t>
  </si>
  <si>
    <t>loss reduction per foot of drop</t>
  </si>
  <si>
    <t># feet of drop required by measure</t>
  </si>
  <si>
    <t>ft</t>
  </si>
  <si>
    <t>King, BA et al, "Irrigation Uniformity," Bul 824, University of Idaho</t>
  </si>
  <si>
    <t>surface water % wheel lines</t>
  </si>
  <si>
    <t>surface water % pivots</t>
  </si>
  <si>
    <t>lift for wells</t>
  </si>
  <si>
    <t>lift for surface water</t>
  </si>
  <si>
    <t>psi for wheel/handlines</t>
  </si>
  <si>
    <t>psi for pivots/linear move</t>
  </si>
  <si>
    <t>hours</t>
  </si>
  <si>
    <t>surface water %</t>
  </si>
  <si>
    <t>lift for surface</t>
  </si>
  <si>
    <t>hours for W. OR/WA</t>
  </si>
  <si>
    <t>hours for E. OR/WA</t>
  </si>
  <si>
    <t>Pressure: W. ID Pivot</t>
  </si>
  <si>
    <t>Pressure: W. ID Other</t>
  </si>
  <si>
    <t>Hand &amp; Wheel Line</t>
  </si>
  <si>
    <t>Average Nozzle Flow</t>
  </si>
  <si>
    <t>gpm</t>
  </si>
  <si>
    <t>Tower Gasket Material Cost</t>
  </si>
  <si>
    <t>Tower Gasket Installation Cost</t>
  </si>
  <si>
    <t>Sprinkler Nozzle Sizes</t>
  </si>
  <si>
    <t>Eastern Idaho</t>
  </si>
  <si>
    <t>Southern Idaho</t>
  </si>
  <si>
    <t>Northern Nevada</t>
  </si>
  <si>
    <t>Size</t>
  </si>
  <si>
    <t># Lines</t>
  </si>
  <si>
    <t>Avg. Flow/Nozzle (gpm)</t>
  </si>
  <si>
    <t>7/64</t>
  </si>
  <si>
    <t>1/8</t>
  </si>
  <si>
    <t>9/64</t>
  </si>
  <si>
    <t>5/32</t>
  </si>
  <si>
    <t>11/64</t>
  </si>
  <si>
    <t>13/64</t>
  </si>
  <si>
    <t>7/32</t>
  </si>
  <si>
    <t>Total Laterals Sampled:</t>
  </si>
  <si>
    <t>Weighted Average Flow:</t>
  </si>
  <si>
    <t>Summary</t>
  </si>
  <si>
    <t>Area</t>
  </si>
  <si>
    <t>Avg. Lateral Pressure (psi)</t>
  </si>
  <si>
    <t>Weighted Avg. Flow (gpm)</t>
  </si>
  <si>
    <t>Results look similar to what Rick Rumsey reports (see above), so we'll use his value since his sample size is so much larger.</t>
  </si>
  <si>
    <t>Eastern Idaho:</t>
  </si>
  <si>
    <t>Southern Idaho:</t>
  </si>
  <si>
    <t>Northern Nevada:</t>
  </si>
  <si>
    <t>Number</t>
  </si>
  <si>
    <t>Idaho</t>
  </si>
  <si>
    <t>Oregon</t>
  </si>
  <si>
    <t>Washington</t>
  </si>
  <si>
    <t>Source: Dr. Howard Neibling, P.E, "Evaluation of Sprinkler Irrigation System Components in Southern Idaho."  University of Idaho Extension.  March 5, 2013.</t>
  </si>
  <si>
    <t>Table 2. Summary statistics for set system leaks.</t>
  </si>
  <si>
    <t>Type of
System</t>
  </si>
  <si>
    <t>Number of heads/drain valves tested</t>
  </si>
  <si>
    <t>Number of Leaks &gt; 0.1gpm and % of total tested</t>
  </si>
  <si>
    <t>Average per line</t>
  </si>
  <si>
    <t>Sprinkler positioner, bearing or riser elbow</t>
  </si>
  <si>
    <t>Drain valve</t>
  </si>
  <si>
    <t>Excess water applied,
%</t>
  </si>
  <si>
    <t>Excess annual
energy use, kWh/ac (assumes 2000h)</t>
  </si>
  <si>
    <t>Description</t>
  </si>
  <si>
    <t>Value</t>
  </si>
  <si>
    <t>Measurement</t>
  </si>
  <si>
    <t>N (systems)</t>
  </si>
  <si>
    <t>N (leaks)</t>
  </si>
  <si>
    <t>Standard wheel line</t>
  </si>
  <si>
    <t>76 (15%)</t>
  </si>
  <si>
    <t>29 (5.7%)</t>
  </si>
  <si>
    <t>38 (7.5%)</t>
  </si>
  <si>
    <t>Set</t>
  </si>
  <si>
    <t>Flow-weighted average leakage</t>
  </si>
  <si>
    <t>Bucket &amp; stopwatch</t>
  </si>
  <si>
    <t>Thunderbird®
wheel line</t>
  </si>
  <si>
    <t>60 (17%)</t>
  </si>
  <si>
    <t>9 (2.6%)</t>
  </si>
  <si>
    <t>120 of 692 (17%)</t>
  </si>
  <si>
    <t>Flow-weighted average excess water due to bad nozzle.</t>
  </si>
  <si>
    <t>Compare measured nozzle discharge versus rated</t>
  </si>
  <si>
    <t>Hand line</t>
  </si>
  <si>
    <t>12 (17%)</t>
  </si>
  <si>
    <t>6 (8.3%)</t>
  </si>
  <si>
    <t>Pivot</t>
  </si>
  <si>
    <t>can-weighted (proxy for flow) average leakage</t>
  </si>
  <si>
    <t>can-weighted (proxy for flow) average excess hours due to poor uniformity (using the low quartile method)</t>
  </si>
  <si>
    <t>Uniformity test with Catch Cans</t>
  </si>
  <si>
    <t>gasket</t>
  </si>
  <si>
    <t>Average leakage rate of leaking gasket</t>
  </si>
  <si>
    <t>drain</t>
  </si>
  <si>
    <t>Average leakage rate of leaking drain valve</t>
  </si>
  <si>
    <t>Table 3. Summary statistics for standard wheel line leaks.</t>
  </si>
  <si>
    <t>pipe</t>
  </si>
  <si>
    <t>Average leakage rate of leaking pipe</t>
  </si>
  <si>
    <t>System
ID#</t>
  </si>
  <si>
    <t>Years since maintenance</t>
  </si>
  <si>
    <t>#
heads</t>
  </si>
  <si>
    <t>#
leaks</t>
  </si>
  <si>
    <t>Total leaks, gpm</t>
  </si>
  <si>
    <t>% of system flow</t>
  </si>
  <si>
    <t>Extra annual kWh used per acre served
by line (assumes
2000h)</t>
  </si>
  <si>
    <t>System Flow</t>
  </si>
  <si>
    <t>Thunderbird hub</t>
  </si>
  <si>
    <t>Average leakage rate of leaking Thunderbird hub</t>
  </si>
  <si>
    <t>WL1</t>
  </si>
  <si>
    <t>leveler</t>
  </si>
  <si>
    <t>Average leakage rate of leaking leveler</t>
  </si>
  <si>
    <t>WL2</t>
  </si>
  <si>
    <t>sprinkler</t>
  </si>
  <si>
    <t>Average leakage rate of leaking sprinkler</t>
  </si>
  <si>
    <t>WL3</t>
  </si>
  <si>
    <t>tower boot</t>
  </si>
  <si>
    <t>Average leakage rate of leaking pivot boot</t>
  </si>
  <si>
    <t>WL4</t>
  </si>
  <si>
    <t>WL5</t>
  </si>
  <si>
    <t>WL6</t>
  </si>
  <si>
    <t>WL7</t>
  </si>
  <si>
    <t>Refurbished
2012</t>
  </si>
  <si>
    <t>WL8</t>
  </si>
  <si>
    <t>15-20</t>
  </si>
  <si>
    <t>WL9</t>
  </si>
  <si>
    <t>WL10</t>
  </si>
  <si>
    <t>WL11</t>
  </si>
  <si>
    <t>As needed</t>
  </si>
  <si>
    <t>WL12</t>
  </si>
  <si>
    <t>WL13</t>
  </si>
  <si>
    <t>20+</t>
  </si>
  <si>
    <t>WL14</t>
  </si>
  <si>
    <t>WL15</t>
  </si>
  <si>
    <t>WL16</t>
  </si>
  <si>
    <t>Table 4. Summary statistics for Thunderbird® wheel line leaks.</t>
  </si>
  <si>
    <t>Extra annual kWh used per acre served by line (assumes 2000h)</t>
  </si>
  <si>
    <t>TB1</t>
  </si>
  <si>
    <t>TB2</t>
  </si>
  <si>
    <t>TB3</t>
  </si>
  <si>
    <t>Replace as needed</t>
  </si>
  <si>
    <t>TB4</t>
  </si>
  <si>
    <t>TB5</t>
  </si>
  <si>
    <t>TB6</t>
  </si>
  <si>
    <t>TB7</t>
  </si>
  <si>
    <t>TB8</t>
  </si>
  <si>
    <t>TB9</t>
  </si>
  <si>
    <t>TB10</t>
  </si>
  <si>
    <t>TB11</t>
  </si>
  <si>
    <t>TB12</t>
  </si>
  <si>
    <t>Table 5. Summary statistics for hand line leaks.</t>
  </si>
  <si>
    <t>Extra annual kWh used per acre served
by line (assumes 2000h)</t>
  </si>
  <si>
    <t>Line 1</t>
  </si>
  <si>
    <t>Line 2</t>
  </si>
  <si>
    <t>Line 3</t>
  </si>
  <si>
    <t>Line 4</t>
  </si>
  <si>
    <t>Line 5</t>
  </si>
  <si>
    <t>Table 6. Summary table for types of Standard wheel line leaks.</t>
  </si>
  <si>
    <t>Leak type</t>
  </si>
  <si>
    <t>Maximum gpm</t>
  </si>
  <si>
    <t>Minimum gpm</t>
  </si>
  <si>
    <t>Average gpm</t>
  </si>
  <si>
    <t>Standard deviation, gpm</t>
  </si>
  <si>
    <t>product (gpm*number)</t>
  </si>
  <si>
    <t>number</t>
  </si>
  <si>
    <t>Gasket</t>
  </si>
  <si>
    <t>Gear flange</t>
  </si>
  <si>
    <t>Sprinkler bearing</t>
  </si>
  <si>
    <t>Nelson rotator</t>
  </si>
  <si>
    <t>Puncture</t>
  </si>
  <si>
    <t>Split weld</t>
  </si>
  <si>
    <t>Split pipe</t>
  </si>
  <si>
    <t>Riser leak</t>
  </si>
  <si>
    <t>Hose</t>
  </si>
  <si>
    <t>not a measure</t>
  </si>
  <si>
    <t>Sprinkler positioner</t>
  </si>
  <si>
    <t>Riser elbow</t>
  </si>
  <si>
    <t>Table 7. Summary table for types of Thunderbird® wheel line leaks.</t>
  </si>
  <si>
    <t>Table 8. Summary table for types of hand line leaks.</t>
  </si>
  <si>
    <t>Riser saddle</t>
  </si>
  <si>
    <t>Table 9. Summary statistics for center pivot system leaks.</t>
  </si>
  <si>
    <t>System age, years</t>
  </si>
  <si>
    <t>Total leaks</t>
  </si>
  <si>
    <t>Number and type of leaks</t>
  </si>
  <si>
    <t>Total leaks for type, gpm</t>
  </si>
  <si>
    <t>Total system leaks, gpm</t>
  </si>
  <si>
    <t>Excess annual
energy
use, kWh/ac (assumes
2000h)</t>
  </si>
  <si>
    <t>Cans (used as a proxy for flow)</t>
  </si>
  <si>
    <t>Total System Leaks (gpm)</t>
  </si>
  <si>
    <t>Excess water (%)</t>
  </si>
  <si>
    <t>Flow (gpm)</t>
  </si>
  <si>
    <t>HP1</t>
  </si>
  <si>
    <t>HP2</t>
  </si>
  <si>
    <t>3 Tower boot</t>
  </si>
  <si>
    <t>HP3</t>
  </si>
  <si>
    <t>8 sprinkler bearing</t>
  </si>
  <si>
    <t>HP4</t>
  </si>
  <si>
    <t>Avg.</t>
  </si>
  <si>
    <t>LP1</t>
  </si>
  <si>
    <t>LP2</t>
  </si>
  <si>
    <t>LP3</t>
  </si>
  <si>
    <t>2 Tower boot</t>
  </si>
  <si>
    <t>2 Drain valve</t>
  </si>
  <si>
    <t>1 missing nozzle</t>
  </si>
  <si>
    <t>LP4</t>
  </si>
  <si>
    <t>4-6</t>
  </si>
  <si>
    <t>Booster pump</t>
  </si>
  <si>
    <t>LP5</t>
  </si>
  <si>
    <t>30-35</t>
  </si>
  <si>
    <t>LP6</t>
  </si>
  <si>
    <t>LP7</t>
  </si>
  <si>
    <t>16-20</t>
  </si>
  <si>
    <t>1 Tower boot</t>
  </si>
  <si>
    <t>LP8</t>
  </si>
  <si>
    <t>1 Pivot boot</t>
  </si>
  <si>
    <t>2 pipe leaks</t>
  </si>
  <si>
    <t>LP9</t>
  </si>
  <si>
    <t>1 Drain valve</t>
  </si>
  <si>
    <t>LP10</t>
  </si>
  <si>
    <t>3 Drain valve</t>
  </si>
  <si>
    <t>LP11</t>
  </si>
  <si>
    <t>used</t>
  </si>
  <si>
    <t>LP12</t>
  </si>
  <si>
    <t>LP13</t>
  </si>
  <si>
    <t>LP14</t>
  </si>
  <si>
    <t>LP15</t>
  </si>
  <si>
    <t>2 pivot riser gasket leaks</t>
  </si>
  <si>
    <t>1 gooseneck</t>
  </si>
  <si>
    <t>LP16</t>
  </si>
  <si>
    <t>4 Tower boot</t>
  </si>
  <si>
    <t>1 pipe flange</t>
  </si>
  <si>
    <t>LP17</t>
  </si>
  <si>
    <t>Average leak (gpm)</t>
  </si>
  <si>
    <t>LP18</t>
  </si>
  <si>
    <t>Hose off fitting</t>
  </si>
  <si>
    <t>Tower Boot</t>
  </si>
  <si>
    <t>LP19</t>
  </si>
  <si>
    <t>Sprinkler Bearing</t>
  </si>
  <si>
    <t>LP20</t>
  </si>
  <si>
    <t>Drain Valve</t>
  </si>
  <si>
    <t>LP21</t>
  </si>
  <si>
    <t>Pivot Boot</t>
  </si>
  <si>
    <t>LP22</t>
  </si>
  <si>
    <t>Pipe Leaks</t>
  </si>
  <si>
    <t>LP23</t>
  </si>
  <si>
    <t>Pivot Riser Gasket</t>
  </si>
  <si>
    <t>LP24</t>
  </si>
  <si>
    <t>Gooseneck</t>
  </si>
  <si>
    <t>LP25</t>
  </si>
  <si>
    <t>Missing Nozzle</t>
  </si>
  <si>
    <t>Pipe Flange</t>
  </si>
  <si>
    <t>Booster Pump</t>
  </si>
  <si>
    <t>Table 10. Summary statistics for set system incorrect nozzle size and excess flow due to worn nozzles.</t>
  </si>
  <si>
    <t>Number
and percent of
incorrectly
sized nozzles</t>
  </si>
  <si>
    <t>Average per-line
excess water applied due to
wrong size or
worn nozzles
%</t>
  </si>
  <si>
    <t>Average excess energy use, kWh/ac
(assumes 2000h)</t>
  </si>
  <si>
    <t>55 (11%)</t>
  </si>
  <si>
    <t>11 (3.2%)</t>
  </si>
  <si>
    <t>21 (29%)</t>
  </si>
  <si>
    <t>Table 11. Summary statistics for standard wheel line worn nozzles.</t>
  </si>
  <si>
    <t>Low /high
Flow</t>
  </si>
  <si>
    <t>Mean excess
flow,
gpm</t>
  </si>
  <si>
    <t>Std
Dev of excess flow</t>
  </si>
  <si>
    <t>Total
Excess Flow, gpm</t>
  </si>
  <si>
    <t>Excess flow, % of
system
flow</t>
  </si>
  <si>
    <t>Extra kWh/ac served by line due to worn
nozzles
(assumes 2000h)</t>
  </si>
  <si>
    <t>kWh/gpm leak</t>
  </si>
  <si>
    <t>-0.32/1.02</t>
  </si>
  <si>
    <t>NT</t>
  </si>
  <si>
    <t>-0.17/1.19</t>
  </si>
  <si>
    <t>-0.75/0.35</t>
  </si>
  <si>
    <t>-0.85/1.15</t>
  </si>
  <si>
    <t>-0.36/1.80</t>
  </si>
  <si>
    <t>0.1/0.5</t>
  </si>
  <si>
    <t>0/1.75</t>
  </si>
  <si>
    <t>-0.26/5.0</t>
  </si>
  <si>
    <t>-0.75/3.06</t>
  </si>
  <si>
    <t>-0.45/0.95</t>
  </si>
  <si>
    <t>-035/2.02</t>
  </si>
  <si>
    <t>-0.20/1.90</t>
  </si>
  <si>
    <t>-1.19/320</t>
  </si>
  <si>
    <t>0.21/4.01</t>
  </si>
  <si>
    <t>-0.42/0.27</t>
  </si>
  <si>
    <t>flow-weighted</t>
  </si>
  <si>
    <t>energy savings-weighted</t>
  </si>
  <si>
    <t>Table 12. Summary statistics for Thunderbird® wheel line worn nozzles.</t>
  </si>
  <si>
    <t>Std. Dev of
excess
flow</t>
  </si>
  <si>
    <t>0.15/1.07</t>
  </si>
  <si>
    <t>0.11/1.56</t>
  </si>
  <si>
    <t>0.85/1.65</t>
  </si>
  <si>
    <t>0.02/0.51</t>
  </si>
  <si>
    <t>-0.09/0.73</t>
  </si>
  <si>
    <t>-0.23/1.02</t>
  </si>
  <si>
    <t>-0.19/2.10</t>
  </si>
  <si>
    <t>-0.32/0.78</t>
  </si>
  <si>
    <t>0.25/0.61</t>
  </si>
  <si>
    <t>0.13/1.95</t>
  </si>
  <si>
    <t>-0.38/2.20</t>
  </si>
  <si>
    <t>-0.12/1.18</t>
  </si>
  <si>
    <t>Table 13. Summary statistics for hand line worn nozzles.</t>
  </si>
  <si>
    <t>Extra kWh used per acre served by line
(assumes 2000h)
due to worn nozzles</t>
  </si>
  <si>
    <t>-0.41/2.25</t>
  </si>
  <si>
    <t>-0.18/0.85</t>
  </si>
  <si>
    <t>-0.10/1.81</t>
  </si>
  <si>
    <t>-0.50/2.01</t>
  </si>
  <si>
    <t>Table 14. Summary statistics for center pivot uniformity.</t>
  </si>
  <si>
    <t>Application package</t>
  </si>
  <si>
    <t>#
cans</t>
  </si>
  <si>
    <t>Pivot
CU
%</t>
  </si>
  <si>
    <t>Mean application rate, inches</t>
  </si>
  <si>
    <r>
      <t>Extra
passes required to erase LQ deficit</t>
    </r>
    <r>
      <rPr>
        <sz val="7"/>
        <color indexed="8"/>
        <rFont val="Calibri"/>
        <family val="1"/>
        <charset val="204"/>
      </rPr>
      <t>2</t>
    </r>
  </si>
  <si>
    <t>Extra
hours above good system</t>
  </si>
  <si>
    <t>Extra
kWh/ac above good system</t>
  </si>
  <si>
    <t>Extra flow</t>
  </si>
  <si>
    <t>impact</t>
  </si>
  <si>
    <t>15psi wobbler</t>
  </si>
  <si>
    <t>15 psi Iwob</t>
  </si>
  <si>
    <t>20 psi rotator</t>
  </si>
  <si>
    <t>30 psi rotator</t>
  </si>
  <si>
    <t>New
2012</t>
  </si>
  <si>
    <t>15psi
40”high</t>
  </si>
  <si>
    <t>20 psi</t>
  </si>
  <si>
    <t>30 psi</t>
  </si>
  <si>
    <t>Tested for leaks only</t>
  </si>
  <si>
    <t>A “good” system (CU=93-94) requires 3 extra passes.</t>
  </si>
  <si>
    <t>Table 15. Estimated crop yield reduction in low quarter of the center pivot irrigated fields.</t>
  </si>
  <si>
    <t>CU
range</t>
  </si>
  <si>
    <t>Percent of tested
systems in CU
range</t>
  </si>
  <si>
    <t>Deficit in
LQ area after applying
28 inches irrigation,
inches</t>
  </si>
  <si>
    <r>
      <t>ET
deficit,
%</t>
    </r>
    <r>
      <rPr>
        <sz val="7"/>
        <color indexed="8"/>
        <rFont val="Cambria"/>
        <family val="1"/>
        <charset val="204"/>
      </rPr>
      <t>3</t>
    </r>
  </si>
  <si>
    <t>Spring wheat yield reduction,
%</t>
  </si>
  <si>
    <t>Alfalfa yield reduction, T/ac</t>
  </si>
  <si>
    <t>Sugar beet sugar yield
reduction,
%</t>
  </si>
  <si>
    <t>Potato tuber yield reduction,
%</t>
  </si>
  <si>
    <t>70-79</t>
  </si>
  <si>
    <t>80-85</t>
  </si>
  <si>
    <t>85-89</t>
  </si>
  <si>
    <t>90-94</t>
  </si>
  <si>
    <t>3 Assumes no soil water storage</t>
  </si>
  <si>
    <t>Appendix A</t>
  </si>
  <si>
    <t>Average Standard Nozzle Flow</t>
  </si>
  <si>
    <t>nozzle count</t>
  </si>
  <si>
    <t>Handline</t>
  </si>
  <si>
    <t>Thunderbird</t>
  </si>
  <si>
    <t>PacifiCorp_IrrigationEnergySavers_2009_2011_Raw Data 2012_12_10-cleaned 021413_DONOTDISTRIBUTE.xlsx</t>
  </si>
  <si>
    <t>Source: Dr. Howard Neibling, P.E, "Evaluation of Sprinkler Irrigation System Components in Southern Idaho."  University of Idaho Extension.  March 5, 2013.  Appendix A.</t>
  </si>
  <si>
    <t>Pivot-high pressure</t>
  </si>
  <si>
    <t>Pivot-low pressure</t>
  </si>
  <si>
    <t>Field ID/System:</t>
  </si>
  <si>
    <t>Page 1 of 1</t>
  </si>
  <si>
    <t>LAT:</t>
  </si>
  <si>
    <t>LON:</t>
  </si>
  <si>
    <t xml:space="preserve">Start PSI: </t>
  </si>
  <si>
    <t>End PSI:</t>
  </si>
  <si>
    <t>Pictures</t>
  </si>
  <si>
    <t>Joseph modified 12/14/12</t>
  </si>
  <si>
    <t>nozzle #</t>
  </si>
  <si>
    <t>measured discharge, gpm for standard wheel line laterals   brass impact unless noted otherwise</t>
  </si>
  <si>
    <t>42°57'08"N</t>
  </si>
  <si>
    <t>114°59'36"W</t>
  </si>
  <si>
    <t>1728-1734</t>
  </si>
  <si>
    <t>42°31'18"N</t>
  </si>
  <si>
    <t>114°21'40"W</t>
  </si>
  <si>
    <t>0057-0058</t>
  </si>
  <si>
    <t>Tower elev: 3961 Endgun elev:3965 when tested</t>
  </si>
  <si>
    <t>42°43'9"N</t>
  </si>
  <si>
    <t>113°45'45"W</t>
  </si>
  <si>
    <t>1574 1575</t>
  </si>
  <si>
    <t>42°38'04.19" N</t>
  </si>
  <si>
    <t>114°29'40" W</t>
  </si>
  <si>
    <t>Dick Elliot/North 2 Tower Uniformity/55-60 PSI at pump/canal source</t>
  </si>
  <si>
    <t>Tower elev: 3286 Endgun elev:3280</t>
  </si>
  <si>
    <t>Shewmaker/5th season/original package/wobbler/15psi reg/40-45psi at pump/14ft spacing drop downs/ 5ft ground/source at pump</t>
  </si>
  <si>
    <t>Don Sir/700N/TB/60-65 Pump PSI/Deep Well 240'</t>
  </si>
  <si>
    <t>Start elev: 4228 End elev:4240 when tested</t>
  </si>
  <si>
    <t>R2000</t>
  </si>
  <si>
    <t>Jessie/South handline/70 at pump/pond fed</t>
  </si>
  <si>
    <t>Start elev: 3626 End elev:3626 Middle elev: 3623 when tested</t>
  </si>
  <si>
    <t>Riser/Pipe</t>
  </si>
  <si>
    <t>Inches</t>
  </si>
  <si>
    <t>Leaks @ GPM</t>
  </si>
  <si>
    <t>Type of Leak</t>
  </si>
  <si>
    <t>Nozzle Flow@ 30 sec.</t>
  </si>
  <si>
    <t>Nozzle Size</t>
  </si>
  <si>
    <t>Type of Sprinkler</t>
  </si>
  <si>
    <t>Picture</t>
  </si>
  <si>
    <t>Other Info</t>
  </si>
  <si>
    <t>KEY</t>
  </si>
  <si>
    <t>Leak</t>
  </si>
  <si>
    <t>No Leak</t>
  </si>
  <si>
    <t>DV Leaks</t>
  </si>
  <si>
    <t>Gasket Leaks</t>
  </si>
  <si>
    <t>Nozzle Flow @1 min</t>
  </si>
  <si>
    <t>Standard Nozzle GPM</t>
  </si>
  <si>
    <t>Nozzle Waste GPM</t>
  </si>
  <si>
    <t>Wrong Nozzle Size</t>
  </si>
  <si>
    <t>Correct Nozzle Size</t>
  </si>
  <si>
    <t>2 mo</t>
  </si>
  <si>
    <t>W1</t>
  </si>
  <si>
    <t xml:space="preserve"> </t>
  </si>
  <si>
    <t>SP</t>
  </si>
  <si>
    <t>B</t>
  </si>
  <si>
    <t>9'64</t>
  </si>
  <si>
    <t>DV=</t>
  </si>
  <si>
    <t>42°30'41" N</t>
  </si>
  <si>
    <t>114°24'03" W</t>
  </si>
  <si>
    <t>38-45</t>
  </si>
  <si>
    <t>Broken Sprinkler</t>
  </si>
  <si>
    <t>G=</t>
  </si>
  <si>
    <t>Leal Schoessler/55PSI at pump/Gravity fed</t>
  </si>
  <si>
    <t>all should be 9/64</t>
  </si>
  <si>
    <t>Start elev: 3895 End elev:3886 when tested</t>
  </si>
  <si>
    <t>GF=</t>
  </si>
  <si>
    <t>Gear Flange</t>
  </si>
  <si>
    <t>R=</t>
  </si>
  <si>
    <t>Rotator/Nelson</t>
  </si>
  <si>
    <t>G</t>
  </si>
  <si>
    <t>B=</t>
  </si>
  <si>
    <t>Bird Impact Sprinkler</t>
  </si>
  <si>
    <t>5'32</t>
  </si>
  <si>
    <t>1'8</t>
  </si>
  <si>
    <t>P=</t>
  </si>
  <si>
    <t>W3</t>
  </si>
  <si>
    <t>W=</t>
  </si>
  <si>
    <t>Split Weld</t>
  </si>
  <si>
    <t>DV</t>
  </si>
  <si>
    <t>3'16</t>
  </si>
  <si>
    <t>S=</t>
  </si>
  <si>
    <t>Split</t>
  </si>
  <si>
    <t>n=</t>
  </si>
  <si>
    <t>RL=</t>
  </si>
  <si>
    <t>Riser Leak</t>
  </si>
  <si>
    <t>total =</t>
  </si>
  <si>
    <t>H=</t>
  </si>
  <si>
    <t>max=</t>
  </si>
  <si>
    <t>total</t>
  </si>
  <si>
    <t>SP=</t>
  </si>
  <si>
    <t>min=</t>
  </si>
  <si>
    <t>RE=</t>
  </si>
  <si>
    <t>Riser Elbow</t>
  </si>
  <si>
    <t>avg=</t>
  </si>
  <si>
    <t>std=</t>
  </si>
  <si>
    <t>Connection Leak</t>
  </si>
  <si>
    <t>Nelson Rubber Nozzle</t>
  </si>
  <si>
    <t>W2</t>
  </si>
  <si>
    <t>0062</t>
  </si>
  <si>
    <t>0063</t>
  </si>
  <si>
    <t>0061</t>
  </si>
  <si>
    <t>Nelson Rubber nozzle</t>
  </si>
  <si>
    <t>RE</t>
  </si>
  <si>
    <t>See Picture</t>
  </si>
  <si>
    <t>P</t>
  </si>
  <si>
    <t>Drive line ended</t>
  </si>
  <si>
    <t>927/926</t>
  </si>
  <si>
    <t>0060</t>
  </si>
  <si>
    <t>Page 1 of 2</t>
  </si>
  <si>
    <t>42°57'02.40"N</t>
  </si>
  <si>
    <t>114°59'45"W</t>
  </si>
  <si>
    <t>1718-1727</t>
  </si>
  <si>
    <t>0059</t>
  </si>
  <si>
    <t>PSI</t>
  </si>
  <si>
    <t>Dick Elliot/West 3 Tower Pivot Uniformity/55-60 PSI at pump/canal source</t>
  </si>
  <si>
    <t>Tower elev: 3269 Endgun elev:3275</t>
  </si>
  <si>
    <t>Climbes</t>
  </si>
  <si>
    <t>a Hill</t>
  </si>
  <si>
    <t>Road guard</t>
  </si>
  <si>
    <t>11'64</t>
  </si>
  <si>
    <t>42°42'56.75"N</t>
  </si>
  <si>
    <t>113°45'42"W</t>
  </si>
  <si>
    <t>1597-1576</t>
  </si>
  <si>
    <t>Start elev: 4233 End elev:4234 when tested</t>
  </si>
  <si>
    <t>Link Pictures later</t>
  </si>
  <si>
    <t>42°30'52" N</t>
  </si>
  <si>
    <t>114°24'11" W</t>
  </si>
  <si>
    <t>End Cap</t>
  </si>
  <si>
    <t>Leal Schoessler/leaks only/55PSI at pump/Gravity fed</t>
  </si>
  <si>
    <t>Start elev: 3881 End elev: 3871 when tested</t>
  </si>
  <si>
    <t>42°38'15.30" N</t>
  </si>
  <si>
    <t>114°29'59" W</t>
  </si>
  <si>
    <t>C</t>
  </si>
  <si>
    <t>Jessie/South west handline/70 at pump/pond fed</t>
  </si>
  <si>
    <t>Start elev: 3609 End elev:3609 when tested</t>
  </si>
  <si>
    <t>S</t>
  </si>
  <si>
    <t>Horizontal DV</t>
  </si>
  <si>
    <t>RL</t>
  </si>
  <si>
    <t>Nelson Pressure Nozzle</t>
  </si>
  <si>
    <t>End cap</t>
  </si>
  <si>
    <t>42°38'14" N</t>
  </si>
  <si>
    <t>114°29'55.5" W</t>
  </si>
  <si>
    <t>42°30'33" N</t>
  </si>
  <si>
    <t>114°24'04" W</t>
  </si>
  <si>
    <t>0055</t>
  </si>
  <si>
    <t>Jessie/South south west handline/</t>
  </si>
  <si>
    <t>Start elev: 3610 End elev:3604 when tested</t>
  </si>
  <si>
    <t>Leal Schoessler/wheat/55PSI at pump/Gravity fed</t>
  </si>
  <si>
    <t>Start elev: 3902 End elev: 3891 when tested</t>
  </si>
  <si>
    <t>W0</t>
  </si>
  <si>
    <t>42°15'8"N</t>
  </si>
  <si>
    <t>113°52'46"W</t>
  </si>
  <si>
    <t>Randy Hardy/20 year old TB/North line/Replaced birds,Nozzles and gaskets when/at random/Oakley reservoir 65PSI multi speed pump</t>
  </si>
  <si>
    <t>Start elev: 4558 End elev:4551when tested</t>
  </si>
  <si>
    <t>42°25'29" N</t>
  </si>
  <si>
    <t>114°15'1" W</t>
  </si>
  <si>
    <t>42°32'39"N</t>
  </si>
  <si>
    <t>114°18'58"W</t>
  </si>
  <si>
    <t>Tower elev: 3976 Endgun elev:3957 when tested</t>
  </si>
  <si>
    <t>Poncho/handline/60PSI at pump/should be 40 to 50 at riser/ depending on load</t>
  </si>
  <si>
    <t>9/64 or 1/8</t>
  </si>
  <si>
    <t>Start elev: 4204 End elev: 4203 when tested</t>
  </si>
  <si>
    <t>Larry/3 years old</t>
  </si>
  <si>
    <t>15 psi Iwob, 5.5 ft high about 90" spacing</t>
  </si>
  <si>
    <t>N</t>
  </si>
  <si>
    <t>Stuck</t>
  </si>
  <si>
    <t>Red Nozzle</t>
  </si>
  <si>
    <t>Page 2 of 2</t>
  </si>
  <si>
    <t>GF</t>
  </si>
  <si>
    <t>Poncho/handline/should be 40 to 50 at riser/ depending on load</t>
  </si>
  <si>
    <t>IN LINE</t>
  </si>
  <si>
    <t>R1</t>
  </si>
  <si>
    <t>42°30'50" N</t>
  </si>
  <si>
    <t>114°24'08" W</t>
  </si>
  <si>
    <t>Leal Schoessler/beans/55PSI at pump/Gravity fed</t>
  </si>
  <si>
    <t>WHN corrected</t>
  </si>
  <si>
    <t>gold nozzle R2000 WHN</t>
  </si>
  <si>
    <t>Start elev: 3885 End elev: 3874 when tested</t>
  </si>
  <si>
    <t>Leaks ARE NOT in Order</t>
  </si>
  <si>
    <t>42°57'02.50"N</t>
  </si>
  <si>
    <t>114°59'27"W</t>
  </si>
  <si>
    <t>1743-1752</t>
  </si>
  <si>
    <t>42°15'4"N</t>
  </si>
  <si>
    <t>113°52'47"W</t>
  </si>
  <si>
    <t>R2</t>
  </si>
  <si>
    <t>Dick Elliot/South East 3 Tower Pivot Uniformity/55-60 PSI at pump/canal source</t>
  </si>
  <si>
    <t>Tower elev: 3273 Endgun elev:3274</t>
  </si>
  <si>
    <t>Randy Hardy/20 year old TB/South line/Replaced birds,Nozzles and gaskets when/at random/Oakley reservoir 65PSI multi speed pump</t>
  </si>
  <si>
    <t>Start elev: 4561 End elev: 4554 when tested</t>
  </si>
  <si>
    <t>R3</t>
  </si>
  <si>
    <t>R4</t>
  </si>
  <si>
    <t>R5</t>
  </si>
  <si>
    <t>R6</t>
  </si>
  <si>
    <t>42°32'58" N</t>
  </si>
  <si>
    <t>114°20'31.50" W</t>
  </si>
  <si>
    <t>U of I Kimberly/East of new shop/wheel line</t>
  </si>
  <si>
    <t>Start elev: 3908 End elev: 3909 when tested</t>
  </si>
  <si>
    <t>42°36'36"N</t>
  </si>
  <si>
    <t>113°50'20"W</t>
  </si>
  <si>
    <t>Dusty Wilkins/15-20 year old TB/5 year Nozzles and gaskets/ Paul, ID/60-65 pump/gravity fed</t>
  </si>
  <si>
    <t>Start elev: 4154 End elev: 4154 when tested</t>
  </si>
  <si>
    <t>R7</t>
  </si>
  <si>
    <t>0332</t>
  </si>
  <si>
    <t>0330/0293</t>
  </si>
  <si>
    <t>0329</t>
  </si>
  <si>
    <t>R8</t>
  </si>
  <si>
    <t>FULL</t>
  </si>
  <si>
    <t>0328</t>
  </si>
  <si>
    <t>R9</t>
  </si>
  <si>
    <t>0327</t>
  </si>
  <si>
    <t>Tower elev: 3273 Endgun elev:3287 when tested</t>
  </si>
  <si>
    <t>0326</t>
  </si>
  <si>
    <t>0324</t>
  </si>
  <si>
    <t>0323</t>
  </si>
  <si>
    <t>0322/0297</t>
  </si>
  <si>
    <t>0321</t>
  </si>
  <si>
    <t>R10</t>
  </si>
  <si>
    <t>42°30'21" N</t>
  </si>
  <si>
    <t>114°24'38" W</t>
  </si>
  <si>
    <t>Ronnie Lee</t>
  </si>
  <si>
    <t>used 9/64 for all</t>
  </si>
  <si>
    <t>Start elev: 3897 End elev: 3897 when tested</t>
  </si>
  <si>
    <t>R11</t>
  </si>
  <si>
    <t>0714</t>
  </si>
  <si>
    <t>0716/0717</t>
  </si>
  <si>
    <t>113°50'25"W</t>
  </si>
  <si>
    <t>0718</t>
  </si>
  <si>
    <t>0719</t>
  </si>
  <si>
    <t>0720</t>
  </si>
  <si>
    <t>R12</t>
  </si>
  <si>
    <t>0721</t>
  </si>
  <si>
    <t>Clog?</t>
  </si>
  <si>
    <t>0722</t>
  </si>
  <si>
    <t>2.4/2.5</t>
  </si>
  <si>
    <t>2.5/2.3</t>
  </si>
  <si>
    <t>2.9/3.0</t>
  </si>
  <si>
    <t>3.0/3.0</t>
  </si>
  <si>
    <t>3.5/2.9</t>
  </si>
  <si>
    <t>42°38'26"N</t>
  </si>
  <si>
    <t>114°29'49"W</t>
  </si>
  <si>
    <t>0813-0814</t>
  </si>
  <si>
    <t>R13</t>
  </si>
  <si>
    <t>Jessie/West pivot/20+ year old/55 PSI at Pump/ 20PSI Regulators/ 9.5FT spacing/8FT to Ground(3271-3274) supposed to apply 1"</t>
  </si>
  <si>
    <t>Boot</t>
  </si>
  <si>
    <t>0914</t>
  </si>
  <si>
    <t>0723</t>
  </si>
  <si>
    <t>4.8/2.5</t>
  </si>
  <si>
    <t>0915</t>
  </si>
  <si>
    <t>0916</t>
  </si>
  <si>
    <t>0917</t>
  </si>
  <si>
    <t>0724</t>
  </si>
  <si>
    <t>42°49'45"N</t>
  </si>
  <si>
    <t>114°31'25.50"W</t>
  </si>
  <si>
    <t>0918</t>
  </si>
  <si>
    <t>Sprinkler/Missing Nozzle</t>
  </si>
  <si>
    <t>Nelson farm and Dairy/Pivot Uniformity</t>
  </si>
  <si>
    <t>Tower elev: 3791 Endgun elev:3788 when tested</t>
  </si>
  <si>
    <t>0725</t>
  </si>
  <si>
    <t>R14</t>
  </si>
  <si>
    <t>42°30'30.61" N</t>
  </si>
  <si>
    <t>114°24'51" W</t>
  </si>
  <si>
    <t>Ronnie Lee/wheat</t>
  </si>
  <si>
    <t>All 9'64 WHN</t>
  </si>
  <si>
    <t>Start elev: 3890 End elev: 3900 when tested</t>
  </si>
  <si>
    <t>H</t>
  </si>
  <si>
    <t>0735/0736</t>
  </si>
  <si>
    <t>R15</t>
  </si>
  <si>
    <t>Tower elev: 3626Endgun elev:3602 when tested</t>
  </si>
  <si>
    <t>R16</t>
  </si>
  <si>
    <t>42°27'02"N</t>
  </si>
  <si>
    <t>114°08'07"W</t>
  </si>
  <si>
    <t>Ronald Hepworth/TB/65 psi at pump/pumping river</t>
  </si>
  <si>
    <t>Start elev: 4157 End elev: 4156 when tested</t>
  </si>
  <si>
    <t>did not use plugged #27</t>
  </si>
  <si>
    <t>42°35'22" N</t>
  </si>
  <si>
    <t>113°55'11" W</t>
  </si>
  <si>
    <t>3215 3218</t>
  </si>
  <si>
    <t>Mark harrison/handline/heyburn/downhill/50 PSI at pump,he didn't know for sure/canal fed</t>
  </si>
  <si>
    <t>Start elev: 4278 End elev: 4260 when tested</t>
  </si>
  <si>
    <t>Possible clog</t>
  </si>
  <si>
    <t>42°38'9.51" N</t>
  </si>
  <si>
    <t>114°29'30.28" W</t>
  </si>
  <si>
    <t>Jessie/ Wheeline 15-20 years/75 PSI at pump/2 ponds, 15ft lift pond to pond</t>
  </si>
  <si>
    <t>Start elev: 3620 End elev: 3617 when tested</t>
  </si>
  <si>
    <t>Mark harrison/handline/heyburn/downhill/1 HOUR RUN TIME/50 PSI at pump,he didn't know for sure/canal fed</t>
  </si>
  <si>
    <t>All 9'64</t>
  </si>
  <si>
    <t>0747</t>
  </si>
  <si>
    <t>In Line</t>
  </si>
  <si>
    <t>0746</t>
  </si>
  <si>
    <t>0745</t>
  </si>
  <si>
    <t>0744</t>
  </si>
  <si>
    <t>0743</t>
  </si>
  <si>
    <t>0742</t>
  </si>
  <si>
    <t>0741</t>
  </si>
  <si>
    <t>0740</t>
  </si>
  <si>
    <t>W4</t>
  </si>
  <si>
    <t>42°38'48"N</t>
  </si>
  <si>
    <t>113°45'11"W</t>
  </si>
  <si>
    <t>Troy Wilkins/TB/hay/unknown age_maybe 20 Years/ Gaskets 5 Year/65-68 psi at pump/gravity fed</t>
  </si>
  <si>
    <t>Start elev: 4156 End elev: 4154 when tested</t>
  </si>
  <si>
    <t>Bent Sp</t>
  </si>
  <si>
    <t>0739</t>
  </si>
  <si>
    <t>W5</t>
  </si>
  <si>
    <t>0738</t>
  </si>
  <si>
    <t>End</t>
  </si>
  <si>
    <t>20ft</t>
  </si>
  <si>
    <t>42°38'8" N</t>
  </si>
  <si>
    <t>114°29'35" W</t>
  </si>
  <si>
    <t>Start elev: 3620 End elev: 3619 when tested</t>
  </si>
  <si>
    <t>A</t>
  </si>
  <si>
    <t>0793</t>
  </si>
  <si>
    <t>0792</t>
  </si>
  <si>
    <t>W6</t>
  </si>
  <si>
    <t>SP/B/RE</t>
  </si>
  <si>
    <t>0790</t>
  </si>
  <si>
    <t>Yellow Nozzle</t>
  </si>
  <si>
    <t>Bent SP</t>
  </si>
  <si>
    <t>42°38'47"N</t>
  </si>
  <si>
    <t>113°45'17"W</t>
  </si>
  <si>
    <t>No pictures</t>
  </si>
  <si>
    <t>Troy Wilkins/TB/beats/unknown age_maybe 20 Years/ Gaskets 2 Year/65-68 psi at pump/gravity fed</t>
  </si>
  <si>
    <t>Start elev: 4155 End elev: 4153 when tested</t>
  </si>
  <si>
    <t>0789</t>
  </si>
  <si>
    <t>0788</t>
  </si>
  <si>
    <t>0787</t>
  </si>
  <si>
    <t>0786</t>
  </si>
  <si>
    <t>W7</t>
  </si>
  <si>
    <t>0784</t>
  </si>
  <si>
    <t>0782</t>
  </si>
  <si>
    <t>0779</t>
  </si>
  <si>
    <t>0778</t>
  </si>
  <si>
    <t>0777</t>
  </si>
  <si>
    <t>7'32</t>
  </si>
  <si>
    <t>42°27'50" N</t>
  </si>
  <si>
    <t>114°18'20" W</t>
  </si>
  <si>
    <t xml:space="preserve">Bruce/ Wheeline </t>
  </si>
  <si>
    <t>Start elev: 4111 End elev: 4098 when tested</t>
  </si>
  <si>
    <t>W8</t>
  </si>
  <si>
    <t>12 out of 72, B or R have ≥ 0.1</t>
  </si>
  <si>
    <t>16.6% have leaks</t>
  </si>
  <si>
    <t>6 out of 72 Gaskets have ≥ 0.1 leak</t>
  </si>
  <si>
    <t>42°38'35"N</t>
  </si>
  <si>
    <t>113°45'29"W</t>
  </si>
  <si>
    <t>42°45'31"N</t>
  </si>
  <si>
    <t>114°32'26"W</t>
  </si>
  <si>
    <t>2406-2413</t>
  </si>
  <si>
    <t>Tower elev: 3718Endgun elev:3708 when tested</t>
  </si>
  <si>
    <t>Troy Wilkins/TB/beats/unknown age_maybe 20+ Years/ Gaskets 2 Year/65-68 psi at pump/gravity fed</t>
  </si>
  <si>
    <t>Start elev: 4155 End elev: 4156 when tested</t>
  </si>
  <si>
    <t>Rick cantrell/Jerome/South West 3 tower/15 year old pivot/ 4-6 year sprinkler pack/60 PSI at Pump/ 20PSI Regulators/ 19FT spacing/8FT to Ground(3259-3266) supposed to apply 1/2 to 3/4"</t>
  </si>
  <si>
    <t>number of cans</t>
  </si>
  <si>
    <t>42°27'57" N</t>
  </si>
  <si>
    <t>114°18'21" W</t>
  </si>
  <si>
    <t>Bruce/ Wheeline/ beets 15 year/replace nozzle when needed</t>
  </si>
  <si>
    <t>Start elev: 4105 End elev: 4094 when tested</t>
  </si>
  <si>
    <t>Hose leak</t>
  </si>
  <si>
    <t>113°45'28"W</t>
  </si>
  <si>
    <t>Troy Wilkins/TB/beats/20+ Years/ Gaskets 2 Year/65-68 psi at pump/gravity fed</t>
  </si>
  <si>
    <t>Start elev: 4155 End elev: 4155 when tested</t>
  </si>
  <si>
    <t>Motor/Off 8.1 GPM/pictures 2404-2405</t>
  </si>
  <si>
    <t>Under leak/motor</t>
  </si>
  <si>
    <t>Orange Nelson</t>
  </si>
  <si>
    <t>42°45'20"N</t>
  </si>
  <si>
    <t>114°31'19"W</t>
  </si>
  <si>
    <t>Tower elev: 3756Endgun elev:3750 when tested</t>
  </si>
  <si>
    <t>Rick cantrell/Jerome/South East Pivot/30-35 year old pivot/ 4-6 year sprinkler pack/60 PSI at Pump/ 20PSI Regulators/ 8FT spacing/8FT to Ground(3242-3245)  supposed to apply 1/2 to 3/4"</t>
  </si>
  <si>
    <t>42°28'02" N</t>
  </si>
  <si>
    <t>114°18'28.5" W</t>
  </si>
  <si>
    <t>1st tower</t>
  </si>
  <si>
    <t>Start elev: 4099 End elev: 4091 when tested</t>
  </si>
  <si>
    <t>3rd tower</t>
  </si>
  <si>
    <t>All B</t>
  </si>
  <si>
    <t>4th tower</t>
  </si>
  <si>
    <t>5th tower</t>
  </si>
  <si>
    <t>Tower elev: 3756Endgun elev:3748 when tested</t>
  </si>
  <si>
    <t>113°45'40"W</t>
  </si>
  <si>
    <t>TB13</t>
  </si>
  <si>
    <t>Don Sir/TB/Paul/60-65 Pump PSI/Deep Well 240'</t>
  </si>
  <si>
    <t>Start elev: 4236 End elev: 4244 when tested</t>
  </si>
  <si>
    <t>1.5?</t>
  </si>
  <si>
    <t>42°26'53" N</t>
  </si>
  <si>
    <t>114°27'13" W</t>
  </si>
  <si>
    <t>Everette Messner/ Wheeline/WADE RAIN 20+ year old/50 PSI at pump/25 PSI before pump/gravity</t>
  </si>
  <si>
    <t>flow control nozzles  3 gpm?  WHN</t>
  </si>
  <si>
    <t>Start elev: 4299 End elev: 4287 when tested</t>
  </si>
  <si>
    <t>Plastic Nozzle</t>
  </si>
  <si>
    <t>SP/G</t>
  </si>
  <si>
    <t>DV See picture</t>
  </si>
  <si>
    <t>60 out of 346, SP B or RE have ≥ 0.1 leak</t>
  </si>
  <si>
    <t>11 out of 345, Nozzles are the incorrect size</t>
  </si>
  <si>
    <t>17.34% have leaks</t>
  </si>
  <si>
    <t>9 out of 346, DV have ≥ 0.1 leak</t>
  </si>
  <si>
    <t>120 out of 692, Gaskets have ≥ 0.1 leak</t>
  </si>
  <si>
    <t>Plastic Nozzle/Bent</t>
  </si>
  <si>
    <t>Plastic Nozzle/Strange sprinkler positioner</t>
  </si>
  <si>
    <t>Plastic Nozzle/Not turning</t>
  </si>
  <si>
    <t>42°45'44"N</t>
  </si>
  <si>
    <t>114°32'27"W</t>
  </si>
  <si>
    <t>Tower elev: 3725Endgun elev:3730 when tested</t>
  </si>
  <si>
    <t>Rick cantrell/Jerome/North West 3 tower Pivot/no leaks/15 year old pivot/ 4-6 year sprinkler pack/60PSI at Pump/ 30PSI Regulators/ 19FT spacing/9FT to Ground(3267-3270)  supposed to apply 1/2 to 3/4"</t>
  </si>
  <si>
    <t>42°26'60" N</t>
  </si>
  <si>
    <t>114°26'52" W</t>
  </si>
  <si>
    <t>Start elev: 4281 End elev: 4270 when tested</t>
  </si>
  <si>
    <t>Brown Nozzle</t>
  </si>
  <si>
    <t>Plastic Nozzle blue</t>
  </si>
  <si>
    <t>1713-1712</t>
  </si>
  <si>
    <t>42°38'7"N</t>
  </si>
  <si>
    <t>114°29'30"W</t>
  </si>
  <si>
    <t>Jesse/Wheeline 15-20 years/75 PSI at pump/2 ponds, 15ft lift pond to pond</t>
  </si>
  <si>
    <t>Start elev: 3621 End elev: 3625when tested</t>
  </si>
  <si>
    <t>.9/64</t>
  </si>
  <si>
    <t>114°31'42"W</t>
  </si>
  <si>
    <t>Tower elev: 3739 Endgun elev:3735 when tested</t>
  </si>
  <si>
    <t>Rick cantrell/Jerome/South middle Pivot 5 tower/16-20 year old pivot/ 4-6 year sprinkler pack/60 PSI at Pump/ 30PSI Regulators/ 19FT spacing/8FT to Ground(3246-3251)  supposed to apply 1/2 to 3/4"</t>
  </si>
  <si>
    <t>2nd tower</t>
  </si>
  <si>
    <t>3rdtower</t>
  </si>
  <si>
    <t>.1/8</t>
  </si>
  <si>
    <t>.5/32</t>
  </si>
  <si>
    <t>Rick cantrell/Jerome/South middle Pivot 5 tower/no leaks/16-20 year old pivot/ 4-6 year sprinkler pack/60 PSI at Pump/ 30PSI Regulators/ 19FT spacing/8FT to Ground(3246-3251)  supposed to apply 1/2 to 3/4"</t>
  </si>
  <si>
    <t>Bent RE</t>
  </si>
  <si>
    <t>No nozzle</t>
  </si>
  <si>
    <t>42°35'09"N</t>
  </si>
  <si>
    <t>113°55'21"W</t>
  </si>
  <si>
    <t>3209-3210</t>
  </si>
  <si>
    <t>Mark Harrison/15-20 year old wheel line/Didn't know for sure 50PSI at pump/canal fed</t>
  </si>
  <si>
    <t>Start elev: 4255 End elev: 3279 when tested</t>
  </si>
  <si>
    <t xml:space="preserve">One month old Yellow Nelsons Nozzles </t>
  </si>
  <si>
    <t>Mark Harrison/15-20 year old wheel line/One month old Yellow Nelsons Nozzles/Didn't know for sure 50PSI at pump/canal fed</t>
  </si>
  <si>
    <t>Source In Line North</t>
  </si>
  <si>
    <t>S1</t>
  </si>
  <si>
    <t>S2</t>
  </si>
  <si>
    <t>S3</t>
  </si>
  <si>
    <t>S4</t>
  </si>
  <si>
    <t>S5</t>
  </si>
  <si>
    <t>42°45'33"N</t>
  </si>
  <si>
    <t>114°32'16"W</t>
  </si>
  <si>
    <t>2493-2495 2491 2488</t>
  </si>
  <si>
    <t>Tower elev: 3721 Endgun elev:3720 when tested</t>
  </si>
  <si>
    <t>S6</t>
  </si>
  <si>
    <t>Rick cantrell/Jerome/West half 3 tower/40 year old pivot/ 4-6 year sprinkler pack/60 PSI at Pump/ 30PSI Regulators/ 21FT spacing/8FT to Ground(3255-3258)  supposed to apply 1/2 to 3/4"</t>
  </si>
  <si>
    <t>Flange</t>
  </si>
  <si>
    <t>2487 2486</t>
  </si>
  <si>
    <t>2489 2485 2484</t>
  </si>
  <si>
    <t>S7</t>
  </si>
  <si>
    <t>S8</t>
  </si>
  <si>
    <t>20 Ft North</t>
  </si>
  <si>
    <t>in line South</t>
  </si>
  <si>
    <t>42°42'23"N</t>
  </si>
  <si>
    <t>114°41'57"W</t>
  </si>
  <si>
    <t>Tower elev: 3358 Endgun elev:3372 when tested</t>
  </si>
  <si>
    <t>Jerry callen/21 year old pivot/ 4-6 year sprinkler pack</t>
  </si>
  <si>
    <t>S9</t>
  </si>
  <si>
    <t>S10</t>
  </si>
  <si>
    <t>South line 20 ft</t>
  </si>
  <si>
    <t>76 out of 504, SP B or RE have ≥ 0.1</t>
  </si>
  <si>
    <t>15.0% have leaks</t>
  </si>
  <si>
    <t xml:space="preserve"> 55 out of 491, Nozzles are the incorrect size</t>
  </si>
  <si>
    <t>29 out of 504, DV have ≥ 0.1 leak</t>
  </si>
  <si>
    <t>This number changed from 38 to 41</t>
  </si>
  <si>
    <t>41 out of 504, Gaskets have ≥ 0.1 leak</t>
  </si>
  <si>
    <t>2.4 GPM leak DV under the end gun/2501</t>
  </si>
  <si>
    <t>42°38'25"N</t>
  </si>
  <si>
    <t>114°29'15"W</t>
  </si>
  <si>
    <t>Tower elev: 3629 Endgun elev:3620 when tested</t>
  </si>
  <si>
    <t>/Jessie/20 year old pivot/East pivot/65-68 PSI at Pump/ 20PSI Regulators/ 9.5FT spacing/8FT to Ground(3275-3280)/should be applying 1 1/4 inch</t>
  </si>
  <si>
    <t>42°33'47"N</t>
  </si>
  <si>
    <t>114°24'1"W</t>
  </si>
  <si>
    <t>Tower elev: 3809 Endgun elev:3812 when tested</t>
  </si>
  <si>
    <t>/Gary Storrer/New install, previously owned. Wheel #1 3/4 done when collected/50 PSI at pivot/ 15PSI Regulators/ first two towers = 18FT spacing…last two towers =9FT spacing/5FT to Ground(3284-3285)/should be applying 3/4 inch</t>
  </si>
  <si>
    <t>42°34'24"N</t>
  </si>
  <si>
    <t>114°24'3"W</t>
  </si>
  <si>
    <t>Tower elev: 3799 Endgun elev:3795when tested</t>
  </si>
  <si>
    <t>/Gary Storrer/Brand new install, older system. 5 tower/zammatic/50PSI at pivot/ 15PSI Regulators/ first two towers = 18FT spacing…last three towers =9FT spacing/5ft to Ground/should be applying 3/4 inch</t>
  </si>
  <si>
    <t>bad sprinkler</t>
  </si>
  <si>
    <t>42°34'08"N</t>
  </si>
  <si>
    <t>114°23'40"W</t>
  </si>
  <si>
    <t>2524-2526</t>
  </si>
  <si>
    <t>Tower elev: 3820 Endgun elev:3812when tested</t>
  </si>
  <si>
    <t>/Gary Storrer/New system/40" sprinkler height/41 PSI at pivot/ 15PSI Regulators/8FT spacing/40" to Ground/should be applying 3/4 inch</t>
  </si>
  <si>
    <t>W9</t>
  </si>
  <si>
    <t>42°25'06"N</t>
  </si>
  <si>
    <t>114°17'28"W</t>
  </si>
  <si>
    <t>Tower elev: 4182 Endgun elev:4205when tested</t>
  </si>
  <si>
    <t>/Poncho/ east Pivot 2/1999 pivot/ Original sprinkler pack/60 PSI at Pump/ 40hp pump/20PSI Regulators/ 8FT spacing/9FT to Ground(3294-3298)  supposed to apply 3/4" 52 hour rotation</t>
  </si>
  <si>
    <t>42°24'48"N</t>
  </si>
  <si>
    <t>114°18'8"W</t>
  </si>
  <si>
    <t>2536 2537</t>
  </si>
  <si>
    <t>Tower elev: 4197 Endgun elev:4202 when tested</t>
  </si>
  <si>
    <t>/Poncho/west pivot 1/1999 pivot/ Original sprinkler pack/50 PSI at Pump/20hp pump/30PSI Regulators/ 12FT spacing/8FT to Ground(3330-3335)  supposed to apply 3/4" 52 hour rotation</t>
  </si>
  <si>
    <t xml:space="preserve">/Poncho/west pivot 1/1999 pivot/ Original sprinkler pack/50 PSI at Pump/20hp pump/30PSI Regulators/ 12FT spacing/8FT to Ground(3330-3335)  supposed to apply 3/4" 52 hour rotation </t>
  </si>
  <si>
    <t>42°28'19"N</t>
  </si>
  <si>
    <t>114°18'37"W</t>
  </si>
  <si>
    <t>Tower elev: 4080 Endgun elev:4070 when tested</t>
  </si>
  <si>
    <t xml:space="preserve">/Bruce Bulcher/system installed 08' </t>
  </si>
  <si>
    <t>2567 2568</t>
  </si>
  <si>
    <t>Rubber</t>
  </si>
  <si>
    <t>2534 2535</t>
  </si>
  <si>
    <t>Seal</t>
  </si>
  <si>
    <t>2573 2574</t>
  </si>
  <si>
    <t>42°24'50"N</t>
  </si>
  <si>
    <t>114°17'00"W</t>
  </si>
  <si>
    <t>2710 2711</t>
  </si>
  <si>
    <t>Tower elev: 4229 Endgun elev:4213 when tested</t>
  </si>
  <si>
    <t>/Poncho/ south east Pivot 3/1999 pivot/ Original sprinkler pack/60 PSI at Pump/40hp pump/20PSI Regulators/ 8FT spacing/9FT to Ground(3286-3292)  supposed to apply 3/4" 52 hour rotation</t>
  </si>
  <si>
    <t>2716 2717</t>
  </si>
  <si>
    <t>w6</t>
  </si>
  <si>
    <t>42°24'04.59"N</t>
  </si>
  <si>
    <t>114°16'15.50"W</t>
  </si>
  <si>
    <t>2719-2727</t>
  </si>
  <si>
    <t>Tower elev: 4336 Endgun elev:4331when tested</t>
  </si>
  <si>
    <t>/Poncho south half 5/2001 pivot/ Original sprinkler pack/45 PSI at Pump/15hp pump/ supposed to apply 3/4"</t>
  </si>
  <si>
    <t>Leaks: 49 PSI 1.9 GPM/2728</t>
  </si>
  <si>
    <t>114°16'20"W</t>
  </si>
  <si>
    <t>2810 2811</t>
  </si>
  <si>
    <t>Tower elev: 4335 Endgun elev:4258when tested</t>
  </si>
  <si>
    <t>/Poncho/ South of Dairy 4/1999 pivot/ Original sprinkler pack/60 PSI at Pump/40hp pump/15PSI Regulators/ 7.5FT spacing/9FT to Ground(3299-3304)  supposed to apply 3/4" 52 hour rotation</t>
  </si>
  <si>
    <t>42°25'15.66"N</t>
  </si>
  <si>
    <t>114°15'48.70"W</t>
  </si>
  <si>
    <t>Tower elev: 4229 Endgun elev: 4252 when tested</t>
  </si>
  <si>
    <t>/Poncho/ North of Shop 7/1999 pivot/ Original sprinkler pack/60 PSI at Pump/40hp pump/15PSI Regulators/ 6.5FT spacing/9FT to Ground(3325-3329)  supposed to apply 3/4" 52 hour rotation</t>
  </si>
  <si>
    <t>42°24'56"N</t>
  </si>
  <si>
    <t>114°15'42"W</t>
  </si>
  <si>
    <t>Tower elev: 4281 Endgun elev: 4284 when tested</t>
  </si>
  <si>
    <t>/Poncho/ South of Shop 8/2001 pivot/ Original sprinkler pack/45 PSI at Pump/15hp pump/30PSI Regulators/ 10FT spacing/8FT to Ground(3305-3309)  supposed to apply 3/4" 52 hour rotation</t>
  </si>
  <si>
    <t>42°24'17.50"N</t>
  </si>
  <si>
    <t>114°15'57"W</t>
  </si>
  <si>
    <t>2880 2881</t>
  </si>
  <si>
    <t>Tower elev: 4332 Endgun elev: 4226 when tested</t>
  </si>
  <si>
    <t>/Poncho/ South of Shop 6/2001 pivot/ Original sprinkler pack/45 PSI at Pump/15hp pump supposed to apply 3/4"</t>
  </si>
  <si>
    <t>42°24'56.25"N</t>
  </si>
  <si>
    <t>114°14'31"W</t>
  </si>
  <si>
    <t>2950 2951</t>
  </si>
  <si>
    <t>Tower elev: 4247 Endgun elev: 4238 when tested</t>
  </si>
  <si>
    <t>/Poncho/ 2nd east line of power lines pivot 11/2001 pivot/ Original sprinkler pack/55 PSI at Pump/15hp pump/20PSI Regulators/ 15FT spacing/8FT to Ground(3315-3318)  supposed to apply 3/4" 52 hour rotation</t>
  </si>
  <si>
    <t>114°14'48"W</t>
  </si>
  <si>
    <t>2943-2948</t>
  </si>
  <si>
    <t>Tower elev: 4259 Endgun elev: 4243when tested</t>
  </si>
  <si>
    <t>/Poncho/ 1st east line of power lines pivot 9/2001 pivot/ Original sprinkler pack/55 PSI at Pump/15hp pump/20PSI Regulators/ 14FT spacing/8FT to Ground(3310-3314)  supposed to apply 3/4" 52 hour rotation</t>
  </si>
  <si>
    <t>42°25'16"N</t>
  </si>
  <si>
    <t>114°14'4"W</t>
  </si>
  <si>
    <t>2949-2956</t>
  </si>
  <si>
    <t>Tower elev: 4226 Endgun elev: 4219 when tested</t>
  </si>
  <si>
    <t>/Poncho/ West of dairy 10/1999 pivot/ Original sprinkler pack/60 PSI at Pump/40hp pump/20PSI Regulators/ 7FT spacing/4.5FT to Ground(3319-3324)  supposed to apply 3/4" 52 hour rotation</t>
  </si>
  <si>
    <t>='[7P Forecasts D2.xlsx]Ag Forecast (Base Case)'!$BD$20</t>
  </si>
  <si>
    <t>Irrigation</t>
  </si>
  <si>
    <t># acres</t>
  </si>
  <si>
    <t>REG_TOTAL_STOCK_# ACRES</t>
  </si>
  <si>
    <t>Wheel/hand line</t>
  </si>
  <si>
    <t>CenterPivot</t>
  </si>
  <si>
    <t>Wheel line</t>
  </si>
  <si>
    <t>state</t>
  </si>
  <si>
    <t>Acres Treated Max</t>
  </si>
  <si>
    <t>Weight region to State</t>
  </si>
  <si>
    <t>Western Idaho</t>
  </si>
  <si>
    <t>Eastern &amp; Southern Idaho</t>
  </si>
  <si>
    <t>Western Washington and Oregon</t>
  </si>
  <si>
    <t>Eastern Washington and Oregon</t>
  </si>
  <si>
    <t>MT</t>
  </si>
  <si>
    <t>OR</t>
  </si>
  <si>
    <t>WA</t>
  </si>
  <si>
    <t>ID</t>
  </si>
  <si>
    <t>Weighting</t>
  </si>
  <si>
    <t>State</t>
  </si>
  <si>
    <t>Remap to State</t>
  </si>
  <si>
    <t>A-Irr-Irr-Irrigation-All-All-E</t>
  </si>
  <si>
    <t>Wheel/hand line systems: Replace worn nozzle with new flow controlling type nozzle for impact sprinklers  - Idaho</t>
  </si>
  <si>
    <t xml:space="preserve">Wheel/hand line systems: Replace worn nozzle with new flow controlling type nozzle for impact sprinklers </t>
  </si>
  <si>
    <t>Wheel/hand line systems: Replace worn nozzle with new nozzle  - Idaho</t>
  </si>
  <si>
    <t xml:space="preserve">Wheel/hand line systems: Replace worn nozzle with new nozzle </t>
  </si>
  <si>
    <t>Wheel/hand line systems: Rebuild or replace leaking impact sprinkler with new or rebuilt impact sprinkler  - Idaho</t>
  </si>
  <si>
    <t xml:space="preserve">Wheel/hand line systems: Rebuild or replace leaking impact sprinkler with new or rebuilt impact sprinkler </t>
  </si>
  <si>
    <t>Wheel/hand line systems: Replace leaking gasket with new gasket  - Idaho</t>
  </si>
  <si>
    <t xml:space="preserve">Wheel/hand line systems: Replace leaking gasket with new gasket </t>
  </si>
  <si>
    <t>Wheel/hand line systems: Replace leaking drain with new drain  - Idaho</t>
  </si>
  <si>
    <t xml:space="preserve">Wheel/hand line systems: Replace leaking drain with new drain </t>
  </si>
  <si>
    <t>Wheel/hand line systems: Cut and pipe press repair of leaking hand-lines, wheel-lines, and portable main-lines  - Idaho</t>
  </si>
  <si>
    <t xml:space="preserve">Wheel/hand line systems: Cut and pipe press repair of leaking hand-lines, wheel-lines, and portable main-lines </t>
  </si>
  <si>
    <t>Thunderbird wheel line systems: Replace leaking hub with new hub  - Idaho</t>
  </si>
  <si>
    <t xml:space="preserve">Thunderbird wheel line systems: Replace leaking hub with new hub </t>
  </si>
  <si>
    <t>Wheel line systems: Rebuild or replace leaking or malfunctioning leveler with new or rebuilt leveler.  - Idaho</t>
  </si>
  <si>
    <t xml:space="preserve">Wheel line systems: Rebuild or replace leaking or malfunctioning leveler with new or rebuilt leveler. </t>
  </si>
  <si>
    <t>Center pivot/linear move systems: Install new sprinkler package on an existing system.  - Idaho</t>
  </si>
  <si>
    <t xml:space="preserve">Center pivot/linear move systems: Install new sprinkler package on an existing system. </t>
  </si>
  <si>
    <t>Center pivot/linear move systems: New gooseneck elbows  - Idaho</t>
  </si>
  <si>
    <t xml:space="preserve">Center pivot/linear move systems: New gooseneck elbows </t>
  </si>
  <si>
    <t>Center pivot/linear move systems: New drop tubes (3 feet minimum)  - Idaho</t>
  </si>
  <si>
    <t xml:space="preserve">Center pivot/linear move systems: New drop tubes (3 feet minimum) </t>
  </si>
  <si>
    <t>Center pivot/linear move systems: Replace leaking pivot boot gasket with new pivot boot gasket  - Idaho</t>
  </si>
  <si>
    <t xml:space="preserve">Center pivot/linear move systems: Replace leaking pivot boot gasket with new pivot boot gasket </t>
  </si>
  <si>
    <t>Center pivot/linear move systems: Replace leaking tower gasket with new tower gasket  - Idaho</t>
  </si>
  <si>
    <t xml:space="preserve">Center pivot/linear move systems: Replace leaking tower gasket with new tower gasket </t>
  </si>
  <si>
    <t>Wheel/hand line systems: Replace worn nozzle with new flow controlling type nozzle for impact sprinklers  - Washington</t>
  </si>
  <si>
    <t>Wheel/hand line systems: Replace worn nozzle with new nozzle  - Washington</t>
  </si>
  <si>
    <t>Wheel/hand line systems: Rebuild or replace leaking impact sprinkler with new or rebuilt impact sprinkler  - Washington</t>
  </si>
  <si>
    <t>Wheel/hand line systems: Replace leaking gasket with new gasket  - Washington</t>
  </si>
  <si>
    <t>Wheel/hand line systems: Replace leaking drain with new drain  - Washington</t>
  </si>
  <si>
    <t>Wheel/hand line systems: Cut and pipe press repair of leaking hand-lines, wheel-lines, and portable main-lines  - Washington</t>
  </si>
  <si>
    <t>Thunderbird wheel line systems: Replace leaking hub with new hub  - Washington</t>
  </si>
  <si>
    <t>Wheel line systems: Rebuild or replace leaking or malfunctioning leveler with new or rebuilt leveler.  - Washington</t>
  </si>
  <si>
    <t>Center pivot/linear move systems: Install new sprinkler package on an existing system.  - Washington</t>
  </si>
  <si>
    <t>Center pivot/linear move systems: New gooseneck elbows  - Washington</t>
  </si>
  <si>
    <t>Center pivot/linear move systems: New drop tubes (3 feet minimum)  - Washington</t>
  </si>
  <si>
    <t>Center pivot/linear move systems: Replace leaking pivot boot gasket with new pivot boot gasket  - Washington</t>
  </si>
  <si>
    <t>Center pivot/linear move systems: Replace leaking tower gasket with new tower gasket  - Washington</t>
  </si>
  <si>
    <t>Wheel/hand line systems: Replace worn nozzle with new flow controlling type nozzle for impact sprinklers  - Oregon</t>
  </si>
  <si>
    <t>Wheel/hand line systems: Replace worn nozzle with new nozzle  - Oregon</t>
  </si>
  <si>
    <t>Wheel/hand line systems: Rebuild or replace leaking impact sprinkler with new or rebuilt impact sprinkler  - Oregon</t>
  </si>
  <si>
    <t>Wheel/hand line systems: Replace leaking gasket with new gasket  - Oregon</t>
  </si>
  <si>
    <t>Wheel/hand line systems: Replace leaking drain with new drain  - Oregon</t>
  </si>
  <si>
    <t>Wheel/hand line systems: Cut and pipe press repair of leaking hand-lines, wheel-lines, and portable main-lines  - Oregon</t>
  </si>
  <si>
    <t>Thunderbird wheel line systems: Replace leaking hub with new hub  - Oregon</t>
  </si>
  <si>
    <t>Wheel line systems: Rebuild or replace leaking or malfunctioning leveler with new or rebuilt leveler.  - Oregon</t>
  </si>
  <si>
    <t>Center pivot/linear move systems: Install new sprinkler package on an existing system.  - Oregon</t>
  </si>
  <si>
    <t>Center pivot/linear move systems: New gooseneck elbows  - Oregon</t>
  </si>
  <si>
    <t>Center pivot/linear move systems: New drop tubes (3 feet minimum)  - Oregon</t>
  </si>
  <si>
    <t>Center pivot/linear move systems: Replace leaking pivot boot gasket with new pivot boot gasket  - Oregon</t>
  </si>
  <si>
    <t>Center pivot/linear move systems: Replace leaking tower gasket with new tower gasket  - Oregon</t>
  </si>
  <si>
    <t>Wheel/hand line systems: Replace worn nozzle with new flow controlling type nozzle for impact sprinklers  - Montana</t>
  </si>
  <si>
    <t>Wheel/hand line systems: Replace worn nozzle with new nozzle  - Montana</t>
  </si>
  <si>
    <t>Wheel/hand line systems: Rebuild or replace leaking impact sprinkler with new or rebuilt impact sprinkler  - Montana</t>
  </si>
  <si>
    <t>ProCost Results</t>
  </si>
  <si>
    <t xml:space="preserve">Version:    </t>
  </si>
  <si>
    <t>ProCost 3.0 - Beta04</t>
  </si>
  <si>
    <t>Run Time:</t>
  </si>
  <si>
    <t>Regurgitation of ProData input parameters which were used for this run</t>
  </si>
  <si>
    <t>Run Parameters</t>
  </si>
  <si>
    <t>Marginal Cost &amp; Conservation Load Shape Parameters</t>
  </si>
  <si>
    <t>Sponsor Parameters</t>
  </si>
  <si>
    <t>Program Parameters</t>
  </si>
  <si>
    <t>Utility System Parameters</t>
  </si>
  <si>
    <t>Run Type</t>
  </si>
  <si>
    <t>Electric</t>
  </si>
  <si>
    <t>Marginal Costs and Savings Shape File</t>
  </si>
  <si>
    <t>6P MidC Final (with carbon)</t>
  </si>
  <si>
    <t>Customer</t>
  </si>
  <si>
    <t>Wholesale Elec</t>
  </si>
  <si>
    <t>Retail Elec</t>
  </si>
  <si>
    <t>Nat Gas</t>
  </si>
  <si>
    <t>Program Life (yrs)</t>
  </si>
  <si>
    <t>Gas</t>
  </si>
  <si>
    <t>Negative B/C Ratios</t>
  </si>
  <si>
    <t>Off</t>
  </si>
  <si>
    <t>Marginal Elec Avoided Cost Input Worksheet</t>
  </si>
  <si>
    <t>7P Mid</t>
  </si>
  <si>
    <t>Conservation Load Shapes</t>
  </si>
  <si>
    <t>Real After-Tax Cost of Capital</t>
  </si>
  <si>
    <t>Program Start Date</t>
  </si>
  <si>
    <t>Bulk System T&amp;D Loss Factor</t>
  </si>
  <si>
    <t>Admin Cost @ Category Level</t>
  </si>
  <si>
    <t>On</t>
  </si>
  <si>
    <t>Elec Savings Shape Input Worksheet</t>
  </si>
  <si>
    <t>GLSShapes</t>
  </si>
  <si>
    <t>6P_Gas_Final</t>
  </si>
  <si>
    <t>Financial Life (years)</t>
  </si>
  <si>
    <t>Present Value Time Zero</t>
  </si>
  <si>
    <t>Bulk System T&amp;D Credit ($/kw-yr)($/dailytherm-yr)</t>
  </si>
  <si>
    <t xml:space="preserve">Repeat Periodic Replacement </t>
  </si>
  <si>
    <t>Marginal Gas Avoided Cost Input Worksheet</t>
  </si>
  <si>
    <t>7P Gas</t>
  </si>
  <si>
    <t>Input Cost Reference Year</t>
  </si>
  <si>
    <t>Bulk System T&amp;D I2R Loss Component (%)</t>
  </si>
  <si>
    <t>N/A</t>
  </si>
  <si>
    <t>Gas Savings Shape Input Worksheet</t>
  </si>
  <si>
    <t xml:space="preserve">Sponsor Share of Initial Capital Cost </t>
  </si>
  <si>
    <t>Real Discount Rate</t>
  </si>
  <si>
    <t>Local System Dist Loss Factor</t>
  </si>
  <si>
    <t>Run Type:</t>
  </si>
  <si>
    <t>Marginal Elec CO2 per kWh Input Worksheet</t>
  </si>
  <si>
    <t>CO2 lbs per kWh .95</t>
  </si>
  <si>
    <t>CO2 lbs per therm</t>
  </si>
  <si>
    <t>Sponsor Share of Annual O&amp;M</t>
  </si>
  <si>
    <t>Capital Real Escalation Rate</t>
  </si>
  <si>
    <t>Local System Dist Credit ($/kw-yr)($/dailytherm-yr)</t>
  </si>
  <si>
    <t>Negative B/C Ratios:</t>
  </si>
  <si>
    <t>False:  (Converts Negative B/C Ratios)</t>
  </si>
  <si>
    <t>Marginal Gas CO2 per therm Input Worksheet</t>
  </si>
  <si>
    <t>Zero Dollars per ton CO2</t>
  </si>
  <si>
    <t>Sponsor Share of Periodic Replacement Cost</t>
  </si>
  <si>
    <t>Admin Cost (as % of Initial Capital Cost)</t>
  </si>
  <si>
    <t>Local System Dist I2R Loss Component (%)</t>
  </si>
  <si>
    <t>Admin Cost / Category Level:</t>
  </si>
  <si>
    <t>True:  Admin Costs added at Category Results</t>
  </si>
  <si>
    <t>Marginal Avoided Cost CO2 Input Worksheet</t>
  </si>
  <si>
    <t>LineLossShapes</t>
  </si>
  <si>
    <t>Sponsor Share of Admin Cost</t>
  </si>
  <si>
    <t>Regional Act Conservation Credit (%)</t>
  </si>
  <si>
    <t>Risk-Mitigation Credit (mills/kWh)(mills/therm) - Retro.</t>
  </si>
  <si>
    <t>Periodic O&amp;M Treatment:</t>
  </si>
  <si>
    <t>True:  (Periodic O&amp;M Repeats over measure life)</t>
  </si>
  <si>
    <t>Line Loss Shape Input Worksheet</t>
  </si>
  <si>
    <t>Last Year of Non-Customer O&amp;M &amp; Period Replacement</t>
  </si>
  <si>
    <t>Report Annual Carbon Saved for Year</t>
  </si>
  <si>
    <t>Risk-Mitigation Credit (mills/kWh)(mills/therm) - Lost Op.</t>
  </si>
  <si>
    <t>Measure Results; Sorted in same order as input</t>
  </si>
  <si>
    <t>Total Results</t>
  </si>
  <si>
    <t>Measure Input Data</t>
  </si>
  <si>
    <t>Savings</t>
  </si>
  <si>
    <t>PV Capital</t>
  </si>
  <si>
    <t>PV Admin</t>
  </si>
  <si>
    <t>PV O&amp;M</t>
  </si>
  <si>
    <t>PV Periodic Repl.</t>
  </si>
  <si>
    <t>Total PV Capital, O&amp;M and Periodic Repl Costs</t>
  </si>
  <si>
    <t>PV Wholesale Electric Utility Costs &amp; Benefits</t>
  </si>
  <si>
    <t>PV Retail Electric Utility Costs &amp; Benefits</t>
  </si>
  <si>
    <t>PV Electric Utility System Costs &amp; Benefits</t>
  </si>
  <si>
    <t>Electric Utility System Economics</t>
  </si>
  <si>
    <t>Sponsor Levelized Cost (mills/kwh)</t>
  </si>
  <si>
    <t>PV Regional Costs &amp; Benefits</t>
  </si>
  <si>
    <t>TRC Economics</t>
  </si>
  <si>
    <t>Physical CO2</t>
  </si>
  <si>
    <t>PV Gas Utility System Costs &amp; Benefits</t>
  </si>
  <si>
    <t>Gas Utility System Economics</t>
  </si>
  <si>
    <t>Category</t>
  </si>
  <si>
    <t>Measure</t>
  </si>
  <si>
    <t>Site Savings (kWh)</t>
  </si>
  <si>
    <t>Site Savings (therms)</t>
  </si>
  <si>
    <t>Capital Cost ($/unit)</t>
  </si>
  <si>
    <t>Annual O&amp;M Cost ($/unit)</t>
  </si>
  <si>
    <t>PV Per. Repl. Cost ($/unit)</t>
  </si>
  <si>
    <t>Load Shape (electric)</t>
  </si>
  <si>
    <t>Diversified Load Factor (electric)</t>
  </si>
  <si>
    <t>Wholesale Power Coincidence Factor (electric)</t>
  </si>
  <si>
    <t>Wholesale Electric Energy (kWh)</t>
  </si>
  <si>
    <t>Wholesale Electric Demand (kw)</t>
  </si>
  <si>
    <t>Retail Electric Demand (kW)</t>
  </si>
  <si>
    <t>Wholesale Gas Energy (therms/yr)</t>
  </si>
  <si>
    <t>Wholesale Gas Demand (therms/day)</t>
  </si>
  <si>
    <t>Retail Gas Demand (therms/day)</t>
  </si>
  <si>
    <t>Wholesale Electric</t>
  </si>
  <si>
    <t>Retail Electric</t>
  </si>
  <si>
    <t>Natural Gas</t>
  </si>
  <si>
    <t>Wholesale Utility System Energy</t>
  </si>
  <si>
    <t>Wholesale Utility System T&amp;D Def. Cap.</t>
  </si>
  <si>
    <t>Wholesale Utility System Act C-E Credit</t>
  </si>
  <si>
    <t>Wholesale Utility System Risk Mitigation Benefit</t>
  </si>
  <si>
    <t>Wholesale Utility System Total System Benefit</t>
  </si>
  <si>
    <t>Wholesale Utility System Total Non-Consumer Cost</t>
  </si>
  <si>
    <t>Wholesale Utility System B/C Ratio</t>
  </si>
  <si>
    <t>Retail Utility System Energy</t>
  </si>
  <si>
    <t>Retail Utility System T&amp;D Def. Cap.</t>
  </si>
  <si>
    <t>Retail Utility System Act C-E Credit</t>
  </si>
  <si>
    <t>Retail Utility System Risk Mitigation Benefit</t>
  </si>
  <si>
    <t>Retail Utility System Total System Benefit</t>
  </si>
  <si>
    <t>Retail Utility System Total Non-Consumer Cost</t>
  </si>
  <si>
    <t>Retail Utility System System B/C Ratio</t>
  </si>
  <si>
    <t>Utility System Energy</t>
  </si>
  <si>
    <t>Utility System T&amp;D Def. Cap.</t>
  </si>
  <si>
    <t>Utility System Act C-E Credit</t>
  </si>
  <si>
    <t>Utility System Total Risk Mitigation Benefit</t>
  </si>
  <si>
    <t>Utility System Total System Benefit</t>
  </si>
  <si>
    <t>Utility System Total Non-Consumer Cost</t>
  </si>
  <si>
    <t>Utility System Net Levelized Cost (Net of Elec T&amp;D Capacity Benefits, Act Credit &amp; Risk-Mitigation Benefit) in mills/kwh</t>
  </si>
  <si>
    <t>Utility System System B/C Ratio</t>
  </si>
  <si>
    <t>Wholesale Electric Levelized Cost</t>
  </si>
  <si>
    <t>Retail Electric Levelized Cost</t>
  </si>
  <si>
    <t>Natural Gas Levelized Cost</t>
  </si>
  <si>
    <t>Customer Levelized Cost</t>
  </si>
  <si>
    <t>Total Levelized Cost</t>
  </si>
  <si>
    <t>PV Regional Electric Energy</t>
  </si>
  <si>
    <t>PV Regional Gas Energy</t>
  </si>
  <si>
    <t>PV Regional Electric T&amp;D Def. Cap.</t>
  </si>
  <si>
    <t>PV Regional Gas T&amp;D Def. Cap.</t>
  </si>
  <si>
    <t>PV Regional Electric System CO2</t>
  </si>
  <si>
    <t>PV Regional Gas System CO2</t>
  </si>
  <si>
    <t>PV Regional Electric System Risk-Mitigation Benefit</t>
  </si>
  <si>
    <t>PV Regional Gas System Risk-Mitigation Benefit</t>
  </si>
  <si>
    <t>PV Regional Non-E Value</t>
  </si>
  <si>
    <t>PV Regional Act Credit</t>
  </si>
  <si>
    <t>PV Regional Capital Cost</t>
  </si>
  <si>
    <t>PV Regional Admin Cost</t>
  </si>
  <si>
    <t>PV Regional Annual O&amp;M Cost</t>
  </si>
  <si>
    <t>PV Regional Periodic Replacement Cost</t>
  </si>
  <si>
    <t>PV Total Regional Benefit</t>
  </si>
  <si>
    <t>PV Total Regional Cost</t>
  </si>
  <si>
    <t>TRC B/C Ratio</t>
  </si>
  <si>
    <t>Electric System CO2 Avoided (Lifetime Tons)</t>
  </si>
  <si>
    <t>Gas System CO2 Avoided (Lifetime Tons)</t>
  </si>
  <si>
    <t>Total System CO2 Avoided (Lifetime Tons)</t>
  </si>
  <si>
    <t>Electric System CO2 Avoided (Annual Tons in 2018)</t>
  </si>
  <si>
    <t>Gas System CO2 Avoided (Annual Tons in 2018)</t>
  </si>
  <si>
    <t>Total System CO2 Avoided (Annual Tons in 2018)</t>
  </si>
  <si>
    <t>Gas Site Savings (therms)</t>
  </si>
  <si>
    <t>Load Shape (gas)</t>
  </si>
  <si>
    <t>Diversitfied Load Factor (gas)</t>
  </si>
  <si>
    <t>Wholesale Coincidence Factor (gas)</t>
  </si>
  <si>
    <t>Total Gas Utility System Energy</t>
  </si>
  <si>
    <t>Gas Utility System T&amp;D Def. Cap.</t>
  </si>
  <si>
    <t>Gas Utility System Risk Mitigation Benefit</t>
  </si>
  <si>
    <t>Gas Utility System Total System Benefit</t>
  </si>
  <si>
    <t>Gas Utility System Total Non-Consumer Cost</t>
  </si>
  <si>
    <t>Gas Utility System Net Levelized Cost (Net of Gas T&amp;D Capacity Benefits &amp; Risk-Mitigation Benefits) in cents/therm</t>
  </si>
  <si>
    <t>Gas Utility System System B/C Ratio</t>
  </si>
  <si>
    <t>(na)</t>
  </si>
  <si>
    <t>Category Results; Sorted by TRC Levelized Cost</t>
  </si>
  <si>
    <t>Supply Curve Results; Categories sorted by TRC Net Levelized Cost</t>
  </si>
  <si>
    <t>Totals for Categories with Benefits Exceeding Costs.    Levelized cost is TRC Net Levelized Cost (Net of Benefits)</t>
  </si>
  <si>
    <t>Totals Basis</t>
  </si>
  <si>
    <t>Busbar Electric Savings in kWh</t>
  </si>
  <si>
    <t>First Cost</t>
  </si>
  <si>
    <t>Admin Cost</t>
  </si>
  <si>
    <t>First Year Program Cost</t>
  </si>
  <si>
    <t>PV Cost</t>
  </si>
  <si>
    <t>PV Benefits</t>
  </si>
  <si>
    <t>Unit Program Cost: First Year Program Cost in $/average annual kW saved</t>
  </si>
  <si>
    <t>Utility System Net Levelized Cost (Net of T&amp;D Capacity Benefits, Act Credit &amp; Risk-Mitigation) in mills/kWh</t>
  </si>
  <si>
    <t>Net Electric &amp; Gas System CO2 Avoided (Lifetime Tons)</t>
  </si>
  <si>
    <t>Jan</t>
  </si>
  <si>
    <t>Feb</t>
  </si>
  <si>
    <t>Mar</t>
  </si>
  <si>
    <t>Apr</t>
  </si>
  <si>
    <t>May</t>
  </si>
  <si>
    <t>Jun</t>
  </si>
  <si>
    <t>Jul</t>
  </si>
  <si>
    <t>Aug</t>
  </si>
  <si>
    <t>Sep</t>
  </si>
  <si>
    <t>Oct</t>
  </si>
  <si>
    <t>Nov</t>
  </si>
  <si>
    <t>Dec</t>
  </si>
  <si>
    <t>Measures with B/C &gt; 1.00</t>
  </si>
  <si>
    <t>Categories with B/C &gt; 1.00</t>
  </si>
  <si>
    <t>Supply Curve Results:  By TRC Net Levelized Cost - Net of Benefits</t>
  </si>
  <si>
    <t>Shaped Savings Results; By Category and sorted by TRC BC ratio</t>
  </si>
  <si>
    <t>Wheel/hand line systems: Replace leaking gasket with new gasket  - Montana</t>
  </si>
  <si>
    <t>Wheel/hand line systems: Replace leaking drain with new drain  - Montana</t>
  </si>
  <si>
    <t>Wheel/hand line systems: Cut and pipe press repair of leaking hand-lines, wheel-lines, and portable main-lines  - Montana</t>
  </si>
  <si>
    <t>Thunderbird wheel line systems: Replace leaking hub with new hub  - Montana</t>
  </si>
  <si>
    <t>Wheel line systems: Rebuild or replace leaking or malfunctioning leveler with new or rebuilt leveler.  - Montana</t>
  </si>
  <si>
    <t>Center pivot/linear move systems: Install new sprinkler package on an existing system.  - Montana</t>
  </si>
  <si>
    <t>Center pivot/linear move systems: New gooseneck elbows  - Montana</t>
  </si>
  <si>
    <t>Center pivot/linear move systems: New drop tubes (3 feet minimum)  - Montana</t>
  </si>
  <si>
    <t>Center pivot/linear move systems: Replace leaking pivot boot gasket with new pivot boot gasket  - Montana</t>
  </si>
  <si>
    <t>Center pivot/linear move systems: Replace leaking tower gasket with new tower gasket  - Montana</t>
  </si>
  <si>
    <t>(only Western MT)</t>
  </si>
  <si>
    <t>Block 22: 200-210 mills/kWh</t>
  </si>
  <si>
    <t>&lt;=210</t>
  </si>
  <si>
    <t>Block 23: 210-220 mills/kWh</t>
  </si>
  <si>
    <t>&gt;210</t>
  </si>
  <si>
    <t>&lt;=220</t>
  </si>
  <si>
    <t>Block 24: 220-230 mills/kWh</t>
  </si>
  <si>
    <t>&gt;220</t>
  </si>
  <si>
    <t>&lt;=230</t>
  </si>
  <si>
    <t>Block 25: 230-240 mills/kWh</t>
  </si>
  <si>
    <t>&gt;230</t>
  </si>
  <si>
    <t>&lt;=240</t>
  </si>
  <si>
    <t>Block 26: 240-250 mills/kWh</t>
  </si>
  <si>
    <t>&gt;240</t>
  </si>
  <si>
    <t>&lt;=250</t>
  </si>
  <si>
    <t>Block 27: 250-260 mills/kWh</t>
  </si>
  <si>
    <t>&gt;250</t>
  </si>
  <si>
    <t>&lt;=260</t>
  </si>
  <si>
    <t>Block 28: 260-270 mills/kWh</t>
  </si>
  <si>
    <t>&gt;260</t>
  </si>
  <si>
    <t>&lt;=270</t>
  </si>
  <si>
    <t>Block 29: 270-280 mills/kWh</t>
  </si>
  <si>
    <t>&gt;270</t>
  </si>
  <si>
    <t>&lt;=280</t>
  </si>
  <si>
    <t>Block 30: 280-290 mills/kWh</t>
  </si>
  <si>
    <t>&gt;280</t>
  </si>
  <si>
    <t>&lt;=290</t>
  </si>
  <si>
    <t>Block 31: 290-300 mills/kWh</t>
  </si>
  <si>
    <t>&gt;290</t>
  </si>
  <si>
    <t>&lt;=300</t>
  </si>
  <si>
    <t>Block 32: &gt; 300 mills/kWh</t>
  </si>
  <si>
    <t>&gt;300</t>
  </si>
  <si>
    <t>Average Acre Ft/Acre</t>
  </si>
  <si>
    <t>Average Acres Irrigated per Pump</t>
  </si>
  <si>
    <t>Energy &amp; Water Use Data for Estimating Savings from Irrigation Scheduling and Hardware Retrofits</t>
  </si>
  <si>
    <t>Data and Assumptions</t>
  </si>
  <si>
    <t>Irrigation Electrcity Use  - 2013</t>
  </si>
  <si>
    <t>Farms</t>
  </si>
  <si>
    <t>Pumps Powered</t>
  </si>
  <si>
    <t>Total Irrigated Acres</t>
  </si>
  <si>
    <t>Average Acres Irrigated per Farm</t>
  </si>
  <si>
    <t>Average Electricity Cost/Farm</t>
  </si>
  <si>
    <t>Average. Electricity Costs ($/acre/yr)</t>
  </si>
  <si>
    <t>Average. Electricity Costs ($/pump/yr)</t>
  </si>
  <si>
    <t>Annual Electricity Use (kWh/acre/yr)</t>
  </si>
  <si>
    <t>Average Use (kWh/Acre.- Ft.</t>
  </si>
  <si>
    <t>Estimate Annual Irrigation Use (aMW)</t>
  </si>
  <si>
    <t>Change units from per widget to per acre</t>
  </si>
  <si>
    <t>per nozzle</t>
  </si>
  <si>
    <t>per sprinkler</t>
  </si>
  <si>
    <t>per gasket</t>
  </si>
  <si>
    <t>per drain</t>
  </si>
  <si>
    <t>per repair</t>
  </si>
  <si>
    <t>per hub</t>
  </si>
  <si>
    <t>per leveler</t>
  </si>
  <si>
    <t>per sprinkler package</t>
  </si>
  <si>
    <t>per gooseneck elbow</t>
  </si>
  <si>
    <t>per drop tube</t>
  </si>
  <si>
    <t>per pivot boot gasket</t>
  </si>
  <si>
    <t>per tower gasket</t>
  </si>
  <si>
    <t>RTF Savings Unit</t>
  </si>
  <si>
    <t>savingsYear</t>
  </si>
  <si>
    <t>BPA Sector</t>
  </si>
  <si>
    <t>BPA EndUse</t>
  </si>
  <si>
    <t>BPA Category</t>
  </si>
  <si>
    <t>BPA TAP</t>
  </si>
  <si>
    <t>SumOfkWhBusbar</t>
  </si>
  <si>
    <t>SumOfaMWBusbar</t>
  </si>
  <si>
    <t>Agricultural</t>
  </si>
  <si>
    <t>Discharge Fitting Equipment</t>
  </si>
  <si>
    <t>Nozzle Replacement</t>
  </si>
  <si>
    <t>Unknown</t>
  </si>
  <si>
    <t>Hardware</t>
  </si>
  <si>
    <t>Drain Replacement</t>
  </si>
  <si>
    <t>Drop Tube/Hose Extension</t>
  </si>
  <si>
    <t>Gasket Replacement</t>
  </si>
  <si>
    <t>Goose Necks</t>
  </si>
  <si>
    <t>Hub Replacement</t>
  </si>
  <si>
    <t>Leveler Rebuild</t>
  </si>
  <si>
    <t>Multi-Trajectory Sprays</t>
  </si>
  <si>
    <t>Pipe Repair</t>
  </si>
  <si>
    <t>Regulator Replacement</t>
  </si>
  <si>
    <t>Sprinkler Replacements</t>
  </si>
  <si>
    <t>Irrigation System Improvements</t>
  </si>
  <si>
    <t>Mainline System and Equipment</t>
  </si>
  <si>
    <t>Mainline System Pump Improvements</t>
  </si>
  <si>
    <t>Pumps and Fans</t>
  </si>
  <si>
    <t>Vacuum Pump System Improvements</t>
  </si>
  <si>
    <t>Center Pivot System and Equipment</t>
  </si>
  <si>
    <t>Pump Testing Service</t>
  </si>
  <si>
    <t>Irrigation Hardware</t>
  </si>
  <si>
    <t>Unit/Acre</t>
  </si>
  <si>
    <t>Accounting for overlap between measures</t>
  </si>
  <si>
    <t>Overlap</t>
  </si>
  <si>
    <t>Savings Allocation by Cost Bin and Month for Segments 1</t>
  </si>
  <si>
    <t>Savings Allocation by Cost Bin and Month for Segments 2</t>
  </si>
  <si>
    <t>Savings Allocation by Category and Month for Segments 1</t>
  </si>
  <si>
    <t>Savings Allocation by Category and Month for Segments 2</t>
  </si>
  <si>
    <t>Wholesale KW</t>
  </si>
  <si>
    <t>overlaps w/ replace worn nozzle with new nozzle. Measures have same savings, different cost</t>
  </si>
  <si>
    <t>overlaps w/ replace worn nozzle with new flow controlling type nozzle. Measures have same savings, different cost</t>
  </si>
  <si>
    <t>Estimate East vs West split based on total irrigated acres by county</t>
  </si>
  <si>
    <t>Acres irrigated land</t>
  </si>
  <si>
    <t>W ID Counties</t>
  </si>
  <si>
    <t>Bonner</t>
  </si>
  <si>
    <t>Kootenai</t>
  </si>
  <si>
    <t>Benewah</t>
  </si>
  <si>
    <t>Shoshone</t>
  </si>
  <si>
    <t>Latah</t>
  </si>
  <si>
    <t>Clearwater</t>
  </si>
  <si>
    <t>Nez Perce</t>
  </si>
  <si>
    <t>Lewis</t>
  </si>
  <si>
    <t>Adams</t>
  </si>
  <si>
    <t>Valley</t>
  </si>
  <si>
    <t>Lemhi</t>
  </si>
  <si>
    <t>Payette</t>
  </si>
  <si>
    <t>Gem</t>
  </si>
  <si>
    <t>Boise</t>
  </si>
  <si>
    <t>Custer</t>
  </si>
  <si>
    <t>Canyon</t>
  </si>
  <si>
    <t>Elmore</t>
  </si>
  <si>
    <t>W ID Total</t>
  </si>
  <si>
    <t>ID Total</t>
  </si>
  <si>
    <t>% W ID</t>
  </si>
  <si>
    <t>W MT Counties</t>
  </si>
  <si>
    <t>Deer Lodge</t>
  </si>
  <si>
    <t>Flathead</t>
  </si>
  <si>
    <t>Jefferson</t>
  </si>
  <si>
    <t>Lake</t>
  </si>
  <si>
    <t>Lewis and Clark</t>
  </si>
  <si>
    <t>Lincoln</t>
  </si>
  <si>
    <t>Mineral</t>
  </si>
  <si>
    <t>Missoula</t>
  </si>
  <si>
    <t>Powell</t>
  </si>
  <si>
    <t>Ravalli</t>
  </si>
  <si>
    <t>Sanders</t>
  </si>
  <si>
    <t>Silver Bow</t>
  </si>
  <si>
    <t>W MT Total</t>
  </si>
  <si>
    <t>MT Total</t>
  </si>
  <si>
    <t>% W MT</t>
  </si>
  <si>
    <t>W OR Counties</t>
  </si>
  <si>
    <t>Clatsop</t>
  </si>
  <si>
    <t>Tillamook</t>
  </si>
  <si>
    <t>Lane</t>
  </si>
  <si>
    <t>Douglas</t>
  </si>
  <si>
    <t>Coos</t>
  </si>
  <si>
    <t>Curry</t>
  </si>
  <si>
    <t>Columbia</t>
  </si>
  <si>
    <t>Yamhill</t>
  </si>
  <si>
    <t>Polk</t>
  </si>
  <si>
    <t>Benton</t>
  </si>
  <si>
    <t>Josephine</t>
  </si>
  <si>
    <t>Multnomah</t>
  </si>
  <si>
    <t>Clackamas</t>
  </si>
  <si>
    <t>Marion</t>
  </si>
  <si>
    <t>Linn</t>
  </si>
  <si>
    <t>Jackson</t>
  </si>
  <si>
    <t>W OR Total</t>
  </si>
  <si>
    <t>OR Total</t>
  </si>
  <si>
    <t>% W OR</t>
  </si>
  <si>
    <t>Based on percent of acres irrigated land by county (see tab W vs E)</t>
  </si>
  <si>
    <t>W WA Counties</t>
  </si>
  <si>
    <t>Clallam</t>
  </si>
  <si>
    <t>Grays Harbor</t>
  </si>
  <si>
    <t>Pacific</t>
  </si>
  <si>
    <t>Wahkiakum</t>
  </si>
  <si>
    <t>San Juan</t>
  </si>
  <si>
    <t>Island</t>
  </si>
  <si>
    <t>Kitsap</t>
  </si>
  <si>
    <t>Mason</t>
  </si>
  <si>
    <t>Thurston</t>
  </si>
  <si>
    <t>Cowlitz</t>
  </si>
  <si>
    <t>Clark</t>
  </si>
  <si>
    <t>Whatcom</t>
  </si>
  <si>
    <t>Skagit</t>
  </si>
  <si>
    <t>Snohomish</t>
  </si>
  <si>
    <t>King</t>
  </si>
  <si>
    <t>Pierce</t>
  </si>
  <si>
    <t>Skamania</t>
  </si>
  <si>
    <t>W WA Total</t>
  </si>
  <si>
    <t>WA Total</t>
  </si>
  <si>
    <t>% W WA</t>
  </si>
  <si>
    <t>Nozzle, gasket, and other irrigation hardware replacements</t>
  </si>
  <si>
    <t>RTF</t>
  </si>
  <si>
    <t>AgIrrigationHardware_v3_0.xlsm</t>
  </si>
  <si>
    <t>Methods &amp; Sources</t>
  </si>
  <si>
    <t>Note</t>
  </si>
  <si>
    <t>7P Updates</t>
  </si>
  <si>
    <t>New mix of measures from 6P, based on RTF work</t>
  </si>
  <si>
    <t>Irrigated acres by irrigation system type from 2013 Farm &amp; Ranch Irrigation Survey</t>
  </si>
  <si>
    <t>Best guess based on 6P work</t>
  </si>
  <si>
    <t>By ag region, rolled up to state</t>
  </si>
  <si>
    <t>Apportion of east/west region based on # irrigated acres by county</t>
  </si>
  <si>
    <t>Generic irrigation load shape from ELCAP</t>
  </si>
  <si>
    <t>same</t>
  </si>
  <si>
    <t>Retro med haul</t>
  </si>
  <si>
    <t>Long standing programs</t>
  </si>
  <si>
    <t>6P used 5%/year</t>
  </si>
  <si>
    <t>Center Pivot Conversions</t>
  </si>
  <si>
    <t>Drop Installation for Spray Heads and Pressure Regulators</t>
  </si>
  <si>
    <t>Flow Control Nozzles and Diffuser</t>
  </si>
  <si>
    <t>Impact Sprinkler Heads</t>
  </si>
  <si>
    <t>Line Repairs</t>
  </si>
  <si>
    <t>Reduce Friction Loss</t>
  </si>
  <si>
    <t>Reduce System Leakage</t>
  </si>
  <si>
    <t>Centrifugal Pump System Improvements</t>
  </si>
  <si>
    <t>Turbine Pump System Improvements</t>
  </si>
  <si>
    <t>Ramp Rate</t>
  </si>
  <si>
    <t>Resource Type</t>
  </si>
  <si>
    <t>Measure Category</t>
  </si>
  <si>
    <t>Sector</t>
  </si>
  <si>
    <t>End Use</t>
  </si>
  <si>
    <t>kW per unit</t>
  </si>
  <si>
    <t>kWh per unit</t>
  </si>
  <si>
    <t>TRC Net Levelized Cost (Net of All Benefits)</t>
  </si>
  <si>
    <t>segment</t>
  </si>
  <si>
    <t>Agriculture</t>
  </si>
  <si>
    <t>End Use:</t>
  </si>
  <si>
    <t>Retrofit, this bundle is composed of maintenance measures</t>
  </si>
  <si>
    <t>Most of these are maintenance measures, so the potential will return after EUL</t>
  </si>
  <si>
    <t>Total Max Potential (aMW)</t>
  </si>
  <si>
    <t>Stock</t>
  </si>
  <si>
    <t>Granite</t>
  </si>
  <si>
    <t>Monday, 16 March , 2015 at 4:07 PM</t>
  </si>
  <si>
    <t>Q:\SeventhPlan\Conservation Analysis\Global EE Inputs\MC Files\MC_AND_LOADSHAPE_v3.0_24segment-7P-D9 - NewSegValues.xlsx</t>
  </si>
</sst>
</file>

<file path=xl/styles.xml><?xml version="1.0" encoding="utf-8"?>
<styleSheet xmlns="http://schemas.openxmlformats.org/spreadsheetml/2006/main">
  <numFmts count="25">
    <numFmt numFmtId="5" formatCode="&quot;$&quot;#,##0_);\(&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0000"/>
    <numFmt numFmtId="166" formatCode="0.0000"/>
    <numFmt numFmtId="167" formatCode="m/d/\ h:mm"/>
    <numFmt numFmtId="168" formatCode="_(* #,##0.0_);_(* \(#,##0.0\);_(* &quot;-&quot;?_);_(@_)"/>
    <numFmt numFmtId="169" formatCode="0.0%"/>
    <numFmt numFmtId="170" formatCode="&quot;$&quot;#,##0.00"/>
    <numFmt numFmtId="171" formatCode="#,##0.0"/>
    <numFmt numFmtId="172" formatCode="mmm\-yyyy"/>
    <numFmt numFmtId="173" formatCode="_(* #,##0_);_(* \(#,##0\);_(* &quot;-&quot;??_);_(@_)"/>
    <numFmt numFmtId="174" formatCode="###0;###0"/>
    <numFmt numFmtId="175" formatCode="###0.0;###0.0"/>
    <numFmt numFmtId="176" formatCode="###0.00;###0.00"/>
    <numFmt numFmtId="177" formatCode="###0.000;###0.000"/>
    <numFmt numFmtId="178" formatCode="0.0;[Red]\-0.0"/>
    <numFmt numFmtId="179" formatCode="\ "/>
    <numFmt numFmtId="180" formatCode="_(* #,##0.0_);_(* \(#,##0.0\);_(* &quot;-&quot;??_);_(@_)"/>
    <numFmt numFmtId="181" formatCode="_(&quot;$&quot;* #,##0_);_(&quot;$&quot;* \(#,##0\);_(&quot;$&quot;* &quot;-&quot;??_);_(@_)"/>
    <numFmt numFmtId="182" formatCode="00000"/>
    <numFmt numFmtId="183" formatCode="0.000"/>
  </numFmts>
  <fonts count="88">
    <font>
      <sz val="10"/>
      <name val="Arial"/>
      <family val="2"/>
    </font>
    <font>
      <sz val="10"/>
      <color theme="1"/>
      <name val="Arial"/>
      <family val="2"/>
    </font>
    <font>
      <sz val="10"/>
      <color theme="1"/>
      <name val="Arial"/>
      <family val="2"/>
    </font>
    <font>
      <sz val="12"/>
      <name val="Arial"/>
      <family val="2"/>
    </font>
    <font>
      <b/>
      <i/>
      <sz val="10"/>
      <name val="Arial"/>
      <family val="2"/>
    </font>
    <font>
      <sz val="10"/>
      <name val="Arial"/>
      <family val="2"/>
    </font>
    <font>
      <b/>
      <sz val="10"/>
      <color rgb="FFFF0000"/>
      <name val="Arial"/>
      <family val="2"/>
    </font>
    <font>
      <b/>
      <sz val="10"/>
      <color indexed="9"/>
      <name val="Arial"/>
      <family val="2"/>
    </font>
    <font>
      <sz val="10"/>
      <color indexed="22"/>
      <name val="Arial"/>
      <family val="2"/>
    </font>
    <font>
      <sz val="10"/>
      <color indexed="12"/>
      <name val="Arial"/>
      <family val="2"/>
    </font>
    <font>
      <sz val="10"/>
      <color indexed="8"/>
      <name val="Arial"/>
      <family val="2"/>
    </font>
    <font>
      <b/>
      <sz val="10"/>
      <name val="Arial"/>
      <family val="2"/>
    </font>
    <font>
      <sz val="10"/>
      <color indexed="9"/>
      <name val="Arial"/>
      <family val="2"/>
    </font>
    <font>
      <b/>
      <sz val="8"/>
      <color indexed="81"/>
      <name val="Tahoma"/>
      <family val="2"/>
    </font>
    <font>
      <sz val="8"/>
      <color indexed="81"/>
      <name val="Tahoma"/>
      <family val="2"/>
    </font>
    <font>
      <sz val="12"/>
      <name val="Times New Roman"/>
      <family val="1"/>
    </font>
    <font>
      <b/>
      <sz val="12"/>
      <name val="Times New Roman"/>
      <family val="1"/>
    </font>
    <font>
      <b/>
      <sz val="11"/>
      <color theme="1"/>
      <name val="Calibri"/>
      <family val="2"/>
      <scheme val="minor"/>
    </font>
    <font>
      <sz val="11"/>
      <color theme="1"/>
      <name val="Calibri"/>
      <family val="2"/>
      <scheme val="minor"/>
    </font>
    <font>
      <sz val="10"/>
      <name val="Arial"/>
      <family val="2"/>
    </font>
    <font>
      <sz val="10"/>
      <name val="MS Sans Serif"/>
      <family val="2"/>
    </font>
    <font>
      <sz val="11"/>
      <color indexed="8"/>
      <name val="Calibri"/>
      <family val="2"/>
    </font>
    <font>
      <b/>
      <i/>
      <sz val="11"/>
      <name val="Arial"/>
      <family val="2"/>
    </font>
    <font>
      <sz val="11"/>
      <color indexed="8"/>
      <name val="Calibri"/>
      <family val="2"/>
    </font>
    <font>
      <b/>
      <sz val="13"/>
      <color indexed="62"/>
      <name val="Calibri"/>
      <family val="2"/>
    </font>
    <font>
      <u/>
      <sz val="10"/>
      <color indexed="12"/>
      <name val="Arial"/>
      <family val="2"/>
    </font>
    <font>
      <u/>
      <sz val="7"/>
      <color indexed="12"/>
      <name val="Arial"/>
      <family val="2"/>
    </font>
    <font>
      <b/>
      <sz val="11"/>
      <color indexed="8"/>
      <name val="Calibri"/>
      <family val="2"/>
    </font>
    <font>
      <sz val="11"/>
      <color indexed="10"/>
      <name val="Calibri"/>
      <family val="2"/>
    </font>
    <font>
      <b/>
      <sz val="10"/>
      <color indexed="10"/>
      <name val="Arial"/>
      <family val="2"/>
    </font>
    <font>
      <u/>
      <sz val="10"/>
      <color theme="10"/>
      <name val="Arial"/>
      <family val="2"/>
    </font>
    <font>
      <b/>
      <sz val="14"/>
      <color theme="1"/>
      <name val="Calibri"/>
      <family val="2"/>
      <scheme val="minor"/>
    </font>
    <font>
      <b/>
      <sz val="11"/>
      <name val="Calibri"/>
      <family val="2"/>
      <scheme val="minor"/>
    </font>
    <font>
      <sz val="11"/>
      <name val="Calibri"/>
      <family val="2"/>
      <scheme val="minor"/>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b/>
      <sz val="10"/>
      <color indexed="8"/>
      <name val="Arial"/>
      <family val="2"/>
    </font>
    <font>
      <i/>
      <sz val="11"/>
      <color indexed="23"/>
      <name val="Calibri"/>
      <family val="2"/>
    </font>
    <font>
      <sz val="11"/>
      <color indexed="17"/>
      <name val="Calibri"/>
      <family val="2"/>
    </font>
    <font>
      <b/>
      <sz val="15"/>
      <color indexed="56"/>
      <name val="Calibri"/>
      <family val="2"/>
    </font>
    <font>
      <b/>
      <sz val="15"/>
      <color indexed="62"/>
      <name val="Calibri"/>
      <family val="2"/>
    </font>
    <font>
      <b/>
      <sz val="11"/>
      <color indexed="56"/>
      <name val="Calibri"/>
      <family val="2"/>
    </font>
    <font>
      <b/>
      <sz val="11"/>
      <color indexed="62"/>
      <name val="Calibri"/>
      <family val="2"/>
    </font>
    <font>
      <u/>
      <sz val="10"/>
      <color indexed="12"/>
      <name val="Times New Roman"/>
      <family val="1"/>
    </font>
    <font>
      <u/>
      <sz val="11"/>
      <color theme="10"/>
      <name val="Calibri"/>
      <family val="2"/>
    </font>
    <font>
      <u/>
      <sz val="11"/>
      <color theme="10"/>
      <name val="Calibri"/>
      <family val="2"/>
      <scheme val="minor"/>
    </font>
    <font>
      <sz val="11"/>
      <color indexed="62"/>
      <name val="Calibri"/>
      <family val="2"/>
    </font>
    <font>
      <sz val="11"/>
      <color indexed="52"/>
      <name val="Calibri"/>
      <family val="2"/>
    </font>
    <font>
      <sz val="11"/>
      <color indexed="60"/>
      <name val="Calibri"/>
      <family val="2"/>
    </font>
    <font>
      <sz val="9"/>
      <name val="Arial"/>
      <family val="2"/>
    </font>
    <font>
      <sz val="12"/>
      <name val="Helv"/>
    </font>
    <font>
      <b/>
      <sz val="11"/>
      <color indexed="63"/>
      <name val="Calibri"/>
      <family val="2"/>
    </font>
    <font>
      <b/>
      <sz val="18"/>
      <color indexed="56"/>
      <name val="Cambria"/>
      <family val="2"/>
    </font>
    <font>
      <sz val="10"/>
      <name val="Helv"/>
    </font>
    <font>
      <sz val="10"/>
      <name val="Helv"/>
      <charset val="204"/>
    </font>
    <font>
      <b/>
      <sz val="18"/>
      <color indexed="62"/>
      <name val="Cambria"/>
      <family val="2"/>
    </font>
    <font>
      <sz val="10"/>
      <name val="굴림"/>
      <family val="3"/>
      <charset val="129"/>
    </font>
    <font>
      <sz val="9"/>
      <color indexed="81"/>
      <name val="Tahoma"/>
      <family val="2"/>
    </font>
    <font>
      <sz val="10"/>
      <color rgb="FFFF0000"/>
      <name val="Arial"/>
      <family val="2"/>
    </font>
    <font>
      <b/>
      <sz val="14"/>
      <color indexed="10"/>
      <name val="Arial"/>
      <family val="2"/>
    </font>
    <font>
      <sz val="8"/>
      <name val="Arial"/>
      <family val="2"/>
    </font>
    <font>
      <sz val="10"/>
      <color rgb="FF0070C0"/>
      <name val="Arial"/>
      <family val="2"/>
    </font>
    <font>
      <b/>
      <sz val="9"/>
      <color indexed="81"/>
      <name val="Tahoma"/>
      <family val="2"/>
    </font>
    <font>
      <u/>
      <sz val="11"/>
      <color theme="1"/>
      <name val="Calibri"/>
      <family val="2"/>
      <scheme val="minor"/>
    </font>
    <font>
      <sz val="10"/>
      <color theme="3" tint="0.39997558519241921"/>
      <name val="Arial"/>
      <family val="2"/>
    </font>
    <font>
      <sz val="10"/>
      <color indexed="30"/>
      <name val="Arial"/>
      <family val="2"/>
    </font>
    <font>
      <b/>
      <sz val="14"/>
      <name val="Arial"/>
      <family val="2"/>
    </font>
    <font>
      <sz val="11"/>
      <color indexed="8"/>
      <name val="Cambria"/>
      <family val="1"/>
      <charset val="204"/>
    </font>
    <font>
      <sz val="11"/>
      <color indexed="8"/>
      <name val="Arial"/>
      <family val="2"/>
    </font>
    <font>
      <sz val="11"/>
      <color indexed="8"/>
      <name val="Calibri"/>
      <family val="1"/>
      <charset val="204"/>
    </font>
    <font>
      <b/>
      <sz val="11"/>
      <color indexed="8"/>
      <name val="Cambria"/>
      <family val="1"/>
      <charset val="204"/>
    </font>
    <font>
      <sz val="10"/>
      <name val="Times New Roman"/>
      <family val="1"/>
      <charset val="204"/>
    </font>
    <font>
      <sz val="7"/>
      <color indexed="8"/>
      <name val="Calibri"/>
      <family val="1"/>
      <charset val="204"/>
    </font>
    <font>
      <b/>
      <sz val="11"/>
      <color indexed="8"/>
      <name val="Arial"/>
      <family val="2"/>
    </font>
    <font>
      <sz val="7"/>
      <color indexed="8"/>
      <name val="Cambria"/>
      <family val="1"/>
      <charset val="204"/>
    </font>
    <font>
      <b/>
      <sz val="18"/>
      <color theme="1"/>
      <name val="Calibri"/>
      <family val="2"/>
      <scheme val="minor"/>
    </font>
    <font>
      <b/>
      <u/>
      <sz val="11"/>
      <color theme="1"/>
      <name val="Calibri"/>
      <family val="2"/>
      <scheme val="minor"/>
    </font>
    <font>
      <sz val="11"/>
      <color theme="1"/>
      <name val="Cambria"/>
      <family val="1"/>
    </font>
    <font>
      <sz val="10"/>
      <color indexed="10"/>
      <name val="Arial"/>
      <family val="2"/>
    </font>
    <font>
      <b/>
      <sz val="10"/>
      <color theme="0"/>
      <name val="Calibri"/>
      <family val="2"/>
      <scheme val="minor"/>
    </font>
    <font>
      <sz val="10"/>
      <color theme="1"/>
      <name val="Calibri"/>
      <family val="2"/>
      <scheme val="minor"/>
    </font>
    <font>
      <sz val="9"/>
      <color theme="1"/>
      <name val="Arial"/>
      <family val="2"/>
    </font>
    <font>
      <sz val="9"/>
      <color indexed="81"/>
      <name val="Tahoma"/>
      <charset val="1"/>
    </font>
    <font>
      <b/>
      <sz val="9"/>
      <color indexed="81"/>
      <name val="Tahoma"/>
      <charset val="1"/>
    </font>
  </fonts>
  <fills count="99">
    <fill>
      <patternFill patternType="none"/>
    </fill>
    <fill>
      <patternFill patternType="gray125"/>
    </fill>
    <fill>
      <patternFill patternType="solid">
        <fgColor indexed="18"/>
        <bgColor indexed="64"/>
      </patternFill>
    </fill>
    <fill>
      <patternFill patternType="solid">
        <fgColor indexed="26"/>
        <bgColor indexed="64"/>
      </patternFill>
    </fill>
    <fill>
      <patternFill patternType="solid">
        <fgColor indexed="12"/>
        <bgColor indexed="64"/>
      </patternFill>
    </fill>
    <fill>
      <patternFill patternType="solid">
        <fgColor indexed="22"/>
        <bgColor indexed="64"/>
      </patternFill>
    </fill>
    <fill>
      <patternFill patternType="solid">
        <fgColor theme="4" tint="0.79998168889431442"/>
        <bgColor indexed="64"/>
      </patternFill>
    </fill>
    <fill>
      <patternFill patternType="solid">
        <fgColor indexed="57"/>
        <bgColor indexed="64"/>
      </patternFill>
    </fill>
    <fill>
      <patternFill patternType="solid">
        <fgColor indexed="47"/>
        <bgColor indexed="64"/>
      </patternFill>
    </fill>
    <fill>
      <patternFill patternType="solid">
        <fgColor indexed="44"/>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indexed="26"/>
      </patternFill>
    </fill>
    <fill>
      <patternFill patternType="solid">
        <fgColor indexed="45"/>
        <bgColor indexed="64"/>
      </patternFill>
    </fill>
    <fill>
      <patternFill patternType="solid">
        <fgColor indexed="9"/>
        <bgColor indexed="64"/>
      </patternFill>
    </fill>
    <fill>
      <patternFill patternType="solid">
        <fgColor indexed="13"/>
        <bgColor indexed="64"/>
      </patternFill>
    </fill>
    <fill>
      <patternFill patternType="solid">
        <fgColor indexed="31"/>
      </patternFill>
    </fill>
    <fill>
      <patternFill patternType="solid">
        <fgColor indexed="9"/>
      </patternFill>
    </fill>
    <fill>
      <patternFill patternType="solid">
        <fgColor indexed="8"/>
      </patternFill>
    </fill>
    <fill>
      <patternFill patternType="solid">
        <fgColor indexed="45"/>
      </patternFill>
    </fill>
    <fill>
      <patternFill patternType="solid">
        <fgColor indexed="47"/>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theme="3"/>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indexed="51"/>
        <bgColor indexed="64"/>
      </patternFill>
    </fill>
    <fill>
      <patternFill patternType="solid">
        <fgColor indexed="40"/>
        <bgColor indexed="64"/>
      </patternFill>
    </fill>
    <fill>
      <patternFill patternType="solid">
        <fgColor theme="2"/>
        <bgColor indexed="64"/>
      </patternFill>
    </fill>
    <fill>
      <patternFill patternType="solid">
        <fgColor rgb="FF92D050"/>
        <bgColor indexed="64"/>
      </patternFill>
    </fill>
    <fill>
      <patternFill patternType="solid">
        <fgColor rgb="FFFFFFFF"/>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bgColor indexed="64"/>
      </patternFill>
    </fill>
    <fill>
      <patternFill patternType="solid">
        <fgColor rgb="FFFF0000"/>
        <bgColor indexed="64"/>
      </patternFill>
    </fill>
    <fill>
      <patternFill patternType="solid">
        <fgColor indexed="60"/>
        <bgColor indexed="64"/>
      </patternFill>
    </fill>
    <fill>
      <patternFill patternType="solid">
        <fgColor indexed="3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24">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thick">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n">
        <color rgb="FFB2B2B2"/>
      </left>
      <right style="thin">
        <color rgb="FFB2B2B2"/>
      </right>
      <top style="thin">
        <color rgb="FFB2B2B2"/>
      </top>
      <bottom style="thin">
        <color rgb="FFB2B2B2"/>
      </bottom>
      <diagonal/>
    </border>
  </borders>
  <cellStyleXfs count="534">
    <xf numFmtId="0" fontId="0" fillId="0" borderId="0">
      <alignment readingOrder="1"/>
    </xf>
    <xf numFmtId="44" fontId="5" fillId="0" borderId="0" applyFont="0" applyFill="0" applyBorder="0" applyAlignment="0" applyProtection="0"/>
    <xf numFmtId="0" fontId="3" fillId="0" borderId="0"/>
    <xf numFmtId="0" fontId="5" fillId="0" borderId="0"/>
    <xf numFmtId="0" fontId="5" fillId="9" borderId="0" applyNumberFormat="0" applyAlignment="0">
      <alignment horizontal="right"/>
    </xf>
    <xf numFmtId="0" fontId="5" fillId="8" borderId="0" applyNumberFormat="0" applyAlignment="0"/>
    <xf numFmtId="167" fontId="15" fillId="0" borderId="0"/>
    <xf numFmtId="0" fontId="16" fillId="0" borderId="0">
      <alignment horizontal="center" wrapText="1"/>
    </xf>
    <xf numFmtId="9" fontId="5"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5" fillId="0" borderId="0">
      <alignment readingOrder="1"/>
    </xf>
    <xf numFmtId="0" fontId="19" fillId="0" borderId="0"/>
    <xf numFmtId="0" fontId="20"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0" fontId="5" fillId="8" borderId="0" applyNumberFormat="0" applyAlignment="0"/>
    <xf numFmtId="0" fontId="24" fillId="0" borderId="20" applyNumberFormat="0" applyFill="0" applyAlignment="0" applyProtection="0"/>
    <xf numFmtId="0" fontId="24" fillId="0" borderId="20" applyNumberFormat="0" applyFill="0" applyAlignment="0" applyProtection="0"/>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5" fillId="0" borderId="0"/>
    <xf numFmtId="0" fontId="23" fillId="0" borderId="0"/>
    <xf numFmtId="0" fontId="5" fillId="0" borderId="0">
      <alignment readingOrder="1"/>
    </xf>
    <xf numFmtId="0" fontId="5" fillId="0" borderId="0"/>
    <xf numFmtId="0" fontId="23" fillId="16" borderId="14" applyNumberFormat="0" applyFont="0" applyAlignment="0" applyProtection="0"/>
    <xf numFmtId="0" fontId="23" fillId="16"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alignment readingOrder="1"/>
    </xf>
    <xf numFmtId="0" fontId="3" fillId="0" borderId="0"/>
    <xf numFmtId="0" fontId="21" fillId="20" borderId="0" applyNumberFormat="0" applyBorder="0" applyAlignment="0" applyProtection="0"/>
    <xf numFmtId="0" fontId="21" fillId="21" borderId="0" applyNumberFormat="0" applyBorder="0" applyAlignment="0" applyProtection="0"/>
    <xf numFmtId="0" fontId="34" fillId="22" borderId="0" applyNumberFormat="0" applyBorder="0" applyAlignment="0" applyProtection="0"/>
    <xf numFmtId="0" fontId="21" fillId="23" borderId="0" applyNumberFormat="0" applyBorder="0" applyAlignment="0" applyProtection="0"/>
    <xf numFmtId="0" fontId="34" fillId="24" borderId="0" applyNumberFormat="0" applyBorder="0" applyAlignment="0" applyProtection="0"/>
    <xf numFmtId="0" fontId="21" fillId="25" borderId="0" applyNumberFormat="0" applyBorder="0" applyAlignment="0" applyProtection="0"/>
    <xf numFmtId="0" fontId="21" fillId="23" borderId="0" applyNumberFormat="0" applyBorder="0" applyAlignment="0" applyProtection="0"/>
    <xf numFmtId="0" fontId="34" fillId="16" borderId="0" applyNumberFormat="0" applyBorder="0" applyAlignment="0" applyProtection="0"/>
    <xf numFmtId="0" fontId="21" fillId="26" borderId="0" applyNumberFormat="0" applyBorder="0" applyAlignment="0" applyProtection="0"/>
    <xf numFmtId="0" fontId="21" fillId="21" borderId="0" applyNumberFormat="0" applyBorder="0" applyAlignment="0" applyProtection="0"/>
    <xf numFmtId="0" fontId="34" fillId="22" borderId="0" applyNumberFormat="0" applyBorder="0" applyAlignment="0" applyProtection="0"/>
    <xf numFmtId="0" fontId="21" fillId="27" borderId="0" applyNumberFormat="0" applyBorder="0" applyAlignment="0" applyProtection="0"/>
    <xf numFmtId="0" fontId="34" fillId="27" borderId="0" applyNumberFormat="0" applyBorder="0" applyAlignment="0" applyProtection="0"/>
    <xf numFmtId="0" fontId="21" fillId="24" borderId="0" applyNumberFormat="0" applyBorder="0" applyAlignment="0" applyProtection="0"/>
    <xf numFmtId="0" fontId="34" fillId="24"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34" fillId="29" borderId="0" applyNumberFormat="0" applyBorder="0" applyAlignment="0" applyProtection="0"/>
    <xf numFmtId="0" fontId="21" fillId="30" borderId="0" applyNumberFormat="0" applyBorder="0" applyAlignment="0" applyProtection="0"/>
    <xf numFmtId="0" fontId="21" fillId="23" borderId="0" applyNumberFormat="0" applyBorder="0" applyAlignment="0" applyProtection="0"/>
    <xf numFmtId="0" fontId="34" fillId="30" borderId="0" applyNumberFormat="0" applyBorder="0" applyAlignment="0" applyProtection="0"/>
    <xf numFmtId="0" fontId="21" fillId="31" borderId="0" applyNumberFormat="0" applyBorder="0" applyAlignment="0" applyProtection="0"/>
    <xf numFmtId="0" fontId="21" fillId="23" borderId="0" applyNumberFormat="0" applyBorder="0" applyAlignment="0" applyProtection="0"/>
    <xf numFmtId="0" fontId="34" fillId="32" borderId="0" applyNumberFormat="0" applyBorder="0" applyAlignment="0" applyProtection="0"/>
    <xf numFmtId="0" fontId="21" fillId="26" borderId="0" applyNumberFormat="0" applyBorder="0" applyAlignment="0" applyProtection="0"/>
    <xf numFmtId="0" fontId="21" fillId="29" borderId="0" applyNumberFormat="0" applyBorder="0" applyAlignment="0" applyProtection="0"/>
    <xf numFmtId="0" fontId="34" fillId="29" borderId="0" applyNumberFormat="0" applyBorder="0" applyAlignment="0" applyProtection="0"/>
    <xf numFmtId="0" fontId="21" fillId="28" borderId="0" applyNumberFormat="0" applyBorder="0" applyAlignment="0" applyProtection="0"/>
    <xf numFmtId="0" fontId="34" fillId="28" borderId="0" applyNumberFormat="0" applyBorder="0" applyAlignment="0" applyProtection="0"/>
    <xf numFmtId="0" fontId="21" fillId="33" borderId="0" applyNumberFormat="0" applyBorder="0" applyAlignment="0" applyProtection="0"/>
    <xf numFmtId="0" fontId="21" fillId="24" borderId="0" applyNumberFormat="0" applyBorder="0" applyAlignment="0" applyProtection="0"/>
    <xf numFmtId="0" fontId="34" fillId="24"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0" borderId="0" applyNumberFormat="0" applyBorder="0" applyAlignment="0" applyProtection="0"/>
    <xf numFmtId="0" fontId="35" fillId="23"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23"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7"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2" fillId="40" borderId="0" applyNumberFormat="0" applyBorder="0" applyAlignment="0" applyProtection="0"/>
    <xf numFmtId="0" fontId="35" fillId="41"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2" fillId="43"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2" fillId="46" borderId="0" applyNumberFormat="0" applyBorder="0" applyAlignment="0" applyProtection="0"/>
    <xf numFmtId="0" fontId="35" fillId="47" borderId="0" applyNumberFormat="0" applyBorder="0" applyAlignment="0" applyProtection="0"/>
    <xf numFmtId="0" fontId="35" fillId="23" borderId="0" applyNumberFormat="0" applyBorder="0" applyAlignment="0" applyProtection="0"/>
    <xf numFmtId="0" fontId="35"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2" fillId="49" borderId="0" applyNumberFormat="0" applyBorder="0" applyAlignment="0" applyProtection="0"/>
    <xf numFmtId="0" fontId="35" fillId="3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0" fillId="51" borderId="0" applyNumberFormat="0" applyBorder="0" applyAlignment="0" applyProtection="0"/>
    <xf numFmtId="0" fontId="10" fillId="39" borderId="0" applyNumberFormat="0" applyBorder="0" applyAlignment="0" applyProtection="0"/>
    <xf numFmtId="0" fontId="12" fillId="52"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10" fillId="53" borderId="0" applyNumberFormat="0" applyBorder="0" applyAlignment="0" applyProtection="0"/>
    <xf numFmtId="0" fontId="10" fillId="54" borderId="0" applyNumberFormat="0" applyBorder="0" applyAlignment="0" applyProtection="0"/>
    <xf numFmtId="0" fontId="12"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6" fillId="23" borderId="0" applyNumberFormat="0" applyBorder="0" applyAlignment="0" applyProtection="0"/>
    <xf numFmtId="0" fontId="36" fillId="26" borderId="0" applyNumberFormat="0" applyBorder="0" applyAlignment="0" applyProtection="0"/>
    <xf numFmtId="0" fontId="36" fillId="23" borderId="0" applyNumberFormat="0" applyBorder="0" applyAlignment="0" applyProtection="0"/>
    <xf numFmtId="0" fontId="37" fillId="29" borderId="23" applyNumberFormat="0" applyAlignment="0" applyProtection="0"/>
    <xf numFmtId="0" fontId="37" fillId="21" borderId="23" applyNumberFormat="0" applyAlignment="0" applyProtection="0"/>
    <xf numFmtId="0" fontId="37" fillId="21" borderId="23" applyNumberFormat="0" applyAlignment="0" applyProtection="0"/>
    <xf numFmtId="0" fontId="38" fillId="57" borderId="24" applyNumberFormat="0" applyAlignment="0" applyProtection="0"/>
    <xf numFmtId="0" fontId="38" fillId="57" borderId="24" applyNumberFormat="0" applyAlignment="0" applyProtection="0"/>
    <xf numFmtId="41" fontId="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5" fillId="9" borderId="0" applyNumberFormat="0" applyAlignment="0">
      <alignment horizontal="right"/>
    </xf>
    <xf numFmtId="0" fontId="5" fillId="9" borderId="0" applyNumberFormat="0" applyAlignment="0">
      <alignment horizontal="right"/>
    </xf>
    <xf numFmtId="0" fontId="5" fillId="9" borderId="0" applyNumberFormat="0" applyAlignment="0">
      <alignment horizontal="right"/>
    </xf>
    <xf numFmtId="0" fontId="5" fillId="9" borderId="0" applyNumberFormat="0" applyAlignment="0">
      <alignment horizontal="right"/>
    </xf>
    <xf numFmtId="0" fontId="5" fillId="9" borderId="0" applyNumberFormat="0" applyAlignment="0">
      <alignment horizontal="right"/>
    </xf>
    <xf numFmtId="0" fontId="40" fillId="58"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3" fillId="0" borderId="25" applyNumberFormat="0" applyFill="0" applyAlignment="0" applyProtection="0"/>
    <xf numFmtId="0" fontId="44" fillId="0" borderId="26" applyNumberFormat="0" applyFill="0" applyAlignment="0" applyProtection="0"/>
    <xf numFmtId="0" fontId="44" fillId="0" borderId="26" applyNumberFormat="0" applyFill="0" applyAlignment="0" applyProtection="0"/>
    <xf numFmtId="0" fontId="45" fillId="0" borderId="27" applyNumberFormat="0" applyFill="0" applyAlignment="0" applyProtection="0"/>
    <xf numFmtId="0" fontId="46" fillId="0" borderId="28" applyNumberFormat="0" applyFill="0" applyAlignment="0" applyProtection="0"/>
    <xf numFmtId="0" fontId="46" fillId="0" borderId="28" applyNumberFormat="0" applyFill="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24" borderId="23" applyNumberFormat="0" applyAlignment="0" applyProtection="0"/>
    <xf numFmtId="0" fontId="50" fillId="24" borderId="23" applyNumberFormat="0" applyAlignment="0" applyProtection="0"/>
    <xf numFmtId="0" fontId="51" fillId="0" borderId="29" applyNumberFormat="0" applyFill="0" applyAlignment="0" applyProtection="0"/>
    <xf numFmtId="0" fontId="51" fillId="0" borderId="29" applyNumberFormat="0" applyFill="0" applyAlignment="0" applyProtection="0"/>
    <xf numFmtId="0" fontId="52" fillId="32" borderId="0" applyNumberFormat="0" applyBorder="0" applyAlignment="0" applyProtection="0"/>
    <xf numFmtId="0" fontId="52" fillId="32" borderId="0" applyNumberFormat="0" applyBorder="0" applyAlignment="0" applyProtection="0"/>
    <xf numFmtId="0" fontId="21" fillId="0" borderId="0"/>
    <xf numFmtId="0" fontId="5" fillId="0" borderId="0"/>
    <xf numFmtId="0" fontId="21" fillId="0" borderId="0"/>
    <xf numFmtId="0" fontId="21" fillId="0" borderId="0"/>
    <xf numFmtId="0" fontId="5" fillId="0" borderId="0">
      <alignment readingOrder="1"/>
    </xf>
    <xf numFmtId="0" fontId="5" fillId="0" borderId="0"/>
    <xf numFmtId="0" fontId="5" fillId="0" borderId="0">
      <alignment readingOrder="1"/>
    </xf>
    <xf numFmtId="0" fontId="18" fillId="0" borderId="0"/>
    <xf numFmtId="0" fontId="18" fillId="0" borderId="0"/>
    <xf numFmtId="0" fontId="18" fillId="0" borderId="0"/>
    <xf numFmtId="0" fontId="2" fillId="0" borderId="0"/>
    <xf numFmtId="0" fontId="2" fillId="0" borderId="0"/>
    <xf numFmtId="0" fontId="18" fillId="0" borderId="0"/>
    <xf numFmtId="0" fontId="18" fillId="0" borderId="0"/>
    <xf numFmtId="0" fontId="2" fillId="0" borderId="0"/>
    <xf numFmtId="0" fontId="2" fillId="0" borderId="0"/>
    <xf numFmtId="0" fontId="18" fillId="0" borderId="0"/>
    <xf numFmtId="0" fontId="18" fillId="0" borderId="0"/>
    <xf numFmtId="0" fontId="18" fillId="0" borderId="0"/>
    <xf numFmtId="0" fontId="18" fillId="0" borderId="0"/>
    <xf numFmtId="0" fontId="5" fillId="0" borderId="0"/>
    <xf numFmtId="0" fontId="18" fillId="0" borderId="0"/>
    <xf numFmtId="0" fontId="18" fillId="0" borderId="0"/>
    <xf numFmtId="0" fontId="5" fillId="0" borderId="0">
      <alignment readingOrder="1"/>
    </xf>
    <xf numFmtId="0" fontId="18"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21" fillId="0" borderId="0"/>
    <xf numFmtId="0" fontId="18" fillId="0" borderId="0"/>
    <xf numFmtId="0" fontId="18" fillId="0" borderId="0"/>
    <xf numFmtId="0" fontId="18" fillId="0" borderId="0"/>
    <xf numFmtId="0" fontId="18" fillId="0" borderId="0"/>
    <xf numFmtId="0" fontId="5" fillId="0" borderId="0">
      <alignment readingOrder="1"/>
    </xf>
    <xf numFmtId="0" fontId="5" fillId="0" borderId="0">
      <alignment readingOrder="1"/>
    </xf>
    <xf numFmtId="0" fontId="5" fillId="0" borderId="0">
      <alignment readingOrder="1"/>
    </xf>
    <xf numFmtId="0" fontId="18" fillId="0" borderId="0"/>
    <xf numFmtId="0" fontId="18" fillId="0" borderId="0"/>
    <xf numFmtId="0" fontId="5" fillId="0" borderId="0">
      <alignment readingOrder="1"/>
    </xf>
    <xf numFmtId="0" fontId="21" fillId="0" borderId="0"/>
    <xf numFmtId="0" fontId="5" fillId="0" borderId="0">
      <alignment readingOrder="1"/>
    </xf>
    <xf numFmtId="0" fontId="18" fillId="0" borderId="0"/>
    <xf numFmtId="0" fontId="18" fillId="0" borderId="0"/>
    <xf numFmtId="0" fontId="5" fillId="0" borderId="0">
      <alignment readingOrder="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 fillId="0" borderId="0">
      <alignment readingOrder="1"/>
    </xf>
    <xf numFmtId="0" fontId="5" fillId="0" borderId="0"/>
    <xf numFmtId="0" fontId="53" fillId="0" borderId="0"/>
    <xf numFmtId="0" fontId="54" fillId="0" borderId="0"/>
    <xf numFmtId="0" fontId="54" fillId="0" borderId="0"/>
    <xf numFmtId="0" fontId="54" fillId="0" borderId="0"/>
    <xf numFmtId="0" fontId="5" fillId="0" borderId="0"/>
    <xf numFmtId="0" fontId="5" fillId="0" borderId="0"/>
    <xf numFmtId="0" fontId="5" fillId="0" borderId="0"/>
    <xf numFmtId="0" fontId="54" fillId="0" borderId="0"/>
    <xf numFmtId="0" fontId="54" fillId="0" borderId="0"/>
    <xf numFmtId="0" fontId="54"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2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8" fillId="0" borderId="0"/>
    <xf numFmtId="0" fontId="5" fillId="0" borderId="0" applyNumberFormat="0" applyFill="0" applyBorder="0" applyAlignment="0" applyProtection="0"/>
    <xf numFmtId="0" fontId="18" fillId="0" borderId="0"/>
    <xf numFmtId="0" fontId="18" fillId="0" borderId="0"/>
    <xf numFmtId="0" fontId="39" fillId="0" borderId="0"/>
    <xf numFmtId="0" fontId="18" fillId="0" borderId="0"/>
    <xf numFmtId="0" fontId="18" fillId="0" borderId="0"/>
    <xf numFmtId="0" fontId="5" fillId="0" borderId="0">
      <alignment readingOrder="1"/>
    </xf>
    <xf numFmtId="0" fontId="18" fillId="0" borderId="0"/>
    <xf numFmtId="0" fontId="18" fillId="0" borderId="0"/>
    <xf numFmtId="0" fontId="18" fillId="0" borderId="0"/>
    <xf numFmtId="0" fontId="18" fillId="0" borderId="0"/>
    <xf numFmtId="0" fontId="1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 fillId="0" borderId="0"/>
    <xf numFmtId="0" fontId="18" fillId="0" borderId="0"/>
    <xf numFmtId="0" fontId="18" fillId="0" borderId="0"/>
    <xf numFmtId="0" fontId="5" fillId="0" borderId="0"/>
    <xf numFmtId="0" fontId="21" fillId="0" borderId="0"/>
    <xf numFmtId="0" fontId="21" fillId="0" borderId="0"/>
    <xf numFmtId="0" fontId="18" fillId="0" borderId="0"/>
    <xf numFmtId="0" fontId="20" fillId="0" borderId="0"/>
    <xf numFmtId="0" fontId="21" fillId="0" borderId="0"/>
    <xf numFmtId="0" fontId="21" fillId="0" borderId="0"/>
    <xf numFmtId="0" fontId="21" fillId="0" borderId="0"/>
    <xf numFmtId="0" fontId="21" fillId="0" borderId="0"/>
    <xf numFmtId="0" fontId="5" fillId="0" borderId="0">
      <alignment readingOrder="1"/>
    </xf>
    <xf numFmtId="0" fontId="5" fillId="0" borderId="0">
      <alignment readingOrder="1"/>
    </xf>
    <xf numFmtId="0" fontId="5" fillId="0" borderId="0">
      <alignment readingOrder="1"/>
    </xf>
    <xf numFmtId="0" fontId="5" fillId="16" borderId="14" applyNumberFormat="0" applyFont="0" applyAlignment="0" applyProtection="0"/>
    <xf numFmtId="0" fontId="55" fillId="29" borderId="30" applyNumberFormat="0" applyAlignment="0" applyProtection="0"/>
    <xf numFmtId="0" fontId="55" fillId="21" borderId="30" applyNumberFormat="0" applyAlignment="0" applyProtection="0"/>
    <xf numFmtId="0" fontId="55" fillId="21" borderId="30"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0" borderId="0" applyNumberFormat="0" applyFill="0" applyBorder="0" applyAlignment="0" applyProtection="0"/>
    <xf numFmtId="0" fontId="57" fillId="0" borderId="0"/>
    <xf numFmtId="0" fontId="58" fillId="0" borderId="0"/>
    <xf numFmtId="172" fontId="5" fillId="0" borderId="0" applyFill="0" applyBorder="0" applyAlignment="0" applyProtection="0">
      <alignment wrapText="1"/>
    </xf>
    <xf numFmtId="0" fontId="56"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7" fillId="0" borderId="31" applyNumberFormat="0" applyFill="0" applyAlignment="0" applyProtection="0"/>
    <xf numFmtId="0" fontId="27" fillId="0" borderId="32" applyNumberFormat="0" applyFill="0" applyAlignment="0" applyProtection="0"/>
    <xf numFmtId="0" fontId="55" fillId="0" borderId="3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0" fillId="0" borderId="0">
      <alignment vertical="center"/>
    </xf>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9" borderId="0" applyNumberFormat="0" applyBorder="0" applyAlignment="0" applyProtection="0"/>
    <xf numFmtId="0" fontId="18" fillId="89" borderId="0" applyNumberFormat="0" applyBorder="0" applyAlignment="0" applyProtection="0"/>
    <xf numFmtId="0" fontId="18" fillId="89" borderId="0" applyNumberFormat="0" applyBorder="0" applyAlignment="0" applyProtection="0"/>
    <xf numFmtId="0" fontId="18" fillId="89" borderId="0" applyNumberFormat="0" applyBorder="0" applyAlignment="0" applyProtection="0"/>
    <xf numFmtId="0" fontId="18" fillId="89"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3" borderId="0" applyNumberFormat="0" applyBorder="0" applyAlignment="0" applyProtection="0"/>
    <xf numFmtId="0" fontId="18" fillId="93" borderId="0" applyNumberFormat="0" applyBorder="0" applyAlignment="0" applyProtection="0"/>
    <xf numFmtId="0" fontId="18" fillId="93" borderId="0" applyNumberFormat="0" applyBorder="0" applyAlignment="0" applyProtection="0"/>
    <xf numFmtId="0" fontId="18" fillId="93" borderId="0" applyNumberFormat="0" applyBorder="0" applyAlignment="0" applyProtection="0"/>
    <xf numFmtId="0" fontId="18" fillId="95" borderId="0" applyNumberFormat="0" applyBorder="0" applyAlignment="0" applyProtection="0"/>
    <xf numFmtId="0" fontId="18" fillId="95" borderId="0" applyNumberFormat="0" applyBorder="0" applyAlignment="0" applyProtection="0"/>
    <xf numFmtId="0" fontId="18" fillId="95" borderId="0" applyNumberFormat="0" applyBorder="0" applyAlignment="0" applyProtection="0"/>
    <xf numFmtId="0" fontId="18" fillId="95" borderId="0" applyNumberFormat="0" applyBorder="0" applyAlignment="0" applyProtection="0"/>
    <xf numFmtId="0" fontId="18" fillId="95" borderId="0" applyNumberFormat="0" applyBorder="0" applyAlignment="0" applyProtection="0"/>
    <xf numFmtId="0" fontId="18" fillId="97" borderId="0" applyNumberFormat="0" applyBorder="0" applyAlignment="0" applyProtection="0"/>
    <xf numFmtId="0" fontId="18" fillId="97" borderId="0" applyNumberFormat="0" applyBorder="0" applyAlignment="0" applyProtection="0"/>
    <xf numFmtId="0" fontId="18" fillId="97" borderId="0" applyNumberFormat="0" applyBorder="0" applyAlignment="0" applyProtection="0"/>
    <xf numFmtId="0" fontId="18" fillId="97" borderId="0" applyNumberFormat="0" applyBorder="0" applyAlignment="0" applyProtection="0"/>
    <xf numFmtId="0" fontId="18" fillId="97"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90" borderId="0" applyNumberFormat="0" applyBorder="0" applyAlignment="0" applyProtection="0"/>
    <xf numFmtId="0" fontId="18" fillId="90" borderId="0" applyNumberFormat="0" applyBorder="0" applyAlignment="0" applyProtection="0"/>
    <xf numFmtId="0" fontId="18" fillId="90" borderId="0" applyNumberFormat="0" applyBorder="0" applyAlignment="0" applyProtection="0"/>
    <xf numFmtId="0" fontId="18" fillId="90"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96" borderId="0" applyNumberFormat="0" applyBorder="0" applyAlignment="0" applyProtection="0"/>
    <xf numFmtId="0" fontId="18" fillId="96" borderId="0" applyNumberFormat="0" applyBorder="0" applyAlignment="0" applyProtection="0"/>
    <xf numFmtId="0" fontId="18" fillId="96" borderId="0" applyNumberFormat="0" applyBorder="0" applyAlignment="0" applyProtection="0"/>
    <xf numFmtId="0" fontId="18" fillId="96" borderId="0" applyNumberFormat="0" applyBorder="0" applyAlignment="0" applyProtection="0"/>
    <xf numFmtId="0" fontId="18" fillId="96" borderId="0" applyNumberFormat="0" applyBorder="0" applyAlignment="0" applyProtection="0"/>
    <xf numFmtId="0" fontId="18" fillId="98" borderId="0" applyNumberFormat="0" applyBorder="0" applyAlignment="0" applyProtection="0"/>
    <xf numFmtId="0" fontId="18" fillId="98" borderId="0" applyNumberFormat="0" applyBorder="0" applyAlignment="0" applyProtection="0"/>
    <xf numFmtId="0" fontId="18" fillId="98" borderId="0" applyNumberFormat="0" applyBorder="0" applyAlignment="0" applyProtection="0"/>
    <xf numFmtId="0" fontId="18" fillId="98" borderId="0" applyNumberFormat="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9" borderId="0" applyNumberFormat="0" applyAlignment="0">
      <alignment horizontal="right"/>
    </xf>
    <xf numFmtId="0" fontId="5" fillId="8" borderId="0" applyNumberFormat="0" applyAlignment="0"/>
    <xf numFmtId="0" fontId="5" fillId="8" borderId="0" applyNumberFormat="0" applyAlignment="0"/>
    <xf numFmtId="0" fontId="5" fillId="8" borderId="0" applyNumberFormat="0" applyAlignment="0"/>
    <xf numFmtId="0" fontId="25" fillId="0" borderId="0" applyNumberFormat="0" applyFill="0" applyBorder="0" applyAlignment="0" applyProtection="0">
      <alignment vertical="top"/>
      <protection locked="0"/>
    </xf>
    <xf numFmtId="0" fontId="21" fillId="0" borderId="0"/>
    <xf numFmtId="0" fontId="21" fillId="0" borderId="0"/>
    <xf numFmtId="0" fontId="18" fillId="0" borderId="0"/>
    <xf numFmtId="0" fontId="18" fillId="0" borderId="0"/>
    <xf numFmtId="0" fontId="18" fillId="0" borderId="0"/>
    <xf numFmtId="0" fontId="18" fillId="0" borderId="0"/>
    <xf numFmtId="0" fontId="5" fillId="0" borderId="0">
      <alignment readingOrder="1"/>
    </xf>
    <xf numFmtId="0" fontId="18" fillId="0" borderId="0"/>
    <xf numFmtId="0" fontId="5" fillId="0" borderId="0"/>
    <xf numFmtId="0" fontId="85" fillId="0" borderId="0"/>
    <xf numFmtId="0" fontId="18" fillId="0" borderId="0"/>
    <xf numFmtId="0" fontId="21" fillId="0" borderId="0"/>
    <xf numFmtId="0" fontId="21" fillId="0" borderId="0"/>
    <xf numFmtId="0" fontId="21" fillId="0" borderId="0"/>
    <xf numFmtId="0" fontId="18" fillId="0" borderId="0"/>
    <xf numFmtId="0" fontId="18" fillId="0" borderId="0"/>
    <xf numFmtId="0" fontId="5" fillId="0" borderId="0"/>
    <xf numFmtId="0" fontId="5" fillId="0" borderId="0"/>
    <xf numFmtId="0" fontId="21" fillId="0" borderId="0"/>
    <xf numFmtId="0" fontId="18" fillId="0" borderId="0"/>
    <xf numFmtId="0" fontId="18" fillId="0" borderId="0"/>
    <xf numFmtId="0" fontId="21" fillId="0" borderId="0"/>
    <xf numFmtId="0" fontId="5" fillId="0" borderId="0">
      <alignment readingOrder="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5" fillId="0" borderId="0">
      <alignment readingOrder="1"/>
    </xf>
    <xf numFmtId="0" fontId="18" fillId="0" borderId="0"/>
    <xf numFmtId="0" fontId="18" fillId="0" borderId="0"/>
    <xf numFmtId="0" fontId="18" fillId="0" borderId="0"/>
    <xf numFmtId="0" fontId="20" fillId="0" borderId="0"/>
    <xf numFmtId="0" fontId="21" fillId="0" borderId="0"/>
    <xf numFmtId="0" fontId="21" fillId="0" borderId="0"/>
    <xf numFmtId="0" fontId="21" fillId="0" borderId="0"/>
    <xf numFmtId="0" fontId="21" fillId="0" borderId="0"/>
    <xf numFmtId="0" fontId="18" fillId="86" borderId="123" applyNumberFormat="0" applyFont="0" applyAlignment="0" applyProtection="0"/>
    <xf numFmtId="0" fontId="21" fillId="16" borderId="14" applyNumberFormat="0" applyFont="0" applyAlignment="0" applyProtection="0"/>
    <xf numFmtId="0" fontId="18" fillId="86" borderId="123" applyNumberFormat="0" applyFont="0" applyAlignment="0" applyProtection="0"/>
    <xf numFmtId="0" fontId="18" fillId="86" borderId="123" applyNumberFormat="0" applyFont="0" applyAlignment="0" applyProtection="0"/>
    <xf numFmtId="0" fontId="18" fillId="86" borderId="123" applyNumberFormat="0" applyFont="0" applyAlignment="0" applyProtection="0"/>
    <xf numFmtId="0" fontId="18" fillId="86" borderId="123"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cellStyleXfs>
  <cellXfs count="931">
    <xf numFmtId="0" fontId="0" fillId="0" borderId="0" xfId="0"/>
    <xf numFmtId="0" fontId="4" fillId="0" borderId="0" xfId="2" applyFont="1"/>
    <xf numFmtId="0" fontId="6" fillId="0" borderId="0" xfId="3" applyFont="1"/>
    <xf numFmtId="0" fontId="5" fillId="0" borderId="0" xfId="2" applyFont="1"/>
    <xf numFmtId="5" fontId="5" fillId="0" borderId="0" xfId="2" applyNumberFormat="1" applyFont="1"/>
    <xf numFmtId="164" fontId="5" fillId="0" borderId="0" xfId="2" applyNumberFormat="1" applyFont="1"/>
    <xf numFmtId="164" fontId="6" fillId="0" borderId="0" xfId="2" applyNumberFormat="1" applyFont="1"/>
    <xf numFmtId="0" fontId="0" fillId="0" borderId="0" xfId="0">
      <alignment readingOrder="1"/>
    </xf>
    <xf numFmtId="0" fontId="4" fillId="0" borderId="0" xfId="2" applyFont="1" applyAlignment="1">
      <alignment horizontal="left"/>
    </xf>
    <xf numFmtId="165" fontId="0" fillId="0" borderId="0" xfId="0" applyNumberFormat="1" applyAlignment="1">
      <alignment horizontal="center" readingOrder="1"/>
    </xf>
    <xf numFmtId="166" fontId="0" fillId="0" borderId="0" xfId="0" applyNumberFormat="1" applyAlignment="1">
      <alignment horizontal="center" readingOrder="1"/>
    </xf>
    <xf numFmtId="0" fontId="5" fillId="0" borderId="0" xfId="2" applyFont="1" applyAlignment="1">
      <alignment horizontal="center"/>
    </xf>
    <xf numFmtId="0" fontId="7" fillId="2" borderId="1" xfId="2" applyFont="1" applyFill="1" applyBorder="1" applyAlignment="1">
      <alignment horizontal="centerContinuous"/>
    </xf>
    <xf numFmtId="0" fontId="8" fillId="2" borderId="1" xfId="2" applyFont="1" applyFill="1" applyBorder="1" applyAlignment="1">
      <alignment horizontal="centerContinuous"/>
    </xf>
    <xf numFmtId="0" fontId="8" fillId="2" borderId="2" xfId="2" applyFont="1" applyFill="1" applyBorder="1" applyAlignment="1">
      <alignment horizontal="centerContinuous"/>
    </xf>
    <xf numFmtId="0" fontId="9" fillId="2" borderId="3" xfId="2" applyFont="1" applyFill="1" applyBorder="1" applyAlignment="1">
      <alignment horizontal="centerContinuous"/>
    </xf>
    <xf numFmtId="0" fontId="7" fillId="0" borderId="0" xfId="2" applyFont="1" applyFill="1" applyBorder="1" applyAlignment="1">
      <alignment horizontal="centerContinuous"/>
    </xf>
    <xf numFmtId="0" fontId="8" fillId="0" borderId="0" xfId="2" applyFont="1" applyFill="1" applyBorder="1" applyAlignment="1">
      <alignment horizontal="centerContinuous"/>
    </xf>
    <xf numFmtId="0" fontId="9" fillId="0" borderId="0" xfId="2" applyFont="1" applyFill="1" applyBorder="1" applyAlignment="1">
      <alignment horizontal="centerContinuous"/>
    </xf>
    <xf numFmtId="0" fontId="10" fillId="0" borderId="0" xfId="2" applyFont="1" applyFill="1" applyBorder="1" applyAlignment="1">
      <alignment horizontal="centerContinuous"/>
    </xf>
    <xf numFmtId="0" fontId="5" fillId="0" borderId="0" xfId="2" applyFont="1" applyFill="1" applyBorder="1"/>
    <xf numFmtId="0" fontId="10" fillId="5" borderId="5" xfId="2" applyFont="1" applyFill="1" applyBorder="1" applyAlignment="1">
      <alignment horizontal="center" wrapText="1"/>
    </xf>
    <xf numFmtId="0" fontId="10" fillId="5" borderId="5" xfId="0" applyFont="1" applyFill="1" applyBorder="1" applyAlignment="1">
      <alignment horizontal="center" wrapText="1"/>
    </xf>
    <xf numFmtId="0" fontId="10" fillId="0" borderId="0" xfId="2" applyFont="1" applyFill="1" applyBorder="1" applyAlignment="1">
      <alignment horizontal="center" wrapText="1"/>
    </xf>
    <xf numFmtId="0" fontId="12" fillId="7" borderId="6" xfId="0" applyFont="1" applyFill="1" applyBorder="1" applyAlignment="1">
      <alignment horizontal="left" readingOrder="1"/>
    </xf>
    <xf numFmtId="0" fontId="12" fillId="7" borderId="7" xfId="0" applyFont="1" applyFill="1" applyBorder="1" applyAlignment="1">
      <alignment horizontal="center" wrapText="1" readingOrder="1"/>
    </xf>
    <xf numFmtId="164" fontId="0" fillId="0" borderId="0" xfId="0" applyNumberFormat="1">
      <alignment readingOrder="1"/>
    </xf>
    <xf numFmtId="0" fontId="10" fillId="8" borderId="5" xfId="0" applyFont="1" applyFill="1" applyBorder="1" applyAlignment="1">
      <alignment horizontal="center" wrapText="1" readingOrder="1"/>
    </xf>
    <xf numFmtId="0" fontId="10" fillId="8" borderId="7" xfId="0" applyFont="1" applyFill="1" applyBorder="1" applyAlignment="1">
      <alignment horizontal="center" wrapText="1" readingOrder="1"/>
    </xf>
    <xf numFmtId="164" fontId="10" fillId="8" borderId="7" xfId="0" applyNumberFormat="1" applyFont="1" applyFill="1" applyBorder="1" applyAlignment="1">
      <alignment horizontal="center" wrapText="1" readingOrder="1"/>
    </xf>
    <xf numFmtId="164" fontId="9" fillId="0" borderId="0" xfId="0" applyNumberFormat="1" applyFont="1">
      <alignment readingOrder="1"/>
    </xf>
    <xf numFmtId="164" fontId="10" fillId="9" borderId="8" xfId="0" applyNumberFormat="1" applyFont="1" applyFill="1" applyBorder="1" applyAlignment="1">
      <alignment horizontal="centerContinuous" wrapText="1" readingOrder="1"/>
    </xf>
    <xf numFmtId="1" fontId="0" fillId="0" borderId="0" xfId="0" applyNumberFormat="1">
      <alignment readingOrder="1"/>
    </xf>
    <xf numFmtId="0" fontId="10" fillId="9" borderId="5" xfId="0" applyFont="1" applyFill="1" applyBorder="1" applyAlignment="1">
      <alignment horizontal="center" wrapText="1" readingOrder="1"/>
    </xf>
    <xf numFmtId="0" fontId="10" fillId="9" borderId="7" xfId="0" applyFont="1" applyFill="1" applyBorder="1" applyAlignment="1">
      <alignment horizontal="center" wrapText="1" readingOrder="1"/>
    </xf>
    <xf numFmtId="164" fontId="10" fillId="9" borderId="7" xfId="0" applyNumberFormat="1" applyFont="1" applyFill="1" applyBorder="1" applyAlignment="1">
      <alignment horizontal="center" wrapText="1" readingOrder="1"/>
    </xf>
    <xf numFmtId="164" fontId="10" fillId="9" borderId="9" xfId="0" applyNumberFormat="1" applyFont="1" applyFill="1" applyBorder="1" applyAlignment="1">
      <alignment horizontal="centerContinuous" wrapText="1" readingOrder="1"/>
    </xf>
    <xf numFmtId="164" fontId="10" fillId="9" borderId="10" xfId="0" applyNumberFormat="1" applyFont="1" applyFill="1" applyBorder="1" applyAlignment="1">
      <alignment horizontal="centerContinuous" wrapText="1" readingOrder="1"/>
    </xf>
    <xf numFmtId="0" fontId="11" fillId="0" borderId="0" xfId="0" applyFont="1">
      <alignment readingOrder="1"/>
    </xf>
    <xf numFmtId="49" fontId="0" fillId="0" borderId="0" xfId="0" applyNumberFormat="1">
      <alignment readingOrder="1"/>
    </xf>
    <xf numFmtId="9" fontId="11" fillId="0" borderId="0" xfId="0" applyNumberFormat="1" applyFont="1">
      <alignment readingOrder="1"/>
    </xf>
    <xf numFmtId="1" fontId="11" fillId="0" borderId="0" xfId="0" applyNumberFormat="1" applyFont="1">
      <alignment readingOrder="1"/>
    </xf>
    <xf numFmtId="2" fontId="0" fillId="0" borderId="0" xfId="0" applyNumberFormat="1">
      <alignment readingOrder="1"/>
    </xf>
    <xf numFmtId="164" fontId="0" fillId="0" borderId="0" xfId="0" applyNumberFormat="1" applyAlignment="1">
      <alignment horizontal="center" readingOrder="1"/>
    </xf>
    <xf numFmtId="0" fontId="0" fillId="0" borderId="0" xfId="0" applyAlignment="1">
      <alignment horizontal="center" readingOrder="1"/>
    </xf>
    <xf numFmtId="0" fontId="0" fillId="0" borderId="0" xfId="0" applyFill="1" applyAlignment="1">
      <alignment horizontal="center" readingOrder="1"/>
    </xf>
    <xf numFmtId="168" fontId="0" fillId="0" borderId="0" xfId="0" applyNumberFormat="1">
      <alignment readingOrder="1"/>
    </xf>
    <xf numFmtId="0" fontId="0" fillId="12" borderId="0" xfId="0" applyFill="1">
      <alignment readingOrder="1"/>
    </xf>
    <xf numFmtId="0" fontId="0" fillId="0" borderId="0" xfId="0" quotePrefix="1" applyFill="1">
      <alignment readingOrder="1"/>
    </xf>
    <xf numFmtId="0" fontId="17" fillId="6" borderId="5" xfId="0" applyFont="1" applyFill="1" applyBorder="1"/>
    <xf numFmtId="9" fontId="5" fillId="13" borderId="0" xfId="8" applyFill="1" applyAlignment="1">
      <alignment horizontal="center" readingOrder="1"/>
    </xf>
    <xf numFmtId="0" fontId="17" fillId="14" borderId="1" xfId="0" applyFont="1" applyFill="1" applyBorder="1"/>
    <xf numFmtId="0" fontId="17" fillId="14" borderId="4" xfId="0" applyFont="1" applyFill="1" applyBorder="1"/>
    <xf numFmtId="0" fontId="17" fillId="14" borderId="3" xfId="0" applyFont="1" applyFill="1" applyBorder="1"/>
    <xf numFmtId="0" fontId="17" fillId="14" borderId="11" xfId="0" applyFont="1" applyFill="1" applyBorder="1"/>
    <xf numFmtId="0" fontId="17" fillId="14" borderId="12" xfId="0" applyFont="1" applyFill="1" applyBorder="1"/>
    <xf numFmtId="0" fontId="17" fillId="14" borderId="13" xfId="0" applyFont="1" applyFill="1" applyBorder="1"/>
    <xf numFmtId="0" fontId="17" fillId="14" borderId="5" xfId="0" applyFont="1" applyFill="1" applyBorder="1"/>
    <xf numFmtId="0" fontId="17" fillId="13" borderId="5" xfId="0" applyFont="1" applyFill="1" applyBorder="1"/>
    <xf numFmtId="164" fontId="17" fillId="13" borderId="5" xfId="0" applyNumberFormat="1" applyFont="1" applyFill="1" applyBorder="1"/>
    <xf numFmtId="164" fontId="0" fillId="15" borderId="0" xfId="0" applyNumberFormat="1" applyFill="1" applyAlignment="1">
      <alignment horizontal="center" readingOrder="1"/>
    </xf>
    <xf numFmtId="9" fontId="17" fillId="14" borderId="5" xfId="8" applyFont="1" applyFill="1" applyBorder="1"/>
    <xf numFmtId="1" fontId="0" fillId="13" borderId="0" xfId="0" applyNumberFormat="1" applyFill="1" applyAlignment="1">
      <alignment horizontal="center" readingOrder="1"/>
    </xf>
    <xf numFmtId="3" fontId="0" fillId="0" borderId="0" xfId="0" applyNumberFormat="1"/>
    <xf numFmtId="1" fontId="0" fillId="0" borderId="0" xfId="0" applyNumberFormat="1"/>
    <xf numFmtId="0" fontId="22" fillId="0" borderId="0" xfId="15" applyFont="1"/>
    <xf numFmtId="0" fontId="5" fillId="0" borderId="0" xfId="15" applyFont="1"/>
    <xf numFmtId="5" fontId="5" fillId="0" borderId="0" xfId="15" applyNumberFormat="1" applyFont="1" applyAlignment="1">
      <alignment horizontal="right"/>
    </xf>
    <xf numFmtId="164" fontId="5" fillId="0" borderId="0" xfId="15" applyNumberFormat="1" applyFont="1"/>
    <xf numFmtId="0" fontId="5" fillId="0" borderId="0" xfId="15"/>
    <xf numFmtId="0" fontId="11" fillId="0" borderId="0" xfId="15" applyFont="1"/>
    <xf numFmtId="44" fontId="5" fillId="0" borderId="0" xfId="1"/>
    <xf numFmtId="0" fontId="9" fillId="2" borderId="7" xfId="2" applyFont="1" applyFill="1" applyBorder="1" applyAlignment="1">
      <alignment horizontal="centerContinuous"/>
    </xf>
    <xf numFmtId="0" fontId="10" fillId="5" borderId="11" xfId="2" applyFont="1" applyFill="1" applyBorder="1" applyAlignment="1">
      <alignment horizontal="center" wrapText="1"/>
    </xf>
    <xf numFmtId="0" fontId="10" fillId="5" borderId="16" xfId="2" applyFont="1" applyFill="1" applyBorder="1" applyAlignment="1">
      <alignment horizontal="center" wrapText="1"/>
    </xf>
    <xf numFmtId="0" fontId="10" fillId="5" borderId="16" xfId="0" applyFont="1" applyFill="1" applyBorder="1" applyAlignment="1">
      <alignment horizontal="center" wrapText="1"/>
    </xf>
    <xf numFmtId="171" fontId="0" fillId="0" borderId="0" xfId="0" applyNumberFormat="1"/>
    <xf numFmtId="164" fontId="0" fillId="13" borderId="0" xfId="0" applyNumberFormat="1" applyFill="1" applyAlignment="1">
      <alignment horizontal="center" readingOrder="1"/>
    </xf>
    <xf numFmtId="0" fontId="18" fillId="0" borderId="0" xfId="12" applyFont="1"/>
    <xf numFmtId="0" fontId="31" fillId="11" borderId="21" xfId="12" applyFont="1" applyFill="1" applyBorder="1"/>
    <xf numFmtId="0" fontId="31" fillId="11" borderId="22" xfId="12" applyFont="1" applyFill="1" applyBorder="1"/>
    <xf numFmtId="0" fontId="31" fillId="11" borderId="8" xfId="12" applyFont="1" applyFill="1" applyBorder="1"/>
    <xf numFmtId="0" fontId="32" fillId="14" borderId="16" xfId="35" applyFont="1" applyFill="1" applyBorder="1" applyAlignment="1">
      <alignment horizontal="left" vertical="center" wrapText="1"/>
    </xf>
    <xf numFmtId="0" fontId="32" fillId="14" borderId="5" xfId="35" applyFont="1" applyFill="1" applyBorder="1" applyAlignment="1">
      <alignment horizontal="left" vertical="center" wrapText="1"/>
    </xf>
    <xf numFmtId="0" fontId="33" fillId="0" borderId="5" xfId="35" applyNumberFormat="1" applyFont="1" applyFill="1" applyBorder="1" applyAlignment="1">
      <alignment horizontal="left" vertical="center" wrapText="1"/>
    </xf>
    <xf numFmtId="0" fontId="33" fillId="0" borderId="5" xfId="35" applyFont="1" applyFill="1" applyBorder="1" applyAlignment="1">
      <alignment horizontal="left" vertical="center" wrapText="1"/>
    </xf>
    <xf numFmtId="0" fontId="18" fillId="0" borderId="5" xfId="35" applyFont="1" applyFill="1" applyBorder="1" applyAlignment="1">
      <alignment horizontal="left" vertical="center" wrapText="1"/>
    </xf>
    <xf numFmtId="0" fontId="33" fillId="0" borderId="5" xfId="35" applyFont="1" applyBorder="1" applyAlignment="1">
      <alignment horizontal="left" vertical="center" wrapText="1" readingOrder="1"/>
    </xf>
    <xf numFmtId="0" fontId="33" fillId="0" borderId="5" xfId="35" applyFont="1" applyBorder="1" applyAlignment="1">
      <alignment vertical="center" wrapText="1" readingOrder="1"/>
    </xf>
    <xf numFmtId="0" fontId="33" fillId="0" borderId="5" xfId="35" applyFont="1" applyBorder="1" applyAlignment="1">
      <alignment wrapText="1" readingOrder="1"/>
    </xf>
    <xf numFmtId="0" fontId="33" fillId="0" borderId="5" xfId="35" applyNumberFormat="1" applyFont="1" applyBorder="1" applyAlignment="1">
      <alignment vertical="center" wrapText="1" readingOrder="1"/>
    </xf>
    <xf numFmtId="2" fontId="5" fillId="0" borderId="0" xfId="36" applyNumberFormat="1" applyFont="1"/>
    <xf numFmtId="0" fontId="8" fillId="61" borderId="7" xfId="2" applyFont="1" applyFill="1" applyBorder="1" applyAlignment="1">
      <alignment horizontal="center"/>
    </xf>
    <xf numFmtId="0" fontId="10" fillId="10" borderId="7" xfId="2" applyFont="1" applyFill="1" applyBorder="1" applyAlignment="1">
      <alignment horizontal="center" wrapText="1"/>
    </xf>
    <xf numFmtId="0" fontId="10" fillId="10" borderId="5" xfId="2" applyFont="1" applyFill="1" applyBorder="1" applyAlignment="1">
      <alignment horizontal="center" wrapText="1"/>
    </xf>
    <xf numFmtId="0" fontId="5" fillId="0" borderId="5" xfId="235" applyBorder="1" applyAlignment="1">
      <alignment vertical="center"/>
    </xf>
    <xf numFmtId="9" fontId="5" fillId="0" borderId="5" xfId="8" applyFont="1" applyBorder="1" applyAlignment="1">
      <alignment horizontal="center" vertical="center"/>
    </xf>
    <xf numFmtId="0" fontId="5" fillId="0" borderId="0" xfId="235" applyAlignment="1">
      <alignment vertical="center"/>
    </xf>
    <xf numFmtId="0" fontId="5" fillId="0" borderId="0" xfId="235" applyAlignment="1">
      <alignment vertical="center" wrapText="1"/>
    </xf>
    <xf numFmtId="1" fontId="5" fillId="0" borderId="0" xfId="235" applyNumberFormat="1" applyAlignment="1">
      <alignment horizontal="center" vertical="center"/>
    </xf>
    <xf numFmtId="0" fontId="5" fillId="0" borderId="0" xfId="235" applyAlignment="1">
      <alignment horizontal="center" vertical="center"/>
    </xf>
    <xf numFmtId="0" fontId="5" fillId="0" borderId="0" xfId="235" applyAlignment="1">
      <alignment horizontal="left" vertical="center"/>
    </xf>
    <xf numFmtId="0" fontId="11" fillId="0" borderId="33" xfId="235" applyFont="1" applyBorder="1" applyAlignment="1">
      <alignment horizontal="center" vertical="center"/>
    </xf>
    <xf numFmtId="0" fontId="11" fillId="0" borderId="34" xfId="235" applyFont="1" applyBorder="1" applyAlignment="1">
      <alignment horizontal="center" vertical="center"/>
    </xf>
    <xf numFmtId="0" fontId="11" fillId="0" borderId="35" xfId="235" applyFont="1" applyBorder="1" applyAlignment="1">
      <alignment horizontal="center" vertical="center"/>
    </xf>
    <xf numFmtId="0" fontId="11" fillId="0" borderId="33" xfId="235" applyFont="1" applyBorder="1" applyAlignment="1">
      <alignment horizontal="center" vertical="center" wrapText="1"/>
    </xf>
    <xf numFmtId="0" fontId="11" fillId="0" borderId="36" xfId="235" applyFont="1" applyBorder="1" applyAlignment="1">
      <alignment horizontal="center" vertical="center" wrapText="1"/>
    </xf>
    <xf numFmtId="0" fontId="5" fillId="0" borderId="38" xfId="235" applyBorder="1" applyAlignment="1">
      <alignment horizontal="left" vertical="center"/>
    </xf>
    <xf numFmtId="9" fontId="5" fillId="19" borderId="38" xfId="235" applyNumberFormat="1" applyFill="1" applyBorder="1" applyAlignment="1">
      <alignment horizontal="center" vertical="center"/>
    </xf>
    <xf numFmtId="3" fontId="5" fillId="19" borderId="38" xfId="235" applyNumberFormat="1" applyFill="1" applyBorder="1" applyAlignment="1">
      <alignment horizontal="center" vertical="center"/>
    </xf>
    <xf numFmtId="3" fontId="5" fillId="63" borderId="38" xfId="235" applyNumberFormat="1" applyFill="1" applyBorder="1" applyAlignment="1">
      <alignment horizontal="center" vertical="center"/>
    </xf>
    <xf numFmtId="0" fontId="5" fillId="0" borderId="44" xfId="235" applyBorder="1" applyAlignment="1">
      <alignment horizontal="left" vertical="center"/>
    </xf>
    <xf numFmtId="9" fontId="5" fillId="19" borderId="44" xfId="235" applyNumberFormat="1" applyFill="1" applyBorder="1" applyAlignment="1">
      <alignment horizontal="center" vertical="center"/>
    </xf>
    <xf numFmtId="1" fontId="5" fillId="19" borderId="44" xfId="235" applyNumberFormat="1" applyFill="1" applyBorder="1" applyAlignment="1">
      <alignment horizontal="center" vertical="center"/>
    </xf>
    <xf numFmtId="1" fontId="5" fillId="0" borderId="44" xfId="235" applyNumberFormat="1" applyFill="1" applyBorder="1" applyAlignment="1">
      <alignment horizontal="center" vertical="center"/>
    </xf>
    <xf numFmtId="3" fontId="5" fillId="0" borderId="38" xfId="235" applyNumberFormat="1" applyFill="1" applyBorder="1" applyAlignment="1">
      <alignment horizontal="center" vertical="center"/>
    </xf>
    <xf numFmtId="0" fontId="5" fillId="0" borderId="16" xfId="235" applyBorder="1" applyAlignment="1">
      <alignment horizontal="left" vertical="center"/>
    </xf>
    <xf numFmtId="9" fontId="5" fillId="19" borderId="16" xfId="235" applyNumberFormat="1" applyFill="1" applyBorder="1" applyAlignment="1">
      <alignment horizontal="center" vertical="center"/>
    </xf>
    <xf numFmtId="3" fontId="5" fillId="19" borderId="16" xfId="235" applyNumberFormat="1" applyFill="1" applyBorder="1" applyAlignment="1">
      <alignment horizontal="center" vertical="center"/>
    </xf>
    <xf numFmtId="3" fontId="5" fillId="63" borderId="16" xfId="235" applyNumberFormat="1" applyFill="1" applyBorder="1" applyAlignment="1">
      <alignment horizontal="center" vertical="center"/>
    </xf>
    <xf numFmtId="1" fontId="5" fillId="63" borderId="44" xfId="235" applyNumberFormat="1" applyFill="1" applyBorder="1" applyAlignment="1">
      <alignment horizontal="center" vertical="center"/>
    </xf>
    <xf numFmtId="0" fontId="5" fillId="0" borderId="2" xfId="235" applyBorder="1" applyAlignment="1">
      <alignment horizontal="left" vertical="center"/>
    </xf>
    <xf numFmtId="9" fontId="5" fillId="19" borderId="2" xfId="235" applyNumberFormat="1" applyFill="1" applyBorder="1" applyAlignment="1">
      <alignment horizontal="center" vertical="center"/>
    </xf>
    <xf numFmtId="1" fontId="5" fillId="19" borderId="2" xfId="235" applyNumberFormat="1" applyFill="1" applyBorder="1" applyAlignment="1">
      <alignment horizontal="center" vertical="center"/>
    </xf>
    <xf numFmtId="1" fontId="5" fillId="0" borderId="2" xfId="235" applyNumberFormat="1" applyFill="1" applyBorder="1" applyAlignment="1">
      <alignment horizontal="center" vertical="center"/>
    </xf>
    <xf numFmtId="3" fontId="5" fillId="0" borderId="16" xfId="235" applyNumberFormat="1" applyFill="1" applyBorder="1" applyAlignment="1">
      <alignment horizontal="center" vertical="center"/>
    </xf>
    <xf numFmtId="0" fontId="5" fillId="0" borderId="0" xfId="235" applyFill="1" applyAlignment="1">
      <alignment horizontal="center" vertical="center"/>
    </xf>
    <xf numFmtId="0" fontId="53" fillId="0" borderId="0" xfId="235" applyFont="1" applyAlignment="1">
      <alignment horizontal="center" vertical="center"/>
    </xf>
    <xf numFmtId="3" fontId="53" fillId="0" borderId="0" xfId="235" applyNumberFormat="1" applyFont="1" applyAlignment="1">
      <alignment horizontal="center" vertical="center"/>
    </xf>
    <xf numFmtId="0" fontId="11" fillId="0" borderId="0" xfId="235" applyFont="1" applyAlignment="1">
      <alignment vertical="center" wrapText="1"/>
    </xf>
    <xf numFmtId="0" fontId="5" fillId="65" borderId="9" xfId="235" applyFont="1" applyFill="1" applyBorder="1" applyAlignment="1">
      <alignment horizontal="center" vertical="center" wrapText="1"/>
    </xf>
    <xf numFmtId="0" fontId="64" fillId="65" borderId="60" xfId="235" applyFont="1" applyFill="1" applyBorder="1" applyAlignment="1">
      <alignment horizontal="center" vertical="center" wrapText="1"/>
    </xf>
    <xf numFmtId="0" fontId="64" fillId="65" borderId="61" xfId="235" applyFont="1" applyFill="1" applyBorder="1" applyAlignment="1">
      <alignment horizontal="center" vertical="center" wrapText="1"/>
    </xf>
    <xf numFmtId="1" fontId="5" fillId="66" borderId="62" xfId="235" applyNumberFormat="1" applyFont="1" applyFill="1" applyBorder="1" applyAlignment="1">
      <alignment horizontal="center" vertical="center" wrapText="1"/>
    </xf>
    <xf numFmtId="0" fontId="5" fillId="17" borderId="9" xfId="235" applyFont="1" applyFill="1" applyBorder="1" applyAlignment="1">
      <alignment horizontal="center" vertical="center" wrapText="1"/>
    </xf>
    <xf numFmtId="0" fontId="5" fillId="17" borderId="60" xfId="235" applyFont="1" applyFill="1" applyBorder="1" applyAlignment="1">
      <alignment horizontal="center" vertical="center" wrapText="1"/>
    </xf>
    <xf numFmtId="0" fontId="5" fillId="17" borderId="61" xfId="235" applyFont="1" applyFill="1" applyBorder="1" applyAlignment="1">
      <alignment horizontal="center" vertical="center" wrapText="1"/>
    </xf>
    <xf numFmtId="0" fontId="5" fillId="8" borderId="63" xfId="235" applyFont="1" applyFill="1" applyBorder="1" applyAlignment="1">
      <alignment vertical="center" wrapText="1"/>
    </xf>
    <xf numFmtId="0" fontId="64" fillId="8" borderId="12" xfId="235" applyFont="1" applyFill="1" applyBorder="1" applyAlignment="1">
      <alignment horizontal="center" vertical="center" wrapText="1"/>
    </xf>
    <xf numFmtId="0" fontId="64" fillId="8" borderId="13" xfId="235" applyFont="1" applyFill="1" applyBorder="1" applyAlignment="1">
      <alignment horizontal="center" vertical="center"/>
    </xf>
    <xf numFmtId="0" fontId="64" fillId="8" borderId="11" xfId="235" applyFont="1" applyFill="1" applyBorder="1" applyAlignment="1">
      <alignment horizontal="center" vertical="center" wrapText="1"/>
    </xf>
    <xf numFmtId="164" fontId="5" fillId="0" borderId="63" xfId="235" applyNumberFormat="1" applyBorder="1" applyAlignment="1">
      <alignment horizontal="center" vertical="center"/>
    </xf>
    <xf numFmtId="9" fontId="5" fillId="0" borderId="16" xfId="235" applyNumberFormat="1" applyBorder="1" applyAlignment="1">
      <alignment horizontal="center" vertical="center"/>
    </xf>
    <xf numFmtId="2" fontId="5" fillId="0" borderId="64" xfId="235" applyNumberFormat="1" applyBorder="1" applyAlignment="1">
      <alignment horizontal="center" vertical="center"/>
    </xf>
    <xf numFmtId="164" fontId="5" fillId="0" borderId="63" xfId="235" applyNumberFormat="1" applyFill="1" applyBorder="1" applyAlignment="1">
      <alignment horizontal="center" vertical="center"/>
    </xf>
    <xf numFmtId="9" fontId="5" fillId="67" borderId="16" xfId="235" applyNumberFormat="1" applyFill="1" applyBorder="1" applyAlignment="1">
      <alignment horizontal="center" vertical="center"/>
    </xf>
    <xf numFmtId="2" fontId="5" fillId="0" borderId="64" xfId="235" applyNumberFormat="1" applyFill="1" applyBorder="1" applyAlignment="1">
      <alignment horizontal="center" vertical="center"/>
    </xf>
    <xf numFmtId="1" fontId="0" fillId="0" borderId="65" xfId="129" applyNumberFormat="1" applyFont="1" applyBorder="1" applyAlignment="1">
      <alignment horizontal="center" vertical="center"/>
    </xf>
    <xf numFmtId="170" fontId="5" fillId="0" borderId="63" xfId="235" applyNumberFormat="1" applyBorder="1" applyAlignment="1">
      <alignment horizontal="center" vertical="center"/>
    </xf>
    <xf numFmtId="170" fontId="5" fillId="0" borderId="16" xfId="235" applyNumberFormat="1" applyBorder="1" applyAlignment="1">
      <alignment horizontal="center" vertical="center"/>
    </xf>
    <xf numFmtId="170" fontId="5" fillId="0" borderId="64" xfId="235" applyNumberFormat="1" applyBorder="1" applyAlignment="1">
      <alignment horizontal="center" vertical="center"/>
    </xf>
    <xf numFmtId="0" fontId="5" fillId="0" borderId="0" xfId="213" applyFont="1" applyAlignment="1">
      <alignment horizontal="center" vertical="center" wrapText="1" readingOrder="1"/>
    </xf>
    <xf numFmtId="0" fontId="5" fillId="8" borderId="66" xfId="235" applyFont="1" applyFill="1" applyBorder="1" applyAlignment="1">
      <alignment vertical="center" wrapText="1"/>
    </xf>
    <xf numFmtId="0" fontId="64" fillId="8" borderId="1" xfId="235" applyFont="1" applyFill="1" applyBorder="1" applyAlignment="1">
      <alignment horizontal="center" vertical="center" wrapText="1"/>
    </xf>
    <xf numFmtId="0" fontId="64" fillId="8" borderId="3" xfId="235" applyFont="1" applyFill="1" applyBorder="1" applyAlignment="1">
      <alignment vertical="center"/>
    </xf>
    <xf numFmtId="0" fontId="64" fillId="8" borderId="6" xfId="235" applyFont="1" applyFill="1" applyBorder="1" applyAlignment="1">
      <alignment horizontal="center" vertical="center" wrapText="1"/>
    </xf>
    <xf numFmtId="164" fontId="5" fillId="0" borderId="66" xfId="235" applyNumberFormat="1" applyBorder="1" applyAlignment="1">
      <alignment horizontal="center" vertical="center"/>
    </xf>
    <xf numFmtId="9" fontId="5" fillId="0" borderId="5" xfId="235" applyNumberFormat="1" applyBorder="1" applyAlignment="1">
      <alignment horizontal="center" vertical="center"/>
    </xf>
    <xf numFmtId="164" fontId="5" fillId="0" borderId="66" xfId="235" applyNumberFormat="1" applyFill="1" applyBorder="1" applyAlignment="1">
      <alignment horizontal="center" vertical="center"/>
    </xf>
    <xf numFmtId="9" fontId="5" fillId="67" borderId="5" xfId="235" applyNumberFormat="1" applyFill="1" applyBorder="1" applyAlignment="1">
      <alignment horizontal="center" vertical="center"/>
    </xf>
    <xf numFmtId="1" fontId="0" fillId="0" borderId="67" xfId="129" applyNumberFormat="1" applyFont="1" applyBorder="1" applyAlignment="1">
      <alignment horizontal="center" vertical="center"/>
    </xf>
    <xf numFmtId="170" fontId="5" fillId="0" borderId="66" xfId="235" applyNumberFormat="1" applyBorder="1" applyAlignment="1">
      <alignment horizontal="center" vertical="center"/>
    </xf>
    <xf numFmtId="170" fontId="5" fillId="0" borderId="5" xfId="235" applyNumberFormat="1" applyBorder="1" applyAlignment="1">
      <alignment horizontal="center" vertical="center"/>
    </xf>
    <xf numFmtId="170" fontId="5" fillId="0" borderId="47" xfId="235" applyNumberFormat="1" applyBorder="1" applyAlignment="1">
      <alignment horizontal="center" vertical="center"/>
    </xf>
    <xf numFmtId="2" fontId="5" fillId="10" borderId="66" xfId="235" applyNumberFormat="1" applyFill="1" applyBorder="1" applyAlignment="1">
      <alignment horizontal="center" vertical="center"/>
    </xf>
    <xf numFmtId="9" fontId="5" fillId="10" borderId="5" xfId="235" applyNumberFormat="1" applyFill="1" applyBorder="1" applyAlignment="1">
      <alignment horizontal="center" vertical="center"/>
    </xf>
    <xf numFmtId="2" fontId="5" fillId="67" borderId="64" xfId="235" applyNumberFormat="1" applyFill="1" applyBorder="1" applyAlignment="1">
      <alignment horizontal="center" vertical="center"/>
    </xf>
    <xf numFmtId="0" fontId="64" fillId="8" borderId="7" xfId="235" applyFont="1" applyFill="1" applyBorder="1" applyAlignment="1">
      <alignment vertical="center"/>
    </xf>
    <xf numFmtId="0" fontId="5" fillId="10" borderId="66" xfId="235" applyFill="1" applyBorder="1" applyAlignment="1">
      <alignment horizontal="center" vertical="center"/>
    </xf>
    <xf numFmtId="10" fontId="5" fillId="10" borderId="5" xfId="235" applyNumberFormat="1" applyFill="1" applyBorder="1" applyAlignment="1">
      <alignment horizontal="center" vertical="center"/>
    </xf>
    <xf numFmtId="164" fontId="5" fillId="0" borderId="64" xfId="235" applyNumberFormat="1" applyBorder="1" applyAlignment="1">
      <alignment horizontal="center" vertical="center"/>
    </xf>
    <xf numFmtId="164" fontId="5" fillId="67" borderId="64" xfId="235" applyNumberFormat="1" applyFill="1" applyBorder="1" applyAlignment="1">
      <alignment horizontal="center" vertical="center"/>
    </xf>
    <xf numFmtId="170" fontId="5" fillId="0" borderId="66" xfId="235" applyNumberFormat="1" applyFont="1" applyBorder="1" applyAlignment="1">
      <alignment horizontal="center" vertical="center"/>
    </xf>
    <xf numFmtId="170" fontId="5" fillId="0" borderId="5" xfId="235" applyNumberFormat="1" applyFont="1" applyBorder="1" applyAlignment="1">
      <alignment horizontal="center" vertical="center"/>
    </xf>
    <xf numFmtId="0" fontId="65" fillId="0" borderId="0" xfId="213" applyFont="1" applyAlignment="1">
      <alignment horizontal="center" vertical="center" wrapText="1" readingOrder="1"/>
    </xf>
    <xf numFmtId="10" fontId="5" fillId="10" borderId="5" xfId="8" applyNumberFormat="1" applyFont="1" applyFill="1" applyBorder="1" applyAlignment="1">
      <alignment horizontal="center" vertical="center"/>
    </xf>
    <xf numFmtId="169" fontId="5" fillId="10" borderId="5" xfId="235" applyNumberFormat="1" applyFill="1" applyBorder="1" applyAlignment="1">
      <alignment horizontal="center" vertical="center"/>
    </xf>
    <xf numFmtId="0" fontId="5" fillId="0" borderId="0" xfId="213" applyAlignment="1">
      <alignment horizontal="center" vertical="center" wrapText="1" readingOrder="1"/>
    </xf>
    <xf numFmtId="0" fontId="11" fillId="0" borderId="0" xfId="213" applyFont="1" applyAlignment="1">
      <alignment horizontal="center" vertical="center" wrapText="1" readingOrder="1"/>
    </xf>
    <xf numFmtId="0" fontId="5" fillId="8" borderId="68" xfId="235" applyFont="1" applyFill="1" applyBorder="1" applyAlignment="1">
      <alignment vertical="center" wrapText="1"/>
    </xf>
    <xf numFmtId="0" fontId="5" fillId="10" borderId="68" xfId="235" applyFill="1" applyBorder="1" applyAlignment="1">
      <alignment horizontal="center" vertical="center"/>
    </xf>
    <xf numFmtId="169" fontId="5" fillId="10" borderId="2" xfId="235" applyNumberFormat="1" applyFill="1" applyBorder="1" applyAlignment="1">
      <alignment horizontal="center" vertical="center"/>
    </xf>
    <xf numFmtId="164" fontId="5" fillId="0" borderId="69" xfId="235" applyNumberFormat="1" applyBorder="1" applyAlignment="1">
      <alignment horizontal="center" vertical="center"/>
    </xf>
    <xf numFmtId="164" fontId="5" fillId="67" borderId="69" xfId="235" applyNumberFormat="1" applyFill="1" applyBorder="1" applyAlignment="1">
      <alignment horizontal="center" vertical="center"/>
    </xf>
    <xf numFmtId="1" fontId="0" fillId="0" borderId="70" xfId="129" applyNumberFormat="1" applyFont="1" applyBorder="1" applyAlignment="1">
      <alignment horizontal="center" vertical="center"/>
    </xf>
    <xf numFmtId="170" fontId="5" fillId="0" borderId="68" xfId="235" applyNumberFormat="1" applyFont="1" applyBorder="1" applyAlignment="1">
      <alignment horizontal="center" vertical="center"/>
    </xf>
    <xf numFmtId="170" fontId="5" fillId="0" borderId="2" xfId="235" applyNumberFormat="1" applyFont="1" applyBorder="1" applyAlignment="1">
      <alignment horizontal="center" vertical="center"/>
    </xf>
    <xf numFmtId="170" fontId="5" fillId="0" borderId="71" xfId="235" applyNumberFormat="1" applyBorder="1" applyAlignment="1">
      <alignment horizontal="center" vertical="center"/>
    </xf>
    <xf numFmtId="0" fontId="5" fillId="0" borderId="48" xfId="235" applyFont="1" applyFill="1" applyBorder="1" applyAlignment="1">
      <alignment vertical="center" wrapText="1"/>
    </xf>
    <xf numFmtId="0" fontId="64" fillId="0" borderId="72" xfId="235" applyFont="1" applyFill="1" applyBorder="1" applyAlignment="1">
      <alignment horizontal="center" vertical="center" wrapText="1"/>
    </xf>
    <xf numFmtId="0" fontId="64" fillId="0" borderId="73" xfId="235" applyFont="1" applyFill="1" applyBorder="1" applyAlignment="1">
      <alignment horizontal="center" vertical="center" wrapText="1"/>
    </xf>
    <xf numFmtId="0" fontId="64" fillId="0" borderId="38" xfId="235" applyFont="1" applyFill="1" applyBorder="1" applyAlignment="1">
      <alignment horizontal="center" vertical="center" wrapText="1"/>
    </xf>
    <xf numFmtId="164" fontId="5" fillId="0" borderId="48" xfId="235" applyNumberFormat="1" applyBorder="1" applyAlignment="1">
      <alignment horizontal="center" vertical="center"/>
    </xf>
    <xf numFmtId="169" fontId="5" fillId="0" borderId="38" xfId="235" applyNumberFormat="1" applyFill="1" applyBorder="1" applyAlignment="1">
      <alignment horizontal="center" vertical="center"/>
    </xf>
    <xf numFmtId="164" fontId="5" fillId="0" borderId="41" xfId="235" applyNumberFormat="1" applyFill="1" applyBorder="1" applyAlignment="1">
      <alignment horizontal="center" vertical="center"/>
    </xf>
    <xf numFmtId="164" fontId="5" fillId="67" borderId="48" xfId="235" applyNumberFormat="1" applyFill="1" applyBorder="1" applyAlignment="1">
      <alignment horizontal="center" vertical="center"/>
    </xf>
    <xf numFmtId="169" fontId="5" fillId="67" borderId="38" xfId="235" applyNumberFormat="1" applyFill="1" applyBorder="1" applyAlignment="1">
      <alignment horizontal="center" vertical="center"/>
    </xf>
    <xf numFmtId="164" fontId="5" fillId="67" borderId="41" xfId="235" applyNumberFormat="1" applyFill="1" applyBorder="1" applyAlignment="1">
      <alignment horizontal="center" vertical="center"/>
    </xf>
    <xf numFmtId="170" fontId="5" fillId="63" borderId="48" xfId="235" applyNumberFormat="1" applyFont="1" applyFill="1" applyBorder="1" applyAlignment="1">
      <alignment horizontal="center" vertical="center"/>
    </xf>
    <xf numFmtId="170" fontId="5" fillId="63" borderId="38" xfId="235" applyNumberFormat="1" applyFont="1" applyFill="1" applyBorder="1" applyAlignment="1">
      <alignment horizontal="center" vertical="center"/>
    </xf>
    <xf numFmtId="170" fontId="5" fillId="0" borderId="41" xfId="235" applyNumberFormat="1" applyBorder="1" applyAlignment="1">
      <alignment horizontal="center" vertical="center"/>
    </xf>
    <xf numFmtId="0" fontId="62" fillId="0" borderId="0" xfId="213" applyFont="1" applyAlignment="1">
      <alignment horizontal="center" vertical="center" wrapText="1" readingOrder="1"/>
    </xf>
    <xf numFmtId="0" fontId="5" fillId="0" borderId="66" xfId="235" applyFont="1" applyFill="1" applyBorder="1" applyAlignment="1">
      <alignment vertical="center" wrapText="1"/>
    </xf>
    <xf numFmtId="0" fontId="64" fillId="0" borderId="15" xfId="235" applyFont="1" applyFill="1" applyBorder="1" applyAlignment="1">
      <alignment horizontal="center" vertical="center" wrapText="1"/>
    </xf>
    <xf numFmtId="0" fontId="64" fillId="0" borderId="7" xfId="235" applyFont="1" applyFill="1" applyBorder="1" applyAlignment="1">
      <alignment horizontal="center" vertical="center" wrapText="1"/>
    </xf>
    <xf numFmtId="0" fontId="64" fillId="0" borderId="5" xfId="235" applyFont="1" applyFill="1" applyBorder="1" applyAlignment="1">
      <alignment horizontal="center" vertical="center" wrapText="1"/>
    </xf>
    <xf numFmtId="169" fontId="5" fillId="0" borderId="5" xfId="235" applyNumberFormat="1" applyBorder="1" applyAlignment="1">
      <alignment horizontal="center" vertical="center"/>
    </xf>
    <xf numFmtId="2" fontId="5" fillId="0" borderId="47" xfId="235" applyNumberFormat="1" applyFill="1" applyBorder="1" applyAlignment="1">
      <alignment horizontal="center" vertical="center"/>
    </xf>
    <xf numFmtId="164" fontId="5" fillId="67" borderId="66" xfId="235" applyNumberFormat="1" applyFill="1" applyBorder="1" applyAlignment="1">
      <alignment horizontal="center" vertical="center"/>
    </xf>
    <xf numFmtId="169" fontId="5" fillId="67" borderId="5" xfId="235" applyNumberFormat="1" applyFill="1" applyBorder="1" applyAlignment="1">
      <alignment horizontal="center" vertical="center"/>
    </xf>
    <xf numFmtId="2" fontId="5" fillId="67" borderId="47" xfId="235" applyNumberFormat="1" applyFill="1" applyBorder="1" applyAlignment="1">
      <alignment horizontal="center" vertical="center"/>
    </xf>
    <xf numFmtId="164" fontId="5" fillId="10" borderId="66" xfId="235" applyNumberFormat="1" applyFill="1" applyBorder="1" applyAlignment="1">
      <alignment horizontal="center" vertical="center"/>
    </xf>
    <xf numFmtId="0" fontId="5" fillId="0" borderId="0" xfId="213" applyFill="1" applyAlignment="1">
      <alignment horizontal="center" vertical="center" wrapText="1" readingOrder="1"/>
    </xf>
    <xf numFmtId="0" fontId="5" fillId="18" borderId="50" xfId="235" applyFont="1" applyFill="1" applyBorder="1" applyAlignment="1">
      <alignment vertical="center" wrapText="1"/>
    </xf>
    <xf numFmtId="0" fontId="64" fillId="18" borderId="45" xfId="235" applyFont="1" applyFill="1" applyBorder="1" applyAlignment="1">
      <alignment horizontal="center" vertical="center"/>
    </xf>
    <xf numFmtId="0" fontId="64" fillId="18" borderId="74" xfId="235" applyFont="1" applyFill="1" applyBorder="1" applyAlignment="1">
      <alignment vertical="center"/>
    </xf>
    <xf numFmtId="0" fontId="64" fillId="18" borderId="44" xfId="235" applyFont="1" applyFill="1" applyBorder="1" applyAlignment="1">
      <alignment horizontal="center" vertical="center" wrapText="1"/>
    </xf>
    <xf numFmtId="0" fontId="5" fillId="10" borderId="50" xfId="235" applyFill="1" applyBorder="1" applyAlignment="1">
      <alignment horizontal="center" vertical="center"/>
    </xf>
    <xf numFmtId="169" fontId="5" fillId="10" borderId="44" xfId="235" applyNumberFormat="1" applyFill="1" applyBorder="1" applyAlignment="1">
      <alignment horizontal="center" vertical="center"/>
    </xf>
    <xf numFmtId="1" fontId="5" fillId="0" borderId="58" xfId="235" applyNumberFormat="1" applyBorder="1" applyAlignment="1">
      <alignment horizontal="center" vertical="center"/>
    </xf>
    <xf numFmtId="1" fontId="5" fillId="67" borderId="58" xfId="235" applyNumberFormat="1" applyFill="1" applyBorder="1" applyAlignment="1">
      <alignment horizontal="center" vertical="center"/>
    </xf>
    <xf numFmtId="1" fontId="0" fillId="63" borderId="75" xfId="129" applyNumberFormat="1" applyFont="1" applyFill="1" applyBorder="1" applyAlignment="1">
      <alignment horizontal="center" vertical="center"/>
    </xf>
    <xf numFmtId="170" fontId="5" fillId="63" borderId="50" xfId="235" applyNumberFormat="1" applyFont="1" applyFill="1" applyBorder="1" applyAlignment="1">
      <alignment horizontal="center" vertical="center"/>
    </xf>
    <xf numFmtId="170" fontId="5" fillId="63" borderId="44" xfId="235" applyNumberFormat="1" applyFont="1" applyFill="1" applyBorder="1" applyAlignment="1">
      <alignment horizontal="center" vertical="center"/>
    </xf>
    <xf numFmtId="170" fontId="5" fillId="0" borderId="58" xfId="235" applyNumberFormat="1" applyBorder="1" applyAlignment="1">
      <alignment horizontal="center" vertical="center"/>
    </xf>
    <xf numFmtId="0" fontId="5" fillId="0" borderId="0" xfId="213" applyAlignment="1">
      <alignment vertical="center" readingOrder="1"/>
    </xf>
    <xf numFmtId="0" fontId="5" fillId="0" borderId="0" xfId="213" applyFont="1">
      <alignment readingOrder="1"/>
    </xf>
    <xf numFmtId="0" fontId="5" fillId="0" borderId="0" xfId="213">
      <alignment readingOrder="1"/>
    </xf>
    <xf numFmtId="0" fontId="5" fillId="0" borderId="76" xfId="213" applyBorder="1">
      <alignment readingOrder="1"/>
    </xf>
    <xf numFmtId="0" fontId="5" fillId="0" borderId="77" xfId="213" applyBorder="1">
      <alignment readingOrder="1"/>
    </xf>
    <xf numFmtId="0" fontId="5" fillId="0" borderId="78" xfId="213" applyBorder="1">
      <alignment readingOrder="1"/>
    </xf>
    <xf numFmtId="0" fontId="5" fillId="0" borderId="79" xfId="213" applyBorder="1">
      <alignment readingOrder="1"/>
    </xf>
    <xf numFmtId="0" fontId="5" fillId="0" borderId="0" xfId="213" applyFont="1" applyBorder="1">
      <alignment readingOrder="1"/>
    </xf>
    <xf numFmtId="0" fontId="5" fillId="0" borderId="0" xfId="213" applyBorder="1">
      <alignment readingOrder="1"/>
    </xf>
    <xf numFmtId="0" fontId="5" fillId="0" borderId="80" xfId="213" applyBorder="1">
      <alignment readingOrder="1"/>
    </xf>
    <xf numFmtId="0" fontId="5" fillId="68" borderId="5" xfId="213" applyFill="1" applyBorder="1"/>
    <xf numFmtId="0" fontId="5" fillId="0" borderId="5" xfId="213" applyBorder="1"/>
    <xf numFmtId="14" fontId="5" fillId="0" borderId="0" xfId="213" applyNumberFormat="1" applyBorder="1"/>
    <xf numFmtId="0" fontId="5" fillId="0" borderId="0" xfId="213" applyBorder="1"/>
    <xf numFmtId="0" fontId="5" fillId="0" borderId="0" xfId="213" applyAlignment="1">
      <alignment wrapText="1" readingOrder="1"/>
    </xf>
    <xf numFmtId="0" fontId="5" fillId="0" borderId="79" xfId="213" applyBorder="1" applyAlignment="1">
      <alignment wrapText="1" readingOrder="1"/>
    </xf>
    <xf numFmtId="0" fontId="5" fillId="68" borderId="5" xfId="213" applyFill="1" applyBorder="1" applyAlignment="1">
      <alignment wrapText="1"/>
    </xf>
    <xf numFmtId="0" fontId="5" fillId="68" borderId="5" xfId="213" applyFont="1" applyFill="1" applyBorder="1" applyAlignment="1">
      <alignment wrapText="1"/>
    </xf>
    <xf numFmtId="0" fontId="5" fillId="0" borderId="0" xfId="213" applyBorder="1" applyAlignment="1">
      <alignment wrapText="1" readingOrder="1"/>
    </xf>
    <xf numFmtId="0" fontId="5" fillId="0" borderId="80" xfId="213" applyBorder="1" applyAlignment="1">
      <alignment wrapText="1" readingOrder="1"/>
    </xf>
    <xf numFmtId="3" fontId="5" fillId="0" borderId="5" xfId="213" applyNumberFormat="1" applyBorder="1"/>
    <xf numFmtId="0" fontId="5" fillId="0" borderId="5" xfId="213" applyBorder="1" applyAlignment="1">
      <alignment horizontal="left"/>
    </xf>
    <xf numFmtId="9" fontId="0" fillId="0" borderId="5" xfId="8" applyFont="1" applyBorder="1"/>
    <xf numFmtId="3" fontId="0" fillId="0" borderId="5" xfId="368" applyNumberFormat="1" applyFont="1" applyBorder="1"/>
    <xf numFmtId="0" fontId="5" fillId="0" borderId="81" xfId="213" applyBorder="1">
      <alignment readingOrder="1"/>
    </xf>
    <xf numFmtId="0" fontId="5" fillId="0" borderId="82" xfId="213" applyBorder="1">
      <alignment readingOrder="1"/>
    </xf>
    <xf numFmtId="0" fontId="5" fillId="0" borderId="83" xfId="213" applyBorder="1">
      <alignment readingOrder="1"/>
    </xf>
    <xf numFmtId="0" fontId="18" fillId="68" borderId="68" xfId="235" applyFont="1" applyFill="1" applyBorder="1" applyAlignment="1">
      <alignment horizontal="center" vertical="center" wrapText="1"/>
    </xf>
    <xf numFmtId="0" fontId="18" fillId="68" borderId="2" xfId="235" applyFont="1" applyFill="1" applyBorder="1" applyAlignment="1">
      <alignment horizontal="center" vertical="center" wrapText="1"/>
    </xf>
    <xf numFmtId="0" fontId="18" fillId="68" borderId="71" xfId="235" applyFont="1" applyFill="1" applyBorder="1" applyAlignment="1">
      <alignment horizontal="center" vertical="center" wrapText="1"/>
    </xf>
    <xf numFmtId="0" fontId="18" fillId="68" borderId="3" xfId="235" applyFont="1" applyFill="1" applyBorder="1" applyAlignment="1">
      <alignment horizontal="center" vertical="center" wrapText="1"/>
    </xf>
    <xf numFmtId="0" fontId="5" fillId="68" borderId="68" xfId="235" applyFill="1" applyBorder="1" applyAlignment="1">
      <alignment horizontal="center" vertical="center" wrapText="1"/>
    </xf>
    <xf numFmtId="0" fontId="5" fillId="68" borderId="2" xfId="235" applyFill="1" applyBorder="1" applyAlignment="1">
      <alignment horizontal="center" vertical="center" wrapText="1"/>
    </xf>
    <xf numFmtId="0" fontId="5" fillId="68" borderId="71" xfId="235" applyFill="1" applyBorder="1" applyAlignment="1">
      <alignment horizontal="center" vertical="center" wrapText="1"/>
    </xf>
    <xf numFmtId="0" fontId="18" fillId="0" borderId="52" xfId="235" applyFont="1" applyBorder="1" applyAlignment="1">
      <alignment vertical="center" wrapText="1"/>
    </xf>
    <xf numFmtId="0" fontId="5" fillId="0" borderId="85" xfId="235" applyBorder="1" applyAlignment="1">
      <alignment horizontal="center" wrapText="1"/>
    </xf>
    <xf numFmtId="1" fontId="5" fillId="0" borderId="48" xfId="235" applyNumberFormat="1" applyBorder="1" applyAlignment="1">
      <alignment horizontal="center" vertical="center" wrapText="1"/>
    </xf>
    <xf numFmtId="1" fontId="5" fillId="0" borderId="38" xfId="235" applyNumberFormat="1" applyBorder="1" applyAlignment="1">
      <alignment horizontal="center" vertical="center" wrapText="1"/>
    </xf>
    <xf numFmtId="1" fontId="5" fillId="0" borderId="41" xfId="235" applyNumberFormat="1" applyBorder="1" applyAlignment="1">
      <alignment horizontal="center" vertical="center" wrapText="1"/>
    </xf>
    <xf numFmtId="1" fontId="5" fillId="0" borderId="73" xfId="235" applyNumberFormat="1" applyBorder="1" applyAlignment="1">
      <alignment horizontal="center" vertical="center" wrapText="1"/>
    </xf>
    <xf numFmtId="1" fontId="5" fillId="0" borderId="39" xfId="235" applyNumberFormat="1" applyBorder="1" applyAlignment="1">
      <alignment horizontal="center" vertical="center" wrapText="1"/>
    </xf>
    <xf numFmtId="2" fontId="5" fillId="0" borderId="48" xfId="235" applyNumberFormat="1" applyBorder="1" applyAlignment="1">
      <alignment horizontal="center" vertical="center" wrapText="1"/>
    </xf>
    <xf numFmtId="0" fontId="18" fillId="0" borderId="46" xfId="235" applyFont="1" applyBorder="1" applyAlignment="1">
      <alignment vertical="center" wrapText="1"/>
    </xf>
    <xf numFmtId="0" fontId="5" fillId="0" borderId="67" xfId="235" applyBorder="1" applyAlignment="1">
      <alignment horizontal="center" wrapText="1"/>
    </xf>
    <xf numFmtId="1" fontId="5" fillId="0" borderId="66" xfId="235" applyNumberFormat="1" applyBorder="1" applyAlignment="1">
      <alignment horizontal="center" vertical="center" wrapText="1"/>
    </xf>
    <xf numFmtId="1" fontId="5" fillId="0" borderId="5" xfId="235" applyNumberFormat="1" applyBorder="1" applyAlignment="1">
      <alignment horizontal="center" vertical="center" wrapText="1"/>
    </xf>
    <xf numFmtId="1" fontId="5" fillId="0" borderId="47" xfId="235" applyNumberFormat="1" applyBorder="1" applyAlignment="1">
      <alignment horizontal="center" vertical="center" wrapText="1"/>
    </xf>
    <xf numFmtId="1" fontId="5" fillId="0" borderId="7" xfId="235" applyNumberFormat="1" applyBorder="1" applyAlignment="1">
      <alignment horizontal="center" vertical="center" wrapText="1"/>
    </xf>
    <xf numFmtId="1" fontId="5" fillId="0" borderId="6" xfId="235" applyNumberFormat="1" applyBorder="1" applyAlignment="1">
      <alignment horizontal="center" vertical="center" wrapText="1"/>
    </xf>
    <xf numFmtId="2" fontId="5" fillId="0" borderId="66" xfId="235" applyNumberFormat="1" applyBorder="1" applyAlignment="1">
      <alignment horizontal="center" vertical="center" wrapText="1"/>
    </xf>
    <xf numFmtId="2" fontId="5" fillId="0" borderId="5" xfId="235" applyNumberFormat="1" applyBorder="1" applyAlignment="1">
      <alignment horizontal="center" vertical="center" wrapText="1"/>
    </xf>
    <xf numFmtId="0" fontId="18" fillId="0" borderId="51" xfId="235" applyFont="1" applyBorder="1" applyAlignment="1">
      <alignment vertical="center" wrapText="1"/>
    </xf>
    <xf numFmtId="0" fontId="5" fillId="0" borderId="75" xfId="235" applyBorder="1" applyAlignment="1">
      <alignment horizontal="center" wrapText="1"/>
    </xf>
    <xf numFmtId="1" fontId="5" fillId="0" borderId="50" xfId="235" applyNumberFormat="1" applyBorder="1" applyAlignment="1">
      <alignment horizontal="center" vertical="center" wrapText="1"/>
    </xf>
    <xf numFmtId="1" fontId="5" fillId="0" borderId="44" xfId="235" applyNumberFormat="1" applyBorder="1" applyAlignment="1">
      <alignment horizontal="center" vertical="center" wrapText="1"/>
    </xf>
    <xf numFmtId="1" fontId="5" fillId="0" borderId="58" xfId="235" applyNumberFormat="1" applyBorder="1" applyAlignment="1">
      <alignment horizontal="center" vertical="center" wrapText="1"/>
    </xf>
    <xf numFmtId="1" fontId="5" fillId="0" borderId="74" xfId="235" applyNumberFormat="1" applyBorder="1" applyAlignment="1">
      <alignment horizontal="center" vertical="center" wrapText="1"/>
    </xf>
    <xf numFmtId="1" fontId="5" fillId="0" borderId="45" xfId="235" applyNumberFormat="1" applyBorder="1" applyAlignment="1">
      <alignment horizontal="center" vertical="center" wrapText="1"/>
    </xf>
    <xf numFmtId="2" fontId="5" fillId="0" borderId="50" xfId="235" applyNumberFormat="1" applyBorder="1" applyAlignment="1">
      <alignment horizontal="center" vertical="center" wrapText="1"/>
    </xf>
    <xf numFmtId="0" fontId="18" fillId="0" borderId="0" xfId="235" applyFont="1" applyBorder="1" applyAlignment="1">
      <alignment horizontal="right" wrapText="1"/>
    </xf>
    <xf numFmtId="0" fontId="18" fillId="0" borderId="18" xfId="235" applyFont="1" applyBorder="1" applyAlignment="1">
      <alignment horizontal="center" wrapText="1"/>
    </xf>
    <xf numFmtId="0" fontId="5" fillId="0" borderId="0" xfId="235" applyBorder="1" applyAlignment="1">
      <alignment wrapText="1"/>
    </xf>
    <xf numFmtId="0" fontId="5" fillId="0" borderId="0" xfId="235" applyBorder="1" applyAlignment="1">
      <alignment horizontal="center" wrapText="1"/>
    </xf>
    <xf numFmtId="0" fontId="17" fillId="68" borderId="48" xfId="235" applyFont="1" applyFill="1" applyBorder="1"/>
    <xf numFmtId="0" fontId="17" fillId="68" borderId="41" xfId="235" applyFont="1" applyFill="1" applyBorder="1"/>
    <xf numFmtId="0" fontId="67" fillId="0" borderId="66" xfId="235" applyFont="1" applyBorder="1" applyAlignment="1">
      <alignment wrapText="1"/>
    </xf>
    <xf numFmtId="0" fontId="67" fillId="0" borderId="47" xfId="235" applyFont="1" applyBorder="1" applyAlignment="1">
      <alignment wrapText="1"/>
    </xf>
    <xf numFmtId="0" fontId="18" fillId="0" borderId="66" xfId="235" applyFont="1" applyBorder="1"/>
    <xf numFmtId="0" fontId="5" fillId="0" borderId="47" xfId="235" applyBorder="1"/>
    <xf numFmtId="9" fontId="0" fillId="0" borderId="0" xfId="8" applyFont="1" applyBorder="1">
      <alignment readingOrder="1"/>
    </xf>
    <xf numFmtId="0" fontId="18" fillId="0" borderId="50" xfId="235" applyFont="1" applyBorder="1"/>
    <xf numFmtId="0" fontId="5" fillId="0" borderId="58" xfId="235" applyBorder="1"/>
    <xf numFmtId="0" fontId="5" fillId="0" borderId="0" xfId="213" applyFont="1" applyAlignment="1">
      <alignment horizontal="left" readingOrder="1"/>
    </xf>
    <xf numFmtId="164" fontId="5" fillId="0" borderId="0" xfId="213" applyNumberFormat="1" applyAlignment="1">
      <alignment horizontal="center" readingOrder="1"/>
    </xf>
    <xf numFmtId="0" fontId="5" fillId="0" borderId="0" xfId="213" applyAlignment="1">
      <alignment horizontal="center" readingOrder="1"/>
    </xf>
    <xf numFmtId="9" fontId="0" fillId="0" borderId="0" xfId="8" applyFont="1" applyAlignment="1">
      <alignment horizontal="center"/>
    </xf>
    <xf numFmtId="0" fontId="5" fillId="0" borderId="0" xfId="213" applyAlignment="1">
      <alignment horizontal="center"/>
    </xf>
    <xf numFmtId="164" fontId="5" fillId="0" borderId="0" xfId="213" applyNumberFormat="1" applyAlignment="1">
      <alignment horizontal="center"/>
    </xf>
    <xf numFmtId="0" fontId="5" fillId="0" borderId="0" xfId="213" applyFont="1" applyAlignment="1">
      <alignment horizontal="left"/>
    </xf>
    <xf numFmtId="0" fontId="27" fillId="5" borderId="0" xfId="213" applyFont="1" applyFill="1" applyAlignment="1">
      <alignment horizontal="center"/>
    </xf>
    <xf numFmtId="164" fontId="27" fillId="5" borderId="0" xfId="213" applyNumberFormat="1" applyFont="1" applyFill="1" applyAlignment="1">
      <alignment horizontal="center"/>
    </xf>
    <xf numFmtId="0" fontId="5" fillId="0" borderId="0" xfId="213" applyFill="1" applyAlignment="1">
      <alignment horizontal="center"/>
    </xf>
    <xf numFmtId="0" fontId="21" fillId="0" borderId="0" xfId="213" applyFont="1" applyAlignment="1">
      <alignment horizontal="center"/>
    </xf>
    <xf numFmtId="0" fontId="27" fillId="0" borderId="0" xfId="213" applyFont="1" applyAlignment="1">
      <alignment horizontal="center"/>
    </xf>
    <xf numFmtId="164" fontId="5" fillId="0" borderId="0" xfId="213" applyNumberFormat="1" applyAlignment="1" applyProtection="1">
      <alignment horizontal="center"/>
    </xf>
    <xf numFmtId="1" fontId="5" fillId="0" borderId="0" xfId="213" applyNumberFormat="1" applyAlignment="1">
      <alignment horizontal="center"/>
    </xf>
    <xf numFmtId="0" fontId="27" fillId="9" borderId="0" xfId="213" applyFont="1" applyFill="1" applyAlignment="1">
      <alignment horizontal="center"/>
    </xf>
    <xf numFmtId="164" fontId="27" fillId="9" borderId="0" xfId="213" applyNumberFormat="1" applyFont="1" applyFill="1" applyAlignment="1">
      <alignment horizontal="center"/>
    </xf>
    <xf numFmtId="0" fontId="27" fillId="0" borderId="0" xfId="213" applyFont="1" applyFill="1" applyAlignment="1">
      <alignment horizontal="center"/>
    </xf>
    <xf numFmtId="1" fontId="27" fillId="9" borderId="0" xfId="213" applyNumberFormat="1" applyFont="1" applyFill="1" applyAlignment="1">
      <alignment horizontal="center"/>
    </xf>
    <xf numFmtId="1" fontId="27" fillId="0" borderId="0" xfId="213" applyNumberFormat="1" applyFont="1" applyFill="1" applyAlignment="1">
      <alignment horizontal="center"/>
    </xf>
    <xf numFmtId="164" fontId="27" fillId="0" borderId="0" xfId="213" applyNumberFormat="1" applyFont="1" applyFill="1" applyAlignment="1">
      <alignment horizontal="center"/>
    </xf>
    <xf numFmtId="0" fontId="5" fillId="0" borderId="17" xfId="235" applyBorder="1"/>
    <xf numFmtId="0" fontId="11" fillId="0" borderId="33" xfId="235" applyFont="1" applyBorder="1" applyAlignment="1">
      <alignment horizontal="center" wrapText="1"/>
    </xf>
    <xf numFmtId="0" fontId="11" fillId="0" borderId="34" xfId="235" applyFont="1" applyBorder="1" applyAlignment="1">
      <alignment horizontal="center" wrapText="1"/>
    </xf>
    <xf numFmtId="0" fontId="29" fillId="0" borderId="34" xfId="235" applyFont="1" applyBorder="1" applyAlignment="1">
      <alignment horizontal="center" wrapText="1"/>
    </xf>
    <xf numFmtId="0" fontId="29" fillId="19" borderId="36" xfId="235" applyFont="1" applyFill="1" applyBorder="1" applyAlignment="1">
      <alignment horizontal="center" wrapText="1"/>
    </xf>
    <xf numFmtId="0" fontId="64" fillId="0" borderId="40" xfId="235" applyFont="1" applyBorder="1"/>
    <xf numFmtId="2" fontId="68" fillId="0" borderId="48" xfId="235" applyNumberFormat="1" applyFont="1" applyBorder="1" applyAlignment="1">
      <alignment horizontal="center" vertical="center"/>
    </xf>
    <xf numFmtId="2" fontId="5" fillId="0" borderId="38" xfId="235" applyNumberFormat="1" applyFont="1" applyBorder="1" applyAlignment="1">
      <alignment horizontal="center" vertical="center"/>
    </xf>
    <xf numFmtId="1" fontId="69" fillId="0" borderId="38" xfId="235" applyNumberFormat="1" applyFont="1" applyBorder="1" applyAlignment="1">
      <alignment horizontal="center" vertical="center"/>
    </xf>
    <xf numFmtId="9" fontId="5" fillId="0" borderId="38" xfId="235" applyNumberFormat="1" applyFont="1" applyBorder="1" applyAlignment="1">
      <alignment horizontal="center" vertical="center"/>
    </xf>
    <xf numFmtId="1" fontId="5" fillId="0" borderId="38" xfId="235" applyNumberFormat="1" applyBorder="1" applyAlignment="1">
      <alignment horizontal="center" vertical="center"/>
    </xf>
    <xf numFmtId="9" fontId="0" fillId="0" borderId="38" xfId="336" applyFont="1" applyBorder="1" applyAlignment="1">
      <alignment horizontal="center" vertical="center"/>
    </xf>
    <xf numFmtId="2" fontId="5" fillId="0" borderId="38" xfId="235" applyNumberFormat="1" applyBorder="1" applyAlignment="1">
      <alignment horizontal="center" vertical="center"/>
    </xf>
    <xf numFmtId="173" fontId="69" fillId="0" borderId="38" xfId="368" applyNumberFormat="1" applyFont="1" applyBorder="1" applyAlignment="1">
      <alignment horizontal="center" vertical="center"/>
    </xf>
    <xf numFmtId="164" fontId="5" fillId="19" borderId="41" xfId="235" applyNumberFormat="1" applyFill="1" applyBorder="1" applyAlignment="1">
      <alignment horizontal="center" vertical="center"/>
    </xf>
    <xf numFmtId="0" fontId="64" fillId="0" borderId="46" xfId="235" applyFont="1" applyBorder="1"/>
    <xf numFmtId="164" fontId="68" fillId="0" borderId="66" xfId="235" applyNumberFormat="1" applyFont="1" applyBorder="1" applyAlignment="1">
      <alignment horizontal="center" vertical="center"/>
    </xf>
    <xf numFmtId="2" fontId="5" fillId="0" borderId="5" xfId="235" applyNumberFormat="1" applyFont="1" applyBorder="1" applyAlignment="1">
      <alignment horizontal="center" vertical="center"/>
    </xf>
    <xf numFmtId="1" fontId="5" fillId="0" borderId="5" xfId="235" applyNumberFormat="1" applyBorder="1" applyAlignment="1">
      <alignment horizontal="center" vertical="center"/>
    </xf>
    <xf numFmtId="9" fontId="5" fillId="0" borderId="5" xfId="235" applyNumberFormat="1" applyFont="1" applyBorder="1" applyAlignment="1">
      <alignment horizontal="center" vertical="center"/>
    </xf>
    <xf numFmtId="9" fontId="0" fillId="0" borderId="5" xfId="336" applyFont="1" applyBorder="1" applyAlignment="1">
      <alignment horizontal="center" vertical="center"/>
    </xf>
    <xf numFmtId="2" fontId="5" fillId="0" borderId="5" xfId="235" applyNumberFormat="1" applyBorder="1" applyAlignment="1">
      <alignment horizontal="center" vertical="center"/>
    </xf>
    <xf numFmtId="173" fontId="5" fillId="0" borderId="5" xfId="368" applyNumberFormat="1" applyFont="1" applyBorder="1" applyAlignment="1">
      <alignment horizontal="center" vertical="center"/>
    </xf>
    <xf numFmtId="164" fontId="5" fillId="19" borderId="47" xfId="235" applyNumberFormat="1" applyFill="1" applyBorder="1" applyAlignment="1">
      <alignment horizontal="center" vertical="center"/>
    </xf>
    <xf numFmtId="1" fontId="69" fillId="0" borderId="5" xfId="235" applyNumberFormat="1" applyFont="1" applyBorder="1" applyAlignment="1">
      <alignment horizontal="center" vertical="center"/>
    </xf>
    <xf numFmtId="0" fontId="64" fillId="0" borderId="51" xfId="235" applyFont="1" applyBorder="1"/>
    <xf numFmtId="164" fontId="68" fillId="0" borderId="50" xfId="235" applyNumberFormat="1" applyFont="1" applyBorder="1" applyAlignment="1">
      <alignment horizontal="center" vertical="center"/>
    </xf>
    <xf numFmtId="2" fontId="5" fillId="0" borderId="44" xfId="235" applyNumberFormat="1" applyFont="1" applyBorder="1" applyAlignment="1">
      <alignment horizontal="center" vertical="center"/>
    </xf>
    <xf numFmtId="1" fontId="5" fillId="0" borderId="44" xfId="235" applyNumberFormat="1" applyBorder="1" applyAlignment="1">
      <alignment horizontal="center" vertical="center"/>
    </xf>
    <xf numFmtId="9" fontId="5" fillId="0" borderId="44" xfId="235" applyNumberFormat="1" applyFont="1" applyBorder="1" applyAlignment="1">
      <alignment horizontal="center" vertical="center"/>
    </xf>
    <xf numFmtId="9" fontId="0" fillId="0" borderId="44" xfId="336" applyFont="1" applyBorder="1" applyAlignment="1">
      <alignment horizontal="center" vertical="center"/>
    </xf>
    <xf numFmtId="2" fontId="5" fillId="0" borderId="44" xfId="235" applyNumberFormat="1" applyBorder="1" applyAlignment="1">
      <alignment horizontal="center" vertical="center"/>
    </xf>
    <xf numFmtId="173" fontId="5" fillId="0" borderId="44" xfId="368" applyNumberFormat="1" applyFont="1" applyBorder="1" applyAlignment="1">
      <alignment horizontal="center" vertical="center"/>
    </xf>
    <xf numFmtId="164" fontId="5" fillId="19" borderId="58" xfId="235" applyNumberFormat="1" applyFill="1" applyBorder="1" applyAlignment="1">
      <alignment horizontal="center" vertical="center"/>
    </xf>
    <xf numFmtId="2" fontId="5" fillId="0" borderId="48" xfId="235" applyNumberFormat="1" applyFont="1" applyBorder="1" applyAlignment="1">
      <alignment horizontal="center" vertical="center"/>
    </xf>
    <xf numFmtId="164" fontId="5" fillId="0" borderId="66" xfId="235" applyNumberFormat="1" applyFont="1" applyBorder="1" applyAlignment="1">
      <alignment horizontal="center" vertical="center"/>
    </xf>
    <xf numFmtId="164" fontId="5" fillId="0" borderId="50" xfId="235" applyNumberFormat="1" applyFont="1" applyBorder="1" applyAlignment="1">
      <alignment horizontal="center" vertical="center"/>
    </xf>
    <xf numFmtId="8" fontId="0" fillId="0" borderId="0" xfId="0" applyNumberFormat="1"/>
    <xf numFmtId="0" fontId="5" fillId="0" borderId="0" xfId="213" applyAlignment="1">
      <alignment horizontal="right" readingOrder="1"/>
    </xf>
    <xf numFmtId="0" fontId="5" fillId="0" borderId="0" xfId="213" applyFont="1" applyAlignment="1">
      <alignment horizontal="right" readingOrder="1"/>
    </xf>
    <xf numFmtId="9" fontId="5" fillId="0" borderId="0" xfId="213" applyNumberFormat="1">
      <alignment readingOrder="1"/>
    </xf>
    <xf numFmtId="9" fontId="0" fillId="0" borderId="0" xfId="8" applyFont="1">
      <alignment readingOrder="1"/>
    </xf>
    <xf numFmtId="0" fontId="5" fillId="0" borderId="0" xfId="235"/>
    <xf numFmtId="164" fontId="5" fillId="0" borderId="0" xfId="213" applyNumberFormat="1">
      <alignment readingOrder="1"/>
    </xf>
    <xf numFmtId="44" fontId="5" fillId="0" borderId="0" xfId="1">
      <alignment readingOrder="1"/>
    </xf>
    <xf numFmtId="0" fontId="11" fillId="5" borderId="5" xfId="213" applyFont="1" applyFill="1" applyBorder="1" applyAlignment="1">
      <alignment horizontal="center"/>
    </xf>
    <xf numFmtId="0" fontId="11" fillId="5" borderId="86" xfId="213" applyFont="1" applyFill="1" applyBorder="1" applyAlignment="1">
      <alignment horizontal="center" wrapText="1"/>
    </xf>
    <xf numFmtId="0" fontId="5" fillId="0" borderId="0" xfId="213" quotePrefix="1" applyAlignment="1">
      <alignment horizontal="center"/>
    </xf>
    <xf numFmtId="0" fontId="5" fillId="0" borderId="0" xfId="213"/>
    <xf numFmtId="164" fontId="5" fillId="0" borderId="0" xfId="213" applyNumberFormat="1"/>
    <xf numFmtId="12" fontId="5" fillId="0" borderId="0" xfId="213" quotePrefix="1" applyNumberFormat="1" applyAlignment="1">
      <alignment horizontal="center"/>
    </xf>
    <xf numFmtId="12" fontId="5" fillId="0" borderId="82" xfId="213" quotePrefix="1" applyNumberFormat="1" applyBorder="1" applyAlignment="1">
      <alignment horizontal="center"/>
    </xf>
    <xf numFmtId="0" fontId="5" fillId="0" borderId="82" xfId="213" applyBorder="1"/>
    <xf numFmtId="164" fontId="5" fillId="0" borderId="82" xfId="213" applyNumberFormat="1" applyBorder="1"/>
    <xf numFmtId="12" fontId="11" fillId="0" borderId="0" xfId="213" applyNumberFormat="1" applyFont="1" applyAlignment="1">
      <alignment horizontal="left"/>
    </xf>
    <xf numFmtId="0" fontId="11" fillId="0" borderId="0" xfId="213" applyFont="1" applyAlignment="1">
      <alignment horizontal="center" wrapText="1"/>
    </xf>
    <xf numFmtId="0" fontId="70" fillId="0" borderId="0" xfId="213" applyFont="1"/>
    <xf numFmtId="12" fontId="11" fillId="0" borderId="82" xfId="213" quotePrefix="1" applyNumberFormat="1" applyFont="1" applyBorder="1" applyAlignment="1">
      <alignment horizontal="center" wrapText="1"/>
    </xf>
    <xf numFmtId="0" fontId="5" fillId="0" borderId="0" xfId="213" applyAlignment="1"/>
    <xf numFmtId="0" fontId="5" fillId="0" borderId="0" xfId="213" applyFont="1" applyAlignment="1">
      <alignment vertical="center" readingOrder="1"/>
    </xf>
    <xf numFmtId="0" fontId="11" fillId="0" borderId="0" xfId="213" applyFont="1" applyAlignment="1">
      <alignment vertical="center" readingOrder="1"/>
    </xf>
    <xf numFmtId="0" fontId="10" fillId="68" borderId="2" xfId="213" applyFont="1" applyFill="1" applyBorder="1" applyAlignment="1">
      <alignment horizontal="center" vertical="center" wrapText="1"/>
    </xf>
    <xf numFmtId="0" fontId="10" fillId="68" borderId="71" xfId="213" applyFont="1" applyFill="1" applyBorder="1" applyAlignment="1">
      <alignment horizontal="center" vertical="center" wrapText="1"/>
    </xf>
    <xf numFmtId="0" fontId="5" fillId="0" borderId="0" xfId="213" applyFont="1" applyAlignment="1">
      <alignment vertical="center" wrapText="1" readingOrder="1"/>
    </xf>
    <xf numFmtId="0" fontId="5" fillId="0" borderId="0" xfId="213" applyFont="1" applyAlignment="1">
      <alignment horizontal="center" vertical="center" readingOrder="1"/>
    </xf>
    <xf numFmtId="0" fontId="10" fillId="69" borderId="65" xfId="213" applyFont="1" applyFill="1" applyBorder="1" applyAlignment="1">
      <alignment horizontal="left" vertical="center" wrapText="1"/>
    </xf>
    <xf numFmtId="174" fontId="10" fillId="69" borderId="73" xfId="213" applyNumberFormat="1" applyFont="1" applyFill="1" applyBorder="1" applyAlignment="1">
      <alignment horizontal="center" vertical="center" wrapText="1"/>
    </xf>
    <xf numFmtId="0" fontId="10" fillId="69" borderId="38" xfId="213" applyFont="1" applyFill="1" applyBorder="1" applyAlignment="1">
      <alignment horizontal="center" vertical="center" wrapText="1"/>
    </xf>
    <xf numFmtId="175" fontId="10" fillId="69" borderId="38" xfId="213" applyNumberFormat="1" applyFont="1" applyFill="1" applyBorder="1" applyAlignment="1">
      <alignment horizontal="center" vertical="center" wrapText="1"/>
    </xf>
    <xf numFmtId="174" fontId="10" fillId="69" borderId="41" xfId="213" applyNumberFormat="1" applyFont="1" applyFill="1" applyBorder="1" applyAlignment="1">
      <alignment horizontal="center" vertical="center" wrapText="1"/>
    </xf>
    <xf numFmtId="0" fontId="5" fillId="0" borderId="0" xfId="213" applyFont="1" applyAlignment="1">
      <alignment horizontal="left" vertical="center" wrapText="1" readingOrder="1"/>
    </xf>
    <xf numFmtId="169" fontId="5" fillId="0" borderId="0" xfId="8" applyNumberFormat="1" applyFont="1" applyAlignment="1">
      <alignment horizontal="center" vertical="center" readingOrder="1"/>
    </xf>
    <xf numFmtId="0" fontId="10" fillId="69" borderId="67" xfId="213" applyFont="1" applyFill="1" applyBorder="1" applyAlignment="1">
      <alignment horizontal="left" vertical="center" wrapText="1"/>
    </xf>
    <xf numFmtId="174" fontId="10" fillId="69" borderId="7" xfId="213" applyNumberFormat="1" applyFont="1" applyFill="1" applyBorder="1" applyAlignment="1">
      <alignment horizontal="center" vertical="center" wrapText="1"/>
    </xf>
    <xf numFmtId="0" fontId="10" fillId="69" borderId="5" xfId="213" applyFont="1" applyFill="1" applyBorder="1" applyAlignment="1">
      <alignment horizontal="center" vertical="center" wrapText="1"/>
    </xf>
    <xf numFmtId="175" fontId="10" fillId="69" borderId="5" xfId="213" applyNumberFormat="1" applyFont="1" applyFill="1" applyBorder="1" applyAlignment="1">
      <alignment horizontal="center" vertical="center" wrapText="1"/>
    </xf>
    <xf numFmtId="174" fontId="10" fillId="69" borderId="47" xfId="213" applyNumberFormat="1" applyFont="1" applyFill="1" applyBorder="1" applyAlignment="1">
      <alignment horizontal="center" vertical="center" wrapText="1"/>
    </xf>
    <xf numFmtId="0" fontId="10" fillId="69" borderId="75" xfId="213" applyFont="1" applyFill="1" applyBorder="1" applyAlignment="1">
      <alignment horizontal="left" vertical="center" wrapText="1"/>
    </xf>
    <xf numFmtId="174" fontId="10" fillId="69" borderId="74" xfId="213" applyNumberFormat="1" applyFont="1" applyFill="1" applyBorder="1" applyAlignment="1">
      <alignment horizontal="center" vertical="center" wrapText="1"/>
    </xf>
    <xf numFmtId="0" fontId="10" fillId="69" borderId="44" xfId="213" applyFont="1" applyFill="1" applyBorder="1" applyAlignment="1">
      <alignment horizontal="center" vertical="center" wrapText="1"/>
    </xf>
    <xf numFmtId="175" fontId="10" fillId="69" borderId="44" xfId="213" applyNumberFormat="1" applyFont="1" applyFill="1" applyBorder="1" applyAlignment="1">
      <alignment horizontal="center" vertical="center" wrapText="1"/>
    </xf>
    <xf numFmtId="174" fontId="10" fillId="69" borderId="58" xfId="213" applyNumberFormat="1" applyFont="1" applyFill="1" applyBorder="1" applyAlignment="1">
      <alignment horizontal="center" vertical="center" wrapText="1"/>
    </xf>
    <xf numFmtId="0" fontId="40" fillId="69" borderId="49" xfId="213" applyFont="1" applyFill="1" applyBorder="1" applyAlignment="1">
      <alignment horizontal="left" vertical="center" wrapText="1"/>
    </xf>
    <xf numFmtId="0" fontId="5" fillId="69" borderId="89" xfId="213" applyFont="1" applyFill="1" applyBorder="1" applyAlignment="1">
      <alignment horizontal="center" vertical="center" wrapText="1"/>
    </xf>
    <xf numFmtId="0" fontId="5" fillId="69" borderId="56" xfId="213" applyFont="1" applyFill="1" applyBorder="1" applyAlignment="1">
      <alignment horizontal="center" vertical="center" wrapText="1"/>
    </xf>
    <xf numFmtId="175" fontId="10" fillId="69" borderId="56" xfId="213" applyNumberFormat="1" applyFont="1" applyFill="1" applyBorder="1" applyAlignment="1">
      <alignment horizontal="center" vertical="center" wrapText="1"/>
    </xf>
    <xf numFmtId="174" fontId="10" fillId="69" borderId="90" xfId="213" applyNumberFormat="1" applyFont="1" applyFill="1" applyBorder="1" applyAlignment="1">
      <alignment horizontal="center" vertical="center" wrapText="1"/>
    </xf>
    <xf numFmtId="2" fontId="5" fillId="0" borderId="0" xfId="213" applyNumberFormat="1" applyFont="1" applyAlignment="1">
      <alignment horizontal="center" vertical="center" readingOrder="1"/>
    </xf>
    <xf numFmtId="174" fontId="5" fillId="0" borderId="0" xfId="213" applyNumberFormat="1" applyFont="1" applyAlignment="1">
      <alignment horizontal="center" vertical="center" readingOrder="1"/>
    </xf>
    <xf numFmtId="0" fontId="10" fillId="70" borderId="17" xfId="213" applyFont="1" applyFill="1" applyBorder="1" applyAlignment="1">
      <alignment horizontal="left" vertical="center" wrapText="1"/>
    </xf>
    <xf numFmtId="0" fontId="10" fillId="70" borderId="91" xfId="213" applyFont="1" applyFill="1" applyBorder="1" applyAlignment="1">
      <alignment horizontal="left" vertical="center" wrapText="1"/>
    </xf>
    <xf numFmtId="0" fontId="10" fillId="70" borderId="92" xfId="213" applyFont="1" applyFill="1" applyBorder="1" applyAlignment="1">
      <alignment horizontal="center" vertical="center" wrapText="1"/>
    </xf>
    <xf numFmtId="0" fontId="10" fillId="70" borderId="93" xfId="213" applyFont="1" applyFill="1" applyBorder="1" applyAlignment="1">
      <alignment horizontal="center" vertical="center" wrapText="1"/>
    </xf>
    <xf numFmtId="0" fontId="10" fillId="69" borderId="94" xfId="213" applyFont="1" applyFill="1" applyBorder="1" applyAlignment="1">
      <alignment horizontal="left" vertical="center" wrapText="1"/>
    </xf>
    <xf numFmtId="0" fontId="5" fillId="69" borderId="95" xfId="213" applyFont="1" applyFill="1" applyBorder="1" applyAlignment="1">
      <alignment horizontal="left" vertical="center" wrapText="1"/>
    </xf>
    <xf numFmtId="174" fontId="10" fillId="69" borderId="96" xfId="213" applyNumberFormat="1" applyFont="1" applyFill="1" applyBorder="1" applyAlignment="1">
      <alignment horizontal="center" vertical="center" wrapText="1"/>
    </xf>
    <xf numFmtId="175" fontId="10" fillId="69" borderId="96" xfId="213" applyNumberFormat="1" applyFont="1" applyFill="1" applyBorder="1" applyAlignment="1">
      <alignment horizontal="center" vertical="center" wrapText="1"/>
    </xf>
    <xf numFmtId="176" fontId="10" fillId="69" borderId="96" xfId="213" applyNumberFormat="1" applyFont="1" applyFill="1" applyBorder="1" applyAlignment="1">
      <alignment horizontal="center" vertical="center" wrapText="1"/>
    </xf>
    <xf numFmtId="176" fontId="10" fillId="69" borderId="97" xfId="213" applyNumberFormat="1" applyFont="1" applyFill="1" applyBorder="1" applyAlignment="1">
      <alignment horizontal="center" vertical="center" wrapText="1"/>
    </xf>
    <xf numFmtId="1" fontId="5" fillId="0" borderId="0" xfId="213" applyNumberFormat="1" applyFont="1" applyAlignment="1">
      <alignment vertical="center" readingOrder="1"/>
    </xf>
    <xf numFmtId="0" fontId="10" fillId="69" borderId="98" xfId="213" applyFont="1" applyFill="1" applyBorder="1" applyAlignment="1">
      <alignment horizontal="left" vertical="center" wrapText="1"/>
    </xf>
    <xf numFmtId="0" fontId="5" fillId="69" borderId="99" xfId="213" applyFont="1" applyFill="1" applyBorder="1" applyAlignment="1">
      <alignment horizontal="left" vertical="center" wrapText="1"/>
    </xf>
    <xf numFmtId="174" fontId="10" fillId="69" borderId="100" xfId="213" applyNumberFormat="1" applyFont="1" applyFill="1" applyBorder="1" applyAlignment="1">
      <alignment horizontal="center" vertical="center" wrapText="1"/>
    </xf>
    <xf numFmtId="176" fontId="10" fillId="69" borderId="101" xfId="213" applyNumberFormat="1" applyFont="1" applyFill="1" applyBorder="1" applyAlignment="1">
      <alignment horizontal="center" vertical="center" wrapText="1"/>
    </xf>
    <xf numFmtId="175" fontId="10" fillId="69" borderId="100" xfId="213" applyNumberFormat="1" applyFont="1" applyFill="1" applyBorder="1" applyAlignment="1">
      <alignment horizontal="center" vertical="center" wrapText="1"/>
    </xf>
    <xf numFmtId="176" fontId="10" fillId="69" borderId="100" xfId="213" applyNumberFormat="1" applyFont="1" applyFill="1" applyBorder="1" applyAlignment="1">
      <alignment horizontal="center" vertical="center" wrapText="1"/>
    </xf>
    <xf numFmtId="0" fontId="10" fillId="69" borderId="99" xfId="213" applyFont="1" applyFill="1" applyBorder="1" applyAlignment="1">
      <alignment horizontal="left" vertical="center" wrapText="1"/>
    </xf>
    <xf numFmtId="0" fontId="10" fillId="69" borderId="102" xfId="213" applyFont="1" applyFill="1" applyBorder="1" applyAlignment="1">
      <alignment horizontal="left" vertical="center" wrapText="1"/>
    </xf>
    <xf numFmtId="0" fontId="10" fillId="69" borderId="103" xfId="213" applyFont="1" applyFill="1" applyBorder="1" applyAlignment="1">
      <alignment horizontal="left" vertical="center" wrapText="1"/>
    </xf>
    <xf numFmtId="174" fontId="10" fillId="69" borderId="104" xfId="213" applyNumberFormat="1" applyFont="1" applyFill="1" applyBorder="1" applyAlignment="1">
      <alignment horizontal="center" vertical="center" wrapText="1"/>
    </xf>
    <xf numFmtId="175" fontId="10" fillId="69" borderId="104" xfId="213" applyNumberFormat="1" applyFont="1" applyFill="1" applyBorder="1" applyAlignment="1">
      <alignment horizontal="center" vertical="center" wrapText="1"/>
    </xf>
    <xf numFmtId="176" fontId="10" fillId="69" borderId="104" xfId="213" applyNumberFormat="1" applyFont="1" applyFill="1" applyBorder="1" applyAlignment="1">
      <alignment horizontal="center" vertical="center" wrapText="1"/>
    </xf>
    <xf numFmtId="176" fontId="10" fillId="69" borderId="105" xfId="213" applyNumberFormat="1" applyFont="1" applyFill="1" applyBorder="1" applyAlignment="1">
      <alignment horizontal="center" vertical="center" wrapText="1"/>
    </xf>
    <xf numFmtId="0" fontId="40" fillId="69" borderId="19" xfId="213" applyFont="1" applyFill="1" applyBorder="1" applyAlignment="1">
      <alignment horizontal="left" vertical="center" wrapText="1"/>
    </xf>
    <xf numFmtId="0" fontId="5" fillId="69" borderId="106" xfId="213" applyFont="1" applyFill="1" applyBorder="1" applyAlignment="1">
      <alignment horizontal="left" vertical="center" wrapText="1"/>
    </xf>
    <xf numFmtId="0" fontId="5" fillId="69" borderId="107" xfId="213" applyFont="1" applyFill="1" applyBorder="1" applyAlignment="1">
      <alignment horizontal="center" vertical="center" wrapText="1"/>
    </xf>
    <xf numFmtId="174" fontId="10" fillId="69" borderId="107" xfId="213" applyNumberFormat="1" applyFont="1" applyFill="1" applyBorder="1" applyAlignment="1">
      <alignment horizontal="center" vertical="center" wrapText="1"/>
    </xf>
    <xf numFmtId="175" fontId="10" fillId="69" borderId="107" xfId="213" applyNumberFormat="1" applyFont="1" applyFill="1" applyBorder="1" applyAlignment="1">
      <alignment horizontal="center" vertical="center" wrapText="1"/>
    </xf>
    <xf numFmtId="176" fontId="10" fillId="69" borderId="107" xfId="213" applyNumberFormat="1" applyFont="1" applyFill="1" applyBorder="1" applyAlignment="1">
      <alignment horizontal="center" vertical="center" wrapText="1"/>
    </xf>
    <xf numFmtId="176" fontId="10" fillId="69" borderId="108" xfId="213" applyNumberFormat="1" applyFont="1" applyFill="1" applyBorder="1" applyAlignment="1">
      <alignment horizontal="center" vertical="center" wrapText="1"/>
    </xf>
    <xf numFmtId="0" fontId="10" fillId="70" borderId="91" xfId="213" applyFont="1" applyFill="1" applyBorder="1" applyAlignment="1">
      <alignment horizontal="center" vertical="center" wrapText="1"/>
    </xf>
    <xf numFmtId="0" fontId="5" fillId="69" borderId="95" xfId="213" applyFont="1" applyFill="1" applyBorder="1" applyAlignment="1">
      <alignment horizontal="center" vertical="center" wrapText="1"/>
    </xf>
    <xf numFmtId="0" fontId="5" fillId="69" borderId="99" xfId="213" applyFont="1" applyFill="1" applyBorder="1" applyAlignment="1">
      <alignment horizontal="center" vertical="center" wrapText="1"/>
    </xf>
    <xf numFmtId="0" fontId="10" fillId="69" borderId="99" xfId="213" applyFont="1" applyFill="1" applyBorder="1" applyAlignment="1">
      <alignment horizontal="center" vertical="center" wrapText="1"/>
    </xf>
    <xf numFmtId="174" fontId="10" fillId="69" borderId="99" xfId="213" applyNumberFormat="1" applyFont="1" applyFill="1" applyBorder="1" applyAlignment="1">
      <alignment horizontal="center" vertical="center" wrapText="1"/>
    </xf>
    <xf numFmtId="174" fontId="10" fillId="69" borderId="103" xfId="213" applyNumberFormat="1" applyFont="1" applyFill="1" applyBorder="1" applyAlignment="1">
      <alignment horizontal="center" vertical="center" wrapText="1"/>
    </xf>
    <xf numFmtId="0" fontId="5" fillId="69" borderId="106" xfId="213" applyFont="1" applyFill="1" applyBorder="1" applyAlignment="1">
      <alignment horizontal="center" vertical="center" wrapText="1"/>
    </xf>
    <xf numFmtId="0" fontId="5" fillId="69" borderId="103" xfId="213" applyFont="1" applyFill="1" applyBorder="1" applyAlignment="1">
      <alignment horizontal="center" vertical="center" wrapText="1"/>
    </xf>
    <xf numFmtId="176" fontId="40" fillId="69" borderId="108" xfId="213" applyNumberFormat="1" applyFont="1" applyFill="1" applyBorder="1" applyAlignment="1">
      <alignment horizontal="center" vertical="center" wrapText="1"/>
    </xf>
    <xf numFmtId="0" fontId="10" fillId="71" borderId="91" xfId="213" applyFont="1" applyFill="1" applyBorder="1" applyAlignment="1">
      <alignment horizontal="left" vertical="center" wrapText="1"/>
    </xf>
    <xf numFmtId="0" fontId="10" fillId="71" borderId="92" xfId="213" applyFont="1" applyFill="1" applyBorder="1" applyAlignment="1">
      <alignment horizontal="center" vertical="center" wrapText="1"/>
    </xf>
    <xf numFmtId="0" fontId="10" fillId="71" borderId="93" xfId="213" applyFont="1" applyFill="1" applyBorder="1" applyAlignment="1">
      <alignment horizontal="center" vertical="center" wrapText="1"/>
    </xf>
    <xf numFmtId="0" fontId="10" fillId="69" borderId="95" xfId="213" applyFont="1" applyFill="1" applyBorder="1" applyAlignment="1">
      <alignment horizontal="left" vertical="center" wrapText="1"/>
    </xf>
    <xf numFmtId="175" fontId="10" fillId="69" borderId="97" xfId="213" applyNumberFormat="1" applyFont="1" applyFill="1" applyBorder="1" applyAlignment="1">
      <alignment horizontal="center" vertical="center" wrapText="1"/>
    </xf>
    <xf numFmtId="174" fontId="5" fillId="0" borderId="0" xfId="213" applyNumberFormat="1" applyFont="1" applyAlignment="1">
      <alignment vertical="center" readingOrder="1"/>
    </xf>
    <xf numFmtId="0" fontId="5" fillId="69" borderId="101" xfId="213" applyFont="1" applyFill="1" applyBorder="1" applyAlignment="1">
      <alignment horizontal="center" vertical="center" wrapText="1"/>
    </xf>
    <xf numFmtId="0" fontId="5" fillId="0" borderId="0" xfId="213" applyFont="1" applyFill="1" applyAlignment="1">
      <alignment vertical="center" readingOrder="1"/>
    </xf>
    <xf numFmtId="0" fontId="10" fillId="0" borderId="99" xfId="213" applyFont="1" applyFill="1" applyBorder="1" applyAlignment="1">
      <alignment horizontal="left" vertical="center" wrapText="1"/>
    </xf>
    <xf numFmtId="175" fontId="10" fillId="69" borderId="101" xfId="213" applyNumberFormat="1" applyFont="1" applyFill="1" applyBorder="1" applyAlignment="1">
      <alignment horizontal="center" vertical="center" wrapText="1"/>
    </xf>
    <xf numFmtId="0" fontId="5" fillId="69" borderId="100" xfId="213" applyFont="1" applyFill="1" applyBorder="1" applyAlignment="1">
      <alignment horizontal="center" vertical="center" wrapText="1"/>
    </xf>
    <xf numFmtId="2" fontId="5" fillId="0" borderId="0" xfId="213" applyNumberFormat="1" applyFont="1" applyAlignment="1">
      <alignment horizontal="left" vertical="center" readingOrder="1"/>
    </xf>
    <xf numFmtId="0" fontId="5" fillId="0" borderId="0" xfId="213" applyFont="1" applyAlignment="1">
      <alignment horizontal="left" vertical="center" readingOrder="1"/>
    </xf>
    <xf numFmtId="0" fontId="5" fillId="69" borderId="104" xfId="213" applyFont="1" applyFill="1" applyBorder="1" applyAlignment="1">
      <alignment horizontal="center" vertical="center" wrapText="1"/>
    </xf>
    <xf numFmtId="0" fontId="5" fillId="69" borderId="105" xfId="213" applyFont="1" applyFill="1" applyBorder="1" applyAlignment="1">
      <alignment horizontal="center" vertical="center" wrapText="1"/>
    </xf>
    <xf numFmtId="174" fontId="10" fillId="69" borderId="101" xfId="213" applyNumberFormat="1" applyFont="1" applyFill="1" applyBorder="1" applyAlignment="1">
      <alignment horizontal="center" vertical="center" wrapText="1"/>
    </xf>
    <xf numFmtId="0" fontId="10" fillId="0" borderId="103" xfId="213" applyFont="1" applyFill="1" applyBorder="1" applyAlignment="1">
      <alignment horizontal="left" vertical="center" wrapText="1"/>
    </xf>
    <xf numFmtId="0" fontId="10" fillId="69" borderId="96" xfId="213" applyFont="1" applyFill="1" applyBorder="1" applyAlignment="1">
      <alignment horizontal="center" vertical="center" wrapText="1"/>
    </xf>
    <xf numFmtId="0" fontId="10" fillId="69" borderId="97" xfId="213" applyFont="1" applyFill="1" applyBorder="1" applyAlignment="1">
      <alignment horizontal="center" vertical="center" wrapText="1"/>
    </xf>
    <xf numFmtId="0" fontId="10" fillId="69" borderId="100" xfId="213" applyFont="1" applyFill="1" applyBorder="1" applyAlignment="1">
      <alignment horizontal="center" vertical="center" wrapText="1"/>
    </xf>
    <xf numFmtId="0" fontId="10" fillId="69" borderId="101" xfId="213" applyFont="1" applyFill="1" applyBorder="1" applyAlignment="1">
      <alignment horizontal="center" vertical="center" wrapText="1"/>
    </xf>
    <xf numFmtId="0" fontId="10" fillId="68" borderId="33" xfId="213" applyFont="1" applyFill="1" applyBorder="1" applyAlignment="1">
      <alignment horizontal="center" vertical="center" wrapText="1"/>
    </xf>
    <xf numFmtId="0" fontId="10" fillId="68" borderId="34" xfId="213" applyFont="1" applyFill="1" applyBorder="1" applyAlignment="1">
      <alignment horizontal="center" vertical="center" wrapText="1"/>
    </xf>
    <xf numFmtId="0" fontId="10" fillId="68" borderId="36" xfId="213" applyFont="1" applyFill="1" applyBorder="1" applyAlignment="1">
      <alignment horizontal="center" vertical="center" wrapText="1"/>
    </xf>
    <xf numFmtId="0" fontId="10" fillId="69" borderId="48" xfId="213" applyFont="1" applyFill="1" applyBorder="1" applyAlignment="1">
      <alignment horizontal="left" vertical="center" wrapText="1"/>
    </xf>
    <xf numFmtId="174" fontId="10" fillId="69" borderId="38" xfId="213" applyNumberFormat="1" applyFont="1" applyFill="1" applyBorder="1" applyAlignment="1">
      <alignment horizontal="center" vertical="center" wrapText="1"/>
    </xf>
    <xf numFmtId="0" fontId="5" fillId="69" borderId="38" xfId="213" applyFont="1" applyFill="1" applyBorder="1" applyAlignment="1">
      <alignment horizontal="center" vertical="center" wrapText="1"/>
    </xf>
    <xf numFmtId="176" fontId="10" fillId="69" borderId="38" xfId="213" applyNumberFormat="1" applyFont="1" applyFill="1" applyBorder="1" applyAlignment="1">
      <alignment horizontal="center" vertical="center" wrapText="1"/>
    </xf>
    <xf numFmtId="176" fontId="10" fillId="69" borderId="41" xfId="213" applyNumberFormat="1" applyFont="1" applyFill="1" applyBorder="1" applyAlignment="1">
      <alignment horizontal="center" vertical="center" wrapText="1"/>
    </xf>
    <xf numFmtId="1" fontId="5" fillId="0" borderId="0" xfId="368" applyNumberFormat="1" applyFont="1" applyAlignment="1">
      <alignment horizontal="center" vertical="center" readingOrder="1"/>
    </xf>
    <xf numFmtId="0" fontId="10" fillId="69" borderId="66" xfId="213" applyFont="1" applyFill="1" applyBorder="1" applyAlignment="1">
      <alignment horizontal="left" vertical="center" wrapText="1"/>
    </xf>
    <xf numFmtId="174" fontId="10" fillId="69" borderId="5" xfId="213" applyNumberFormat="1" applyFont="1" applyFill="1" applyBorder="1" applyAlignment="1">
      <alignment horizontal="center" vertical="center" wrapText="1"/>
    </xf>
    <xf numFmtId="176" fontId="10" fillId="69" borderId="5" xfId="213" applyNumberFormat="1" applyFont="1" applyFill="1" applyBorder="1" applyAlignment="1">
      <alignment horizontal="center" vertical="center" wrapText="1"/>
    </xf>
    <xf numFmtId="176" fontId="10" fillId="69" borderId="47" xfId="213" applyNumberFormat="1" applyFont="1" applyFill="1" applyBorder="1" applyAlignment="1">
      <alignment horizontal="center" vertical="center" wrapText="1"/>
    </xf>
    <xf numFmtId="0" fontId="10" fillId="69" borderId="68" xfId="213" applyFont="1" applyFill="1" applyBorder="1" applyAlignment="1">
      <alignment horizontal="left" vertical="center" wrapText="1"/>
    </xf>
    <xf numFmtId="174" fontId="10" fillId="69" borderId="2" xfId="213" applyNumberFormat="1" applyFont="1" applyFill="1" applyBorder="1" applyAlignment="1">
      <alignment horizontal="center" vertical="center" wrapText="1"/>
    </xf>
    <xf numFmtId="0" fontId="5" fillId="69" borderId="2" xfId="213" applyFont="1" applyFill="1" applyBorder="1" applyAlignment="1">
      <alignment horizontal="center" vertical="center" wrapText="1"/>
    </xf>
    <xf numFmtId="176" fontId="10" fillId="69" borderId="2" xfId="213" applyNumberFormat="1" applyFont="1" applyFill="1" applyBorder="1" applyAlignment="1">
      <alignment horizontal="center" vertical="center" wrapText="1"/>
    </xf>
    <xf numFmtId="0" fontId="5" fillId="69" borderId="71" xfId="213" applyFont="1" applyFill="1" applyBorder="1" applyAlignment="1">
      <alignment horizontal="center" vertical="center" wrapText="1"/>
    </xf>
    <xf numFmtId="0" fontId="40" fillId="69" borderId="9" xfId="213" applyFont="1" applyFill="1" applyBorder="1" applyAlignment="1">
      <alignment horizontal="left" vertical="center" wrapText="1"/>
    </xf>
    <xf numFmtId="0" fontId="5" fillId="69" borderId="60" xfId="213" applyFont="1" applyFill="1" applyBorder="1" applyAlignment="1">
      <alignment horizontal="center" vertical="center" wrapText="1"/>
    </xf>
    <xf numFmtId="176" fontId="10" fillId="69" borderId="60" xfId="213" applyNumberFormat="1" applyFont="1" applyFill="1" applyBorder="1" applyAlignment="1">
      <alignment horizontal="center" vertical="center" wrapText="1"/>
    </xf>
    <xf numFmtId="176" fontId="10" fillId="69" borderId="61" xfId="213" applyNumberFormat="1" applyFont="1" applyFill="1" applyBorder="1" applyAlignment="1">
      <alignment horizontal="center" vertical="center" wrapText="1"/>
    </xf>
    <xf numFmtId="0" fontId="10" fillId="69" borderId="63" xfId="213" applyFont="1" applyFill="1" applyBorder="1" applyAlignment="1">
      <alignment horizontal="left" vertical="center" wrapText="1"/>
    </xf>
    <xf numFmtId="174" fontId="10" fillId="69" borderId="16" xfId="213" applyNumberFormat="1" applyFont="1" applyFill="1" applyBorder="1" applyAlignment="1">
      <alignment horizontal="center" vertical="center" wrapText="1"/>
    </xf>
    <xf numFmtId="0" fontId="5" fillId="69" borderId="16" xfId="213" applyFont="1" applyFill="1" applyBorder="1" applyAlignment="1">
      <alignment horizontal="center" vertical="center" wrapText="1"/>
    </xf>
    <xf numFmtId="176" fontId="10" fillId="69" borderId="16" xfId="213" applyNumberFormat="1" applyFont="1" applyFill="1" applyBorder="1" applyAlignment="1">
      <alignment horizontal="center" vertical="center" wrapText="1"/>
    </xf>
    <xf numFmtId="0" fontId="5" fillId="69" borderId="64" xfId="213" applyFont="1" applyFill="1" applyBorder="1" applyAlignment="1">
      <alignment horizontal="center" vertical="center" wrapText="1"/>
    </xf>
    <xf numFmtId="0" fontId="5" fillId="69" borderId="5" xfId="213" applyFont="1" applyFill="1" applyBorder="1" applyAlignment="1">
      <alignment horizontal="center" vertical="center" wrapText="1"/>
    </xf>
    <xf numFmtId="0" fontId="5" fillId="69" borderId="47" xfId="213" applyFont="1" applyFill="1" applyBorder="1" applyAlignment="1">
      <alignment horizontal="center" vertical="center" wrapText="1"/>
    </xf>
    <xf numFmtId="0" fontId="10" fillId="63" borderId="5" xfId="213" applyFont="1" applyFill="1" applyBorder="1" applyAlignment="1">
      <alignment horizontal="center" vertical="center" wrapText="1"/>
    </xf>
    <xf numFmtId="164" fontId="5" fillId="0" borderId="0" xfId="213" applyNumberFormat="1" applyFont="1" applyAlignment="1">
      <alignment vertical="center" readingOrder="1"/>
    </xf>
    <xf numFmtId="0" fontId="5" fillId="64" borderId="5" xfId="213" applyFont="1" applyFill="1" applyBorder="1" applyAlignment="1">
      <alignment vertical="center" readingOrder="1"/>
    </xf>
    <xf numFmtId="0" fontId="62" fillId="0" borderId="0" xfId="213" applyFont="1" applyAlignment="1">
      <alignment vertical="center" readingOrder="1"/>
    </xf>
    <xf numFmtId="0" fontId="5" fillId="0" borderId="5" xfId="213" applyFont="1" applyBorder="1" applyAlignment="1">
      <alignment vertical="center" readingOrder="1"/>
    </xf>
    <xf numFmtId="164" fontId="5" fillId="0" borderId="5" xfId="213" applyNumberFormat="1" applyFont="1" applyBorder="1" applyAlignment="1">
      <alignment vertical="center" readingOrder="1"/>
    </xf>
    <xf numFmtId="175" fontId="5" fillId="0" borderId="5" xfId="213" applyNumberFormat="1" applyFont="1" applyBorder="1" applyAlignment="1">
      <alignment vertical="center" readingOrder="1"/>
    </xf>
    <xf numFmtId="0" fontId="10" fillId="69" borderId="50" xfId="213" applyFont="1" applyFill="1" applyBorder="1" applyAlignment="1">
      <alignment horizontal="left" vertical="center" wrapText="1"/>
    </xf>
    <xf numFmtId="174" fontId="10" fillId="69" borderId="44" xfId="213" applyNumberFormat="1" applyFont="1" applyFill="1" applyBorder="1" applyAlignment="1">
      <alignment horizontal="center" vertical="center" wrapText="1"/>
    </xf>
    <xf numFmtId="0" fontId="5" fillId="69" borderId="44" xfId="213" applyFont="1" applyFill="1" applyBorder="1" applyAlignment="1">
      <alignment horizontal="center" vertical="center" wrapText="1"/>
    </xf>
    <xf numFmtId="176" fontId="10" fillId="69" borderId="44" xfId="213" applyNumberFormat="1" applyFont="1" applyFill="1" applyBorder="1" applyAlignment="1">
      <alignment horizontal="center" vertical="center" wrapText="1"/>
    </xf>
    <xf numFmtId="0" fontId="5" fillId="69" borderId="58" xfId="213" applyFont="1" applyFill="1" applyBorder="1" applyAlignment="1">
      <alignment horizontal="center" vertical="center" wrapText="1"/>
    </xf>
    <xf numFmtId="176" fontId="40" fillId="69" borderId="60" xfId="213" applyNumberFormat="1" applyFont="1" applyFill="1" applyBorder="1" applyAlignment="1">
      <alignment horizontal="center" vertical="center" wrapText="1"/>
    </xf>
    <xf numFmtId="176" fontId="40" fillId="69" borderId="61" xfId="213" applyNumberFormat="1" applyFont="1" applyFill="1" applyBorder="1" applyAlignment="1">
      <alignment horizontal="center" vertical="center" wrapText="1"/>
    </xf>
    <xf numFmtId="0" fontId="10" fillId="68" borderId="91" xfId="213" applyFont="1" applyFill="1" applyBorder="1" applyAlignment="1">
      <alignment horizontal="left" vertical="top" wrapText="1"/>
    </xf>
    <xf numFmtId="0" fontId="10" fillId="68" borderId="92" xfId="213" applyFont="1" applyFill="1" applyBorder="1" applyAlignment="1">
      <alignment horizontal="center" vertical="top" wrapText="1"/>
    </xf>
    <xf numFmtId="0" fontId="10" fillId="68" borderId="93" xfId="213" applyFont="1" applyFill="1" applyBorder="1" applyAlignment="1">
      <alignment horizontal="center" vertical="top" wrapText="1"/>
    </xf>
    <xf numFmtId="0" fontId="10" fillId="69" borderId="95" xfId="213" applyFont="1" applyFill="1" applyBorder="1" applyAlignment="1">
      <alignment horizontal="left" vertical="top" wrapText="1"/>
    </xf>
    <xf numFmtId="174" fontId="10" fillId="69" borderId="96" xfId="213" applyNumberFormat="1" applyFont="1" applyFill="1" applyBorder="1" applyAlignment="1">
      <alignment horizontal="center" vertical="top" wrapText="1"/>
    </xf>
    <xf numFmtId="0" fontId="10" fillId="69" borderId="96" xfId="213" applyFont="1" applyFill="1" applyBorder="1" applyAlignment="1">
      <alignment horizontal="left" vertical="top" wrapText="1"/>
    </xf>
    <xf numFmtId="175" fontId="10" fillId="69" borderId="96" xfId="213" applyNumberFormat="1" applyFont="1" applyFill="1" applyBorder="1" applyAlignment="1">
      <alignment horizontal="center" vertical="top" wrapText="1"/>
    </xf>
    <xf numFmtId="174" fontId="10" fillId="69" borderId="97" xfId="213" applyNumberFormat="1" applyFont="1" applyFill="1" applyBorder="1" applyAlignment="1">
      <alignment horizontal="center" vertical="top" wrapText="1"/>
    </xf>
    <xf numFmtId="0" fontId="10" fillId="69" borderId="99" xfId="213" applyFont="1" applyFill="1" applyBorder="1" applyAlignment="1">
      <alignment horizontal="left" vertical="top" wrapText="1"/>
    </xf>
    <xf numFmtId="174" fontId="10" fillId="69" borderId="100" xfId="213" applyNumberFormat="1" applyFont="1" applyFill="1" applyBorder="1" applyAlignment="1">
      <alignment horizontal="center" vertical="top" wrapText="1"/>
    </xf>
    <xf numFmtId="0" fontId="10" fillId="69" borderId="100" xfId="213" applyFont="1" applyFill="1" applyBorder="1" applyAlignment="1">
      <alignment horizontal="left" vertical="top" wrapText="1"/>
    </xf>
    <xf numFmtId="175" fontId="10" fillId="69" borderId="100" xfId="213" applyNumberFormat="1" applyFont="1" applyFill="1" applyBorder="1" applyAlignment="1">
      <alignment horizontal="center" vertical="top" wrapText="1"/>
    </xf>
    <xf numFmtId="174" fontId="10" fillId="69" borderId="101" xfId="213" applyNumberFormat="1" applyFont="1" applyFill="1" applyBorder="1" applyAlignment="1">
      <alignment horizontal="center" vertical="top" wrapText="1"/>
    </xf>
    <xf numFmtId="0" fontId="10" fillId="69" borderId="103" xfId="213" applyFont="1" applyFill="1" applyBorder="1" applyAlignment="1">
      <alignment horizontal="left" vertical="top" wrapText="1"/>
    </xf>
    <xf numFmtId="174" fontId="10" fillId="69" borderId="104" xfId="213" applyNumberFormat="1" applyFont="1" applyFill="1" applyBorder="1" applyAlignment="1">
      <alignment horizontal="center" vertical="top" wrapText="1"/>
    </xf>
    <xf numFmtId="0" fontId="10" fillId="69" borderId="104" xfId="213" applyFont="1" applyFill="1" applyBorder="1" applyAlignment="1">
      <alignment horizontal="left" vertical="top" wrapText="1"/>
    </xf>
    <xf numFmtId="175" fontId="10" fillId="69" borderId="104" xfId="213" applyNumberFormat="1" applyFont="1" applyFill="1" applyBorder="1" applyAlignment="1">
      <alignment horizontal="center" vertical="top" wrapText="1"/>
    </xf>
    <xf numFmtId="174" fontId="10" fillId="69" borderId="105" xfId="213" applyNumberFormat="1" applyFont="1" applyFill="1" applyBorder="1" applyAlignment="1">
      <alignment horizontal="center" vertical="top" wrapText="1"/>
    </xf>
    <xf numFmtId="0" fontId="40" fillId="69" borderId="106" xfId="213" applyFont="1" applyFill="1" applyBorder="1" applyAlignment="1">
      <alignment horizontal="left" vertical="top" wrapText="1"/>
    </xf>
    <xf numFmtId="0" fontId="5" fillId="69" borderId="107" xfId="213" applyFont="1" applyFill="1" applyBorder="1" applyAlignment="1">
      <alignment horizontal="left" vertical="top" wrapText="1"/>
    </xf>
    <xf numFmtId="175" fontId="10" fillId="69" borderId="107" xfId="213" applyNumberFormat="1" applyFont="1" applyFill="1" applyBorder="1" applyAlignment="1">
      <alignment horizontal="center" vertical="top" wrapText="1"/>
    </xf>
    <xf numFmtId="175" fontId="40" fillId="69" borderId="108" xfId="213" applyNumberFormat="1" applyFont="1" applyFill="1" applyBorder="1" applyAlignment="1">
      <alignment horizontal="center" vertical="top" wrapText="1"/>
    </xf>
    <xf numFmtId="0" fontId="71" fillId="70" borderId="100" xfId="213" applyFont="1" applyFill="1" applyBorder="1" applyAlignment="1">
      <alignment horizontal="left" vertical="top" wrapText="1"/>
    </xf>
    <xf numFmtId="0" fontId="71" fillId="70" borderId="100" xfId="213" applyFont="1" applyFill="1" applyBorder="1" applyAlignment="1">
      <alignment horizontal="center" vertical="top" wrapText="1"/>
    </xf>
    <xf numFmtId="0" fontId="71" fillId="69" borderId="100" xfId="213" applyFont="1" applyFill="1" applyBorder="1" applyAlignment="1">
      <alignment horizontal="left" vertical="top" wrapText="1"/>
    </xf>
    <xf numFmtId="176" fontId="72" fillId="69" borderId="100" xfId="213" applyNumberFormat="1" applyFont="1" applyFill="1" applyBorder="1" applyAlignment="1">
      <alignment horizontal="left" vertical="top" wrapText="1"/>
    </xf>
    <xf numFmtId="176" fontId="72" fillId="69" borderId="100" xfId="213" applyNumberFormat="1" applyFont="1" applyFill="1" applyBorder="1" applyAlignment="1">
      <alignment horizontal="center" vertical="top" wrapText="1"/>
    </xf>
    <xf numFmtId="0" fontId="71" fillId="69" borderId="100" xfId="213" applyFont="1" applyFill="1" applyBorder="1" applyAlignment="1">
      <alignment horizontal="center" vertical="top" wrapText="1"/>
    </xf>
    <xf numFmtId="0" fontId="73" fillId="69" borderId="100" xfId="213" applyFont="1" applyFill="1" applyBorder="1" applyAlignment="1">
      <alignment horizontal="center" vertical="top" wrapText="1"/>
    </xf>
    <xf numFmtId="175" fontId="72" fillId="69" borderId="100" xfId="213" applyNumberFormat="1" applyFont="1" applyFill="1" applyBorder="1" applyAlignment="1">
      <alignment horizontal="center" vertical="top" wrapText="1"/>
    </xf>
    <xf numFmtId="0" fontId="74" fillId="69" borderId="100" xfId="213" applyFont="1" applyFill="1" applyBorder="1" applyAlignment="1">
      <alignment horizontal="left" vertical="top" wrapText="1"/>
    </xf>
    <xf numFmtId="0" fontId="75" fillId="69" borderId="100" xfId="213" applyFont="1" applyFill="1" applyBorder="1" applyAlignment="1">
      <alignment horizontal="left" vertical="top" wrapText="1"/>
    </xf>
    <xf numFmtId="169" fontId="5" fillId="0" borderId="0" xfId="8" applyNumberFormat="1" applyFont="1" applyAlignment="1">
      <alignment vertical="center" readingOrder="1"/>
    </xf>
    <xf numFmtId="177" fontId="72" fillId="69" borderId="100" xfId="213" applyNumberFormat="1" applyFont="1" applyFill="1" applyBorder="1" applyAlignment="1">
      <alignment horizontal="left" vertical="top" wrapText="1"/>
    </xf>
    <xf numFmtId="0" fontId="71" fillId="68" borderId="100" xfId="213" applyFont="1" applyFill="1" applyBorder="1" applyAlignment="1">
      <alignment horizontal="left" vertical="top" wrapText="1"/>
    </xf>
    <xf numFmtId="0" fontId="71" fillId="68" borderId="100" xfId="213" applyFont="1" applyFill="1" applyBorder="1" applyAlignment="1">
      <alignment horizontal="center" vertical="top" wrapText="1"/>
    </xf>
    <xf numFmtId="0" fontId="71" fillId="68" borderId="100" xfId="213" applyFont="1" applyFill="1" applyBorder="1" applyAlignment="1">
      <alignment horizontal="left" vertical="center" wrapText="1"/>
    </xf>
    <xf numFmtId="0" fontId="71" fillId="68" borderId="100" xfId="213" applyFont="1" applyFill="1" applyBorder="1" applyAlignment="1">
      <alignment horizontal="center" vertical="center" wrapText="1"/>
    </xf>
    <xf numFmtId="0" fontId="73" fillId="68" borderId="100" xfId="213" applyFont="1" applyFill="1" applyBorder="1" applyAlignment="1">
      <alignment horizontal="center" vertical="top" wrapText="1"/>
    </xf>
    <xf numFmtId="174" fontId="72" fillId="69" borderId="100" xfId="213" applyNumberFormat="1" applyFont="1" applyFill="1" applyBorder="1" applyAlignment="1">
      <alignment horizontal="left" vertical="top" wrapText="1"/>
    </xf>
    <xf numFmtId="174" fontId="72" fillId="69" borderId="100" xfId="213" applyNumberFormat="1" applyFont="1" applyFill="1" applyBorder="1" applyAlignment="1">
      <alignment horizontal="center" vertical="top" wrapText="1"/>
    </xf>
    <xf numFmtId="9" fontId="5" fillId="0" borderId="0" xfId="8" applyFont="1" applyAlignment="1">
      <alignment vertical="center" readingOrder="1"/>
    </xf>
    <xf numFmtId="174" fontId="77" fillId="69" borderId="100" xfId="213" applyNumberFormat="1" applyFont="1" applyFill="1" applyBorder="1" applyAlignment="1">
      <alignment horizontal="left" vertical="top" wrapText="1"/>
    </xf>
    <xf numFmtId="176" fontId="77" fillId="69" borderId="100" xfId="213" applyNumberFormat="1" applyFont="1" applyFill="1" applyBorder="1" applyAlignment="1">
      <alignment horizontal="left" vertical="top" wrapText="1"/>
    </xf>
    <xf numFmtId="0" fontId="75" fillId="69" borderId="109" xfId="213" applyFont="1" applyFill="1" applyBorder="1" applyAlignment="1">
      <alignment horizontal="left" vertical="top" wrapText="1"/>
    </xf>
    <xf numFmtId="174" fontId="72" fillId="69" borderId="109" xfId="213" applyNumberFormat="1" applyFont="1" applyFill="1" applyBorder="1" applyAlignment="1">
      <alignment horizontal="left" vertical="top" wrapText="1"/>
    </xf>
    <xf numFmtId="174" fontId="72" fillId="69" borderId="109" xfId="213" applyNumberFormat="1" applyFont="1" applyFill="1" applyBorder="1" applyAlignment="1">
      <alignment horizontal="center" vertical="top" wrapText="1"/>
    </xf>
    <xf numFmtId="174" fontId="77" fillId="69" borderId="109" xfId="213" applyNumberFormat="1" applyFont="1" applyFill="1" applyBorder="1" applyAlignment="1">
      <alignment horizontal="left" vertical="top" wrapText="1"/>
    </xf>
    <xf numFmtId="0" fontId="71" fillId="69" borderId="100" xfId="213" applyFont="1" applyFill="1" applyBorder="1" applyAlignment="1">
      <alignment horizontal="center" vertical="center" wrapText="1"/>
    </xf>
    <xf numFmtId="164" fontId="11" fillId="0" borderId="0" xfId="213" applyNumberFormat="1" applyFont="1" applyAlignment="1">
      <alignment vertical="center" readingOrder="1"/>
    </xf>
    <xf numFmtId="0" fontId="18" fillId="0" borderId="0" xfId="227"/>
    <xf numFmtId="0" fontId="18" fillId="0" borderId="112" xfId="227" applyBorder="1"/>
    <xf numFmtId="0" fontId="18" fillId="0" borderId="0" xfId="227" applyBorder="1"/>
    <xf numFmtId="0" fontId="18" fillId="0" borderId="113" xfId="227" applyBorder="1"/>
    <xf numFmtId="14" fontId="17" fillId="0" borderId="0" xfId="227" applyNumberFormat="1" applyFont="1" applyAlignment="1">
      <alignment horizontal="center"/>
    </xf>
    <xf numFmtId="0" fontId="18" fillId="0" borderId="0" xfId="227" applyFont="1"/>
    <xf numFmtId="0" fontId="18" fillId="0" borderId="0" xfId="227" applyFont="1" applyAlignment="1">
      <alignment horizontal="center"/>
    </xf>
    <xf numFmtId="14" fontId="17" fillId="0" borderId="112" xfId="227" applyNumberFormat="1" applyFont="1" applyBorder="1" applyAlignment="1">
      <alignment horizontal="center"/>
    </xf>
    <xf numFmtId="0" fontId="18" fillId="0" borderId="0" xfId="227" applyFont="1" applyBorder="1"/>
    <xf numFmtId="0" fontId="18" fillId="0" borderId="0" xfId="227" applyFont="1" applyBorder="1" applyAlignment="1">
      <alignment horizontal="center"/>
    </xf>
    <xf numFmtId="0" fontId="79" fillId="0" borderId="0" xfId="227" applyFont="1"/>
    <xf numFmtId="14" fontId="17" fillId="0" borderId="17" xfId="227" applyNumberFormat="1" applyFont="1" applyBorder="1" applyAlignment="1">
      <alignment horizontal="center"/>
    </xf>
    <xf numFmtId="0" fontId="18" fillId="0" borderId="18" xfId="227" applyFont="1" applyBorder="1"/>
    <xf numFmtId="0" fontId="18" fillId="0" borderId="18" xfId="227" applyFont="1" applyBorder="1" applyAlignment="1">
      <alignment horizontal="center"/>
    </xf>
    <xf numFmtId="0" fontId="18" fillId="0" borderId="18" xfId="227" applyBorder="1"/>
    <xf numFmtId="0" fontId="18" fillId="0" borderId="114" xfId="227" applyBorder="1"/>
    <xf numFmtId="0" fontId="18" fillId="0" borderId="0" xfId="227" applyAlignment="1">
      <alignment horizontal="center"/>
    </xf>
    <xf numFmtId="0" fontId="18" fillId="0" borderId="0" xfId="227" applyBorder="1" applyAlignment="1">
      <alignment horizontal="center"/>
    </xf>
    <xf numFmtId="0" fontId="18" fillId="0" borderId="0" xfId="227" applyFont="1" applyBorder="1" applyAlignment="1">
      <alignment horizontal="left"/>
    </xf>
    <xf numFmtId="0" fontId="18" fillId="0" borderId="0" xfId="227" applyFill="1" applyBorder="1" applyAlignment="1">
      <alignment horizontal="center"/>
    </xf>
    <xf numFmtId="0" fontId="18" fillId="0" borderId="0" xfId="227" applyFont="1" applyFill="1" applyBorder="1" applyAlignment="1">
      <alignment horizontal="center"/>
    </xf>
    <xf numFmtId="0" fontId="18" fillId="0" borderId="0" xfId="227" applyAlignment="1">
      <alignment horizontal="left"/>
    </xf>
    <xf numFmtId="0" fontId="18" fillId="0" borderId="0" xfId="227" applyFont="1" applyAlignment="1">
      <alignment horizontal="left"/>
    </xf>
    <xf numFmtId="0" fontId="18" fillId="0" borderId="0" xfId="227" applyBorder="1" applyAlignment="1">
      <alignment horizontal="left"/>
    </xf>
    <xf numFmtId="0" fontId="18" fillId="0" borderId="0" xfId="227" quotePrefix="1" applyBorder="1" applyAlignment="1">
      <alignment horizontal="center"/>
    </xf>
    <xf numFmtId="0" fontId="17" fillId="0" borderId="0" xfId="227" applyFont="1" applyAlignment="1">
      <alignment horizontal="center"/>
    </xf>
    <xf numFmtId="0" fontId="80" fillId="0" borderId="0" xfId="227" applyFont="1" applyAlignment="1">
      <alignment horizontal="center"/>
    </xf>
    <xf numFmtId="0" fontId="17" fillId="0" borderId="112" xfId="227" applyFont="1" applyBorder="1" applyAlignment="1">
      <alignment horizontal="center"/>
    </xf>
    <xf numFmtId="0" fontId="80" fillId="0" borderId="0" xfId="227" applyFont="1" applyBorder="1" applyAlignment="1">
      <alignment horizontal="center"/>
    </xf>
    <xf numFmtId="0" fontId="18" fillId="0" borderId="113" xfId="227" applyBorder="1" applyAlignment="1">
      <alignment horizontal="center"/>
    </xf>
    <xf numFmtId="0" fontId="80" fillId="74" borderId="0" xfId="227" applyFont="1" applyFill="1" applyBorder="1" applyAlignment="1">
      <alignment horizontal="center"/>
    </xf>
    <xf numFmtId="0" fontId="80" fillId="75" borderId="0" xfId="227" applyFont="1" applyFill="1" applyBorder="1" applyAlignment="1">
      <alignment horizontal="center"/>
    </xf>
    <xf numFmtId="0" fontId="80" fillId="76" borderId="0" xfId="227" applyFont="1" applyFill="1" applyBorder="1" applyAlignment="1">
      <alignment horizontal="center"/>
    </xf>
    <xf numFmtId="0" fontId="80" fillId="77" borderId="0" xfId="227" applyFont="1" applyFill="1" applyBorder="1" applyAlignment="1">
      <alignment horizontal="center"/>
    </xf>
    <xf numFmtId="0" fontId="80" fillId="78" borderId="0" xfId="227" applyFont="1" applyFill="1" applyBorder="1" applyAlignment="1">
      <alignment horizontal="center"/>
    </xf>
    <xf numFmtId="0" fontId="80" fillId="64" borderId="0" xfId="227" applyFont="1" applyFill="1" applyBorder="1" applyAlignment="1">
      <alignment horizontal="center"/>
    </xf>
    <xf numFmtId="2" fontId="67" fillId="78" borderId="0" xfId="227" applyNumberFormat="1" applyFont="1" applyFill="1" applyBorder="1" applyAlignment="1">
      <alignment horizontal="center"/>
    </xf>
    <xf numFmtId="0" fontId="80" fillId="0" borderId="113" xfId="227" applyFont="1" applyBorder="1" applyAlignment="1">
      <alignment horizontal="center"/>
    </xf>
    <xf numFmtId="13" fontId="18" fillId="0" borderId="0" xfId="227" applyNumberFormat="1" applyBorder="1" applyAlignment="1">
      <alignment horizontal="center"/>
    </xf>
    <xf numFmtId="2" fontId="18" fillId="0" borderId="0" xfId="227" applyNumberFormat="1" applyBorder="1" applyAlignment="1">
      <alignment horizontal="center"/>
    </xf>
    <xf numFmtId="0" fontId="18" fillId="0" borderId="0" xfId="227" applyNumberFormat="1" applyBorder="1" applyAlignment="1">
      <alignment horizontal="center"/>
    </xf>
    <xf numFmtId="14" fontId="17" fillId="0" borderId="0" xfId="227" applyNumberFormat="1" applyFont="1" applyFill="1" applyAlignment="1">
      <alignment horizontal="center"/>
    </xf>
    <xf numFmtId="0" fontId="18" fillId="0" borderId="0" xfId="227" applyFont="1" applyFill="1"/>
    <xf numFmtId="2" fontId="18" fillId="0" borderId="0" xfId="227" applyNumberFormat="1" applyFont="1" applyAlignment="1">
      <alignment horizontal="center"/>
    </xf>
    <xf numFmtId="0" fontId="18" fillId="0" borderId="0" xfId="227" applyNumberFormat="1" applyFont="1" applyAlignment="1">
      <alignment horizontal="center"/>
    </xf>
    <xf numFmtId="2" fontId="18" fillId="0" borderId="0" xfId="227" applyNumberFormat="1"/>
    <xf numFmtId="17" fontId="18" fillId="0" borderId="0" xfId="227" applyNumberFormat="1" applyBorder="1" applyAlignment="1">
      <alignment horizontal="center"/>
    </xf>
    <xf numFmtId="0" fontId="17" fillId="0" borderId="0" xfId="227" applyFont="1" applyBorder="1" applyAlignment="1">
      <alignment horizontal="center"/>
    </xf>
    <xf numFmtId="0" fontId="17" fillId="0" borderId="113" xfId="227" applyFont="1" applyBorder="1" applyAlignment="1">
      <alignment horizontal="center"/>
    </xf>
    <xf numFmtId="0" fontId="18" fillId="0" borderId="0" xfId="227" quotePrefix="1" applyFont="1" applyBorder="1" applyAlignment="1">
      <alignment horizontal="center"/>
    </xf>
    <xf numFmtId="0" fontId="18" fillId="0" borderId="0" xfId="227" applyFill="1"/>
    <xf numFmtId="2" fontId="18" fillId="0" borderId="0" xfId="227" applyNumberFormat="1" applyAlignment="1">
      <alignment horizontal="center"/>
    </xf>
    <xf numFmtId="0" fontId="18" fillId="0" borderId="0" xfId="227" applyNumberFormat="1" applyAlignment="1">
      <alignment horizontal="center"/>
    </xf>
    <xf numFmtId="0" fontId="18" fillId="0" borderId="0" xfId="227" applyFont="1" applyFill="1" applyAlignment="1">
      <alignment horizontal="left"/>
    </xf>
    <xf numFmtId="0" fontId="18" fillId="0" borderId="0" xfId="227" applyFont="1" applyFill="1" applyAlignment="1">
      <alignment horizontal="center"/>
    </xf>
    <xf numFmtId="0" fontId="80" fillId="74" borderId="0" xfId="227" applyFont="1" applyFill="1" applyAlignment="1">
      <alignment horizontal="center"/>
    </xf>
    <xf numFmtId="0" fontId="80" fillId="75" borderId="0" xfId="227" applyFont="1" applyFill="1" applyAlignment="1">
      <alignment horizontal="center"/>
    </xf>
    <xf numFmtId="0" fontId="80" fillId="76" borderId="0" xfId="227" applyFont="1" applyFill="1" applyAlignment="1">
      <alignment horizontal="center"/>
    </xf>
    <xf numFmtId="0" fontId="80" fillId="77" borderId="0" xfId="227" applyFont="1" applyFill="1" applyAlignment="1">
      <alignment horizontal="center"/>
    </xf>
    <xf numFmtId="2" fontId="80" fillId="78" borderId="0" xfId="227" applyNumberFormat="1" applyFont="1" applyFill="1" applyAlignment="1">
      <alignment horizontal="center"/>
    </xf>
    <xf numFmtId="0" fontId="80" fillId="64" borderId="0" xfId="227" applyNumberFormat="1" applyFont="1" applyFill="1" applyAlignment="1">
      <alignment horizontal="center"/>
    </xf>
    <xf numFmtId="17" fontId="18" fillId="0" borderId="0" xfId="227" applyNumberFormat="1" applyFill="1" applyAlignment="1">
      <alignment horizontal="center"/>
    </xf>
    <xf numFmtId="0" fontId="18" fillId="0" borderId="0" xfId="227" quotePrefix="1" applyAlignment="1">
      <alignment horizontal="center"/>
    </xf>
    <xf numFmtId="0" fontId="18" fillId="0" borderId="0" xfId="227" applyFill="1" applyAlignment="1">
      <alignment horizontal="center"/>
    </xf>
    <xf numFmtId="0" fontId="18" fillId="0" borderId="0" xfId="227" quotePrefix="1" applyFont="1" applyAlignment="1">
      <alignment horizontal="center"/>
    </xf>
    <xf numFmtId="0" fontId="17" fillId="0" borderId="0" xfId="227" applyFont="1" applyBorder="1"/>
    <xf numFmtId="2" fontId="17" fillId="0" borderId="0" xfId="227" applyNumberFormat="1" applyFont="1" applyBorder="1"/>
    <xf numFmtId="0" fontId="17" fillId="0" borderId="0" xfId="227" applyFont="1"/>
    <xf numFmtId="2" fontId="17" fillId="0" borderId="0" xfId="227" applyNumberFormat="1" applyFont="1"/>
    <xf numFmtId="0" fontId="18" fillId="0" borderId="0" xfId="227" quotePrefix="1" applyBorder="1"/>
    <xf numFmtId="0" fontId="18" fillId="0" borderId="0" xfId="227" applyBorder="1" applyAlignment="1">
      <alignment horizontal="right"/>
    </xf>
    <xf numFmtId="16" fontId="18" fillId="0" borderId="0" xfId="227" applyNumberFormat="1" applyBorder="1" applyAlignment="1">
      <alignment horizontal="right"/>
    </xf>
    <xf numFmtId="0" fontId="18" fillId="74" borderId="0" xfId="227" applyFill="1" applyBorder="1" applyAlignment="1">
      <alignment horizontal="center"/>
    </xf>
    <xf numFmtId="0" fontId="18" fillId="75" borderId="0" xfId="227" applyFill="1" applyBorder="1" applyAlignment="1">
      <alignment horizontal="center"/>
    </xf>
    <xf numFmtId="0" fontId="18" fillId="76" borderId="0" xfId="227" applyFill="1" applyBorder="1" applyAlignment="1">
      <alignment horizontal="center"/>
    </xf>
    <xf numFmtId="0" fontId="18" fillId="77" borderId="0" xfId="227" applyFill="1" applyBorder="1"/>
    <xf numFmtId="2" fontId="18" fillId="78" borderId="0" xfId="227" applyNumberFormat="1" applyFill="1" applyBorder="1" applyAlignment="1">
      <alignment horizontal="center"/>
    </xf>
    <xf numFmtId="0" fontId="18" fillId="64" borderId="0" xfId="227" applyNumberFormat="1" applyFill="1" applyBorder="1" applyAlignment="1">
      <alignment horizontal="center"/>
    </xf>
    <xf numFmtId="10" fontId="18" fillId="78" borderId="0" xfId="227" applyNumberFormat="1" applyFont="1" applyFill="1" applyBorder="1" applyAlignment="1">
      <alignment horizontal="center"/>
    </xf>
    <xf numFmtId="0" fontId="18" fillId="0" borderId="0" xfId="227" applyNumberFormat="1" applyFont="1" applyBorder="1" applyAlignment="1">
      <alignment horizontal="center"/>
    </xf>
    <xf numFmtId="0" fontId="18" fillId="74" borderId="0" xfId="227" applyFill="1" applyAlignment="1">
      <alignment horizontal="center"/>
    </xf>
    <xf numFmtId="0" fontId="18" fillId="75" borderId="0" xfId="227" applyFill="1" applyAlignment="1">
      <alignment horizontal="center"/>
    </xf>
    <xf numFmtId="0" fontId="18" fillId="76" borderId="0" xfId="227" applyFill="1" applyAlignment="1">
      <alignment horizontal="center"/>
    </xf>
    <xf numFmtId="0" fontId="18" fillId="77" borderId="0" xfId="227" applyFill="1" applyAlignment="1">
      <alignment horizontal="center"/>
    </xf>
    <xf numFmtId="2" fontId="18" fillId="78" borderId="0" xfId="227" applyNumberFormat="1" applyFill="1" applyAlignment="1">
      <alignment horizontal="center"/>
    </xf>
    <xf numFmtId="0" fontId="18" fillId="64" borderId="0" xfId="227" applyNumberFormat="1" applyFill="1" applyAlignment="1">
      <alignment horizontal="center"/>
    </xf>
    <xf numFmtId="10" fontId="18" fillId="78" borderId="0" xfId="227" applyNumberFormat="1" applyFont="1" applyFill="1" applyAlignment="1">
      <alignment horizontal="center"/>
    </xf>
    <xf numFmtId="2" fontId="18" fillId="78" borderId="0" xfId="227" applyNumberFormat="1" applyFill="1" applyBorder="1"/>
    <xf numFmtId="0" fontId="18" fillId="74" borderId="0" xfId="227" applyFill="1" applyBorder="1"/>
    <xf numFmtId="2" fontId="18" fillId="0" borderId="0" xfId="227" applyNumberFormat="1" applyBorder="1"/>
    <xf numFmtId="10" fontId="18" fillId="78" borderId="0" xfId="227" applyNumberFormat="1" applyFill="1" applyBorder="1" applyAlignment="1">
      <alignment horizontal="center"/>
    </xf>
    <xf numFmtId="2" fontId="18" fillId="0" borderId="0" xfId="227" applyNumberFormat="1" applyFont="1" applyBorder="1" applyAlignment="1">
      <alignment horizontal="center"/>
    </xf>
    <xf numFmtId="17" fontId="18" fillId="0" borderId="0" xfId="227" applyNumberFormat="1" applyAlignment="1">
      <alignment horizontal="center"/>
    </xf>
    <xf numFmtId="2" fontId="18" fillId="0" borderId="0" xfId="227" quotePrefix="1" applyNumberFormat="1" applyBorder="1" applyAlignment="1">
      <alignment horizontal="center"/>
    </xf>
    <xf numFmtId="12" fontId="18" fillId="0" borderId="0" xfId="227" applyNumberFormat="1" applyBorder="1" applyAlignment="1">
      <alignment horizontal="center"/>
    </xf>
    <xf numFmtId="0" fontId="80" fillId="0" borderId="0" xfId="227" applyNumberFormat="1" applyFont="1" applyFill="1" applyBorder="1" applyAlignment="1">
      <alignment horizontal="center"/>
    </xf>
    <xf numFmtId="0" fontId="17" fillId="0" borderId="0" xfId="227" applyNumberFormat="1" applyFont="1" applyFill="1" applyBorder="1" applyAlignment="1">
      <alignment horizontal="center"/>
    </xf>
    <xf numFmtId="0" fontId="18" fillId="0" borderId="0" xfId="227" applyNumberFormat="1" applyBorder="1"/>
    <xf numFmtId="0" fontId="18" fillId="0" borderId="0" xfId="227" applyNumberFormat="1"/>
    <xf numFmtId="13" fontId="18" fillId="0" borderId="0" xfId="227" applyNumberFormat="1" applyBorder="1"/>
    <xf numFmtId="2" fontId="18" fillId="78" borderId="0" xfId="227" applyNumberFormat="1" applyFill="1"/>
    <xf numFmtId="0" fontId="18" fillId="64" borderId="0" xfId="227" applyNumberFormat="1" applyFill="1"/>
    <xf numFmtId="13" fontId="18" fillId="0" borderId="0" xfId="227" applyNumberFormat="1" applyAlignment="1">
      <alignment horizontal="center"/>
    </xf>
    <xf numFmtId="2" fontId="80" fillId="78" borderId="0" xfId="227" applyNumberFormat="1" applyFont="1" applyFill="1" applyBorder="1" applyAlignment="1">
      <alignment horizontal="center"/>
    </xf>
    <xf numFmtId="0" fontId="81" fillId="0" borderId="62" xfId="227" applyFont="1" applyBorder="1" applyAlignment="1">
      <alignment horizontal="center" vertical="top" wrapText="1"/>
    </xf>
    <xf numFmtId="0" fontId="81" fillId="0" borderId="8" xfId="227" applyFont="1" applyBorder="1" applyAlignment="1">
      <alignment horizontal="center" vertical="top" wrapText="1"/>
    </xf>
    <xf numFmtId="0" fontId="81" fillId="0" borderId="49" xfId="227" applyFont="1" applyBorder="1" applyAlignment="1">
      <alignment horizontal="center" vertical="top" wrapText="1"/>
    </xf>
    <xf numFmtId="0" fontId="81" fillId="0" borderId="115" xfId="227" applyFont="1" applyBorder="1" applyAlignment="1">
      <alignment horizontal="center" vertical="top" wrapText="1"/>
    </xf>
    <xf numFmtId="2" fontId="80" fillId="0" borderId="0" xfId="227" applyNumberFormat="1" applyFont="1" applyBorder="1" applyAlignment="1">
      <alignment horizontal="center"/>
    </xf>
    <xf numFmtId="0" fontId="80" fillId="0" borderId="0" xfId="227" applyNumberFormat="1" applyFont="1" applyBorder="1" applyAlignment="1">
      <alignment horizontal="center"/>
    </xf>
    <xf numFmtId="0" fontId="18" fillId="74" borderId="0" xfId="227" applyFill="1"/>
    <xf numFmtId="164" fontId="18" fillId="0" borderId="0" xfId="227" applyNumberFormat="1"/>
    <xf numFmtId="2" fontId="18" fillId="63" borderId="0" xfId="227" applyNumberFormat="1" applyFill="1" applyBorder="1" applyAlignment="1">
      <alignment horizontal="center"/>
    </xf>
    <xf numFmtId="0" fontId="33" fillId="0" borderId="0" xfId="227" applyFont="1" applyFill="1" applyAlignment="1">
      <alignment horizontal="center"/>
    </xf>
    <xf numFmtId="0" fontId="18" fillId="0" borderId="0" xfId="227" applyAlignment="1">
      <alignment horizontal="right"/>
    </xf>
    <xf numFmtId="16" fontId="18" fillId="0" borderId="0" xfId="227" applyNumberFormat="1" applyAlignment="1">
      <alignment horizontal="right"/>
    </xf>
    <xf numFmtId="0" fontId="18" fillId="77" borderId="0" xfId="227" applyFill="1"/>
    <xf numFmtId="3" fontId="18" fillId="0" borderId="0" xfId="227" applyNumberFormat="1" applyBorder="1" applyAlignment="1">
      <alignment horizontal="center"/>
    </xf>
    <xf numFmtId="0" fontId="18" fillId="0" borderId="0" xfId="227" applyNumberFormat="1" applyFont="1" applyFill="1" applyAlignment="1">
      <alignment horizontal="center"/>
    </xf>
    <xf numFmtId="0" fontId="18" fillId="0" borderId="0" xfId="227" quotePrefix="1" applyFont="1" applyAlignment="1">
      <alignment horizontal="center" vertical="center" wrapText="1"/>
    </xf>
    <xf numFmtId="0" fontId="18" fillId="0" borderId="0" xfId="227" applyFont="1" applyAlignment="1">
      <alignment horizontal="center" vertical="center" wrapText="1"/>
    </xf>
    <xf numFmtId="16" fontId="18" fillId="0" borderId="0" xfId="227" applyNumberFormat="1" applyAlignment="1">
      <alignment horizontal="center"/>
    </xf>
    <xf numFmtId="14" fontId="18" fillId="0" borderId="0" xfId="227" applyNumberFormat="1"/>
    <xf numFmtId="13" fontId="18" fillId="0" borderId="0" xfId="227" applyNumberFormat="1"/>
    <xf numFmtId="13" fontId="18" fillId="0" borderId="0" xfId="227" applyNumberFormat="1" applyFont="1" applyAlignment="1">
      <alignment horizontal="center" vertical="center" wrapText="1"/>
    </xf>
    <xf numFmtId="0" fontId="18" fillId="0" borderId="0" xfId="227" applyNumberFormat="1" applyFont="1" applyAlignment="1">
      <alignment horizontal="center" vertical="center" wrapText="1"/>
    </xf>
    <xf numFmtId="13" fontId="18" fillId="0" borderId="0" xfId="227" applyNumberFormat="1" applyFont="1" applyFill="1" applyAlignment="1">
      <alignment horizontal="center" vertical="center" wrapText="1"/>
    </xf>
    <xf numFmtId="0" fontId="80" fillId="0" borderId="0" xfId="227" applyFont="1" applyFill="1" applyBorder="1" applyAlignment="1">
      <alignment horizontal="left"/>
    </xf>
    <xf numFmtId="10" fontId="18" fillId="0" borderId="0" xfId="227" applyNumberFormat="1" applyBorder="1" applyAlignment="1">
      <alignment horizontal="center"/>
    </xf>
    <xf numFmtId="0" fontId="18" fillId="0" borderId="0" xfId="227" applyFill="1" applyBorder="1"/>
    <xf numFmtId="13" fontId="18" fillId="0" borderId="0" xfId="227" applyNumberFormat="1" applyFill="1" applyBorder="1"/>
    <xf numFmtId="2" fontId="18" fillId="0" borderId="0" xfId="227" applyNumberFormat="1" applyFill="1" applyBorder="1"/>
    <xf numFmtId="2" fontId="18" fillId="0" borderId="0" xfId="227" applyNumberFormat="1" applyFill="1" applyBorder="1" applyAlignment="1">
      <alignment horizontal="center"/>
    </xf>
    <xf numFmtId="0" fontId="18" fillId="0" borderId="0" xfId="227" applyNumberFormat="1" applyFill="1" applyBorder="1" applyAlignment="1">
      <alignment horizontal="center"/>
    </xf>
    <xf numFmtId="13" fontId="33" fillId="0" borderId="0" xfId="227" applyNumberFormat="1" applyFont="1" applyFill="1" applyBorder="1" applyAlignment="1">
      <alignment horizontal="center"/>
    </xf>
    <xf numFmtId="10" fontId="18" fillId="0" borderId="0" xfId="227" applyNumberFormat="1" applyFont="1" applyFill="1" applyAlignment="1">
      <alignment horizontal="center"/>
    </xf>
    <xf numFmtId="2" fontId="18" fillId="79" borderId="0" xfId="227" applyNumberFormat="1" applyFont="1" applyFill="1" applyBorder="1" applyAlignment="1">
      <alignment horizontal="center"/>
    </xf>
    <xf numFmtId="13" fontId="18" fillId="0" borderId="0" xfId="227" applyNumberFormat="1" applyFont="1" applyBorder="1" applyAlignment="1">
      <alignment horizontal="center"/>
    </xf>
    <xf numFmtId="0" fontId="80" fillId="0" borderId="0" xfId="227" applyFont="1" applyFill="1" applyBorder="1" applyAlignment="1">
      <alignment horizontal="center"/>
    </xf>
    <xf numFmtId="0" fontId="80" fillId="0" borderId="0" xfId="227" applyFont="1" applyBorder="1"/>
    <xf numFmtId="2" fontId="18" fillId="63" borderId="0" xfId="227" applyNumberFormat="1" applyFill="1" applyAlignment="1">
      <alignment horizontal="center"/>
    </xf>
    <xf numFmtId="0" fontId="18" fillId="0" borderId="0" xfId="227" applyFill="1" applyAlignment="1">
      <alignment horizontal="right"/>
    </xf>
    <xf numFmtId="2" fontId="18" fillId="0" borderId="0" xfId="227" applyNumberFormat="1" applyFill="1" applyAlignment="1">
      <alignment horizontal="center"/>
    </xf>
    <xf numFmtId="0" fontId="81" fillId="0" borderId="0" xfId="227" applyFont="1" applyBorder="1" applyAlignment="1">
      <alignment horizontal="center" vertical="center" wrapText="1"/>
    </xf>
    <xf numFmtId="2" fontId="80" fillId="0" borderId="0" xfId="227" applyNumberFormat="1" applyFont="1" applyAlignment="1">
      <alignment horizontal="center"/>
    </xf>
    <xf numFmtId="0" fontId="80" fillId="0" borderId="0" xfId="227" applyNumberFormat="1" applyFont="1" applyAlignment="1">
      <alignment horizontal="center"/>
    </xf>
    <xf numFmtId="0" fontId="18" fillId="0" borderId="0" xfId="227" applyFont="1" applyAlignment="1">
      <alignment horizontal="right"/>
    </xf>
    <xf numFmtId="0" fontId="18" fillId="0" borderId="0" xfId="227" applyFont="1" applyBorder="1" applyAlignment="1">
      <alignment horizontal="right"/>
    </xf>
    <xf numFmtId="2" fontId="18" fillId="0" borderId="0" xfId="227" applyNumberFormat="1" applyFill="1"/>
    <xf numFmtId="0" fontId="80" fillId="0" borderId="0" xfId="227" applyFont="1" applyFill="1" applyAlignment="1">
      <alignment horizontal="center"/>
    </xf>
    <xf numFmtId="0" fontId="80" fillId="64" borderId="0" xfId="227" applyFont="1" applyFill="1" applyAlignment="1">
      <alignment horizontal="center"/>
    </xf>
    <xf numFmtId="0" fontId="18" fillId="0" borderId="0" xfId="227" applyNumberFormat="1" applyFill="1" applyAlignment="1">
      <alignment horizontal="center"/>
    </xf>
    <xf numFmtId="0" fontId="80" fillId="0" borderId="0" xfId="227" applyFont="1"/>
    <xf numFmtId="0" fontId="18" fillId="80" borderId="0" xfId="227" applyNumberFormat="1" applyFill="1" applyAlignment="1">
      <alignment horizontal="center"/>
    </xf>
    <xf numFmtId="0" fontId="80" fillId="0" borderId="0" xfId="227" applyFont="1" applyFill="1" applyAlignment="1">
      <alignment horizontal="left"/>
    </xf>
    <xf numFmtId="10" fontId="18" fillId="0" borderId="0" xfId="227" applyNumberFormat="1" applyAlignment="1">
      <alignment horizontal="center"/>
    </xf>
    <xf numFmtId="0" fontId="18" fillId="81" borderId="0" xfId="227" applyFill="1" applyAlignment="1">
      <alignment horizontal="right"/>
    </xf>
    <xf numFmtId="0" fontId="80" fillId="81" borderId="0" xfId="227" applyFont="1" applyFill="1" applyAlignment="1">
      <alignment horizontal="left"/>
    </xf>
    <xf numFmtId="0" fontId="18" fillId="81" borderId="0" xfId="227" applyFill="1"/>
    <xf numFmtId="10" fontId="18" fillId="81" borderId="0" xfId="227" applyNumberFormat="1" applyFill="1" applyAlignment="1">
      <alignment horizontal="center"/>
    </xf>
    <xf numFmtId="0" fontId="18" fillId="0" borderId="0" xfId="227" applyFill="1" applyBorder="1" applyAlignment="1">
      <alignment horizontal="left"/>
    </xf>
    <xf numFmtId="9" fontId="0" fillId="0" borderId="0" xfId="0" applyNumberFormat="1"/>
    <xf numFmtId="9" fontId="0" fillId="0" borderId="0" xfId="8" applyFont="1"/>
    <xf numFmtId="0" fontId="12" fillId="82" borderId="6" xfId="0" applyFont="1" applyFill="1" applyBorder="1" applyAlignment="1">
      <alignment horizontal="left" wrapText="1" readingOrder="1"/>
    </xf>
    <xf numFmtId="0" fontId="12" fillId="82" borderId="7" xfId="0" applyFont="1" applyFill="1" applyBorder="1" applyAlignment="1">
      <alignment horizontal="center" wrapText="1" readingOrder="1"/>
    </xf>
    <xf numFmtId="0" fontId="12" fillId="7" borderId="15" xfId="0" applyFont="1" applyFill="1" applyBorder="1" applyAlignment="1">
      <alignment horizontal="center" wrapText="1" readingOrder="1"/>
    </xf>
    <xf numFmtId="0" fontId="0" fillId="0" borderId="17" xfId="0" applyBorder="1">
      <alignment readingOrder="1"/>
    </xf>
    <xf numFmtId="0" fontId="0" fillId="0" borderId="18" xfId="0" applyBorder="1">
      <alignment readingOrder="1"/>
    </xf>
    <xf numFmtId="0" fontId="0" fillId="0" borderId="114" xfId="0" applyBorder="1">
      <alignment readingOrder="1"/>
    </xf>
    <xf numFmtId="0" fontId="0" fillId="0" borderId="112" xfId="0" applyBorder="1">
      <alignment readingOrder="1"/>
    </xf>
    <xf numFmtId="0" fontId="0" fillId="0" borderId="0" xfId="0" applyBorder="1">
      <alignment readingOrder="1"/>
    </xf>
    <xf numFmtId="0" fontId="0" fillId="0" borderId="113" xfId="0" applyBorder="1">
      <alignment readingOrder="1"/>
    </xf>
    <xf numFmtId="0" fontId="0" fillId="0" borderId="19" xfId="0" applyBorder="1">
      <alignment readingOrder="1"/>
    </xf>
    <xf numFmtId="0" fontId="0" fillId="0" borderId="116" xfId="0" applyBorder="1">
      <alignment readingOrder="1"/>
    </xf>
    <xf numFmtId="0" fontId="0" fillId="0" borderId="115" xfId="0" applyBorder="1">
      <alignment readingOrder="1"/>
    </xf>
    <xf numFmtId="0" fontId="10" fillId="83" borderId="21" xfId="0" applyFont="1" applyFill="1" applyBorder="1" applyAlignment="1">
      <alignment horizontal="centerContinuous" wrapText="1" readingOrder="1"/>
    </xf>
    <xf numFmtId="0" fontId="10" fillId="83" borderId="8" xfId="0" applyFont="1" applyFill="1" applyBorder="1" applyAlignment="1">
      <alignment horizontal="centerContinuous" wrapText="1" readingOrder="1"/>
    </xf>
    <xf numFmtId="164" fontId="10" fillId="83" borderId="21" xfId="0" applyNumberFormat="1" applyFont="1" applyFill="1" applyBorder="1" applyAlignment="1">
      <alignment horizontal="centerContinuous" wrapText="1" readingOrder="1"/>
    </xf>
    <xf numFmtId="164" fontId="10" fillId="83" borderId="22" xfId="0" applyNumberFormat="1" applyFont="1" applyFill="1" applyBorder="1" applyAlignment="1">
      <alignment horizontal="centerContinuous" wrapText="1" readingOrder="1"/>
    </xf>
    <xf numFmtId="164" fontId="10" fillId="83" borderId="8" xfId="0" applyNumberFormat="1" applyFont="1" applyFill="1" applyBorder="1" applyAlignment="1">
      <alignment horizontal="centerContinuous" wrapText="1" readingOrder="1"/>
    </xf>
    <xf numFmtId="164" fontId="10" fillId="83" borderId="15" xfId="0" applyNumberFormat="1" applyFont="1" applyFill="1" applyBorder="1" applyAlignment="1">
      <alignment horizontal="center" wrapText="1" readingOrder="1"/>
    </xf>
    <xf numFmtId="178" fontId="10" fillId="8" borderId="7" xfId="0" applyNumberFormat="1" applyFont="1" applyFill="1" applyBorder="1" applyAlignment="1">
      <alignment horizontal="center" wrapText="1" readingOrder="1"/>
    </xf>
    <xf numFmtId="164" fontId="82" fillId="0" borderId="0" xfId="0" applyNumberFormat="1" applyFont="1">
      <alignment readingOrder="1"/>
    </xf>
    <xf numFmtId="0" fontId="10" fillId="9" borderId="21" xfId="0" applyFont="1" applyFill="1" applyBorder="1" applyAlignment="1">
      <alignment horizontal="centerContinuous" wrapText="1" readingOrder="1"/>
    </xf>
    <xf numFmtId="0" fontId="10" fillId="9" borderId="22" xfId="0" applyFont="1" applyFill="1" applyBorder="1" applyAlignment="1">
      <alignment horizontal="centerContinuous" wrapText="1" readingOrder="1"/>
    </xf>
    <xf numFmtId="164" fontId="10" fillId="9" borderId="22" xfId="0" applyNumberFormat="1" applyFont="1" applyFill="1" applyBorder="1" applyAlignment="1">
      <alignment horizontal="centerContinuous" wrapText="1" readingOrder="1"/>
    </xf>
    <xf numFmtId="164" fontId="10" fillId="9" borderId="15" xfId="0" applyNumberFormat="1" applyFont="1" applyFill="1" applyBorder="1" applyAlignment="1">
      <alignment horizontal="center" wrapText="1" readingOrder="1"/>
    </xf>
    <xf numFmtId="164" fontId="10" fillId="9" borderId="21" xfId="0" applyNumberFormat="1" applyFont="1" applyFill="1" applyBorder="1" applyAlignment="1">
      <alignment horizontal="centerContinuous" wrapText="1" readingOrder="1"/>
    </xf>
    <xf numFmtId="164" fontId="11" fillId="0" borderId="0" xfId="0" applyNumberFormat="1" applyFont="1">
      <alignment readingOrder="1"/>
    </xf>
    <xf numFmtId="179" fontId="11" fillId="0" borderId="0" xfId="0" applyNumberFormat="1" applyFont="1">
      <alignment readingOrder="1"/>
    </xf>
    <xf numFmtId="179" fontId="0" fillId="0" borderId="0" xfId="0" applyNumberFormat="1">
      <alignment readingOrder="1"/>
    </xf>
    <xf numFmtId="179" fontId="82" fillId="0" borderId="0" xfId="0" applyNumberFormat="1" applyFont="1">
      <alignment readingOrder="1"/>
    </xf>
    <xf numFmtId="0" fontId="11" fillId="0" borderId="5" xfId="369" applyFont="1" applyBorder="1" applyAlignment="1">
      <alignment horizontal="center"/>
    </xf>
    <xf numFmtId="0" fontId="11" fillId="0" borderId="5" xfId="369" applyFont="1" applyBorder="1"/>
    <xf numFmtId="0" fontId="5" fillId="0" borderId="5" xfId="369" applyFill="1" applyBorder="1" applyAlignment="1">
      <alignment horizontal="right" wrapText="1"/>
    </xf>
    <xf numFmtId="180" fontId="5" fillId="0" borderId="5" xfId="369" applyNumberFormat="1" applyBorder="1"/>
    <xf numFmtId="43" fontId="5" fillId="0" borderId="5" xfId="368" applyFont="1" applyFill="1" applyBorder="1" applyAlignment="1">
      <alignment horizontal="right"/>
    </xf>
    <xf numFmtId="0" fontId="11" fillId="0" borderId="0" xfId="369" applyFont="1"/>
    <xf numFmtId="0" fontId="5" fillId="0" borderId="0" xfId="369"/>
    <xf numFmtId="0" fontId="11" fillId="0" borderId="5" xfId="369" applyFont="1" applyBorder="1" applyAlignment="1">
      <alignment horizontal="left"/>
    </xf>
    <xf numFmtId="0" fontId="5" fillId="0" borderId="5" xfId="369" applyBorder="1"/>
    <xf numFmtId="43" fontId="5" fillId="0" borderId="5" xfId="368" applyFill="1" applyBorder="1" applyAlignment="1">
      <alignment horizontal="right"/>
    </xf>
    <xf numFmtId="173" fontId="5" fillId="0" borderId="5" xfId="368" applyNumberFormat="1" applyBorder="1"/>
    <xf numFmtId="181" fontId="5" fillId="0" borderId="5" xfId="1" applyNumberFormat="1" applyBorder="1"/>
    <xf numFmtId="44" fontId="5" fillId="0" borderId="5" xfId="1" applyNumberFormat="1" applyBorder="1"/>
    <xf numFmtId="173" fontId="5" fillId="0" borderId="5" xfId="369" applyNumberFormat="1" applyBorder="1"/>
    <xf numFmtId="0" fontId="5" fillId="0" borderId="0" xfId="369" applyFill="1" applyBorder="1" applyAlignment="1">
      <alignment horizontal="right" wrapText="1"/>
    </xf>
    <xf numFmtId="0" fontId="0" fillId="0" borderId="1" xfId="0" applyBorder="1"/>
    <xf numFmtId="182" fontId="64" fillId="0" borderId="3" xfId="370" applyNumberFormat="1" applyFont="1" applyFill="1" applyBorder="1" applyAlignment="1">
      <alignment horizontal="left" wrapText="1"/>
    </xf>
    <xf numFmtId="0" fontId="0" fillId="0" borderId="55" xfId="0" applyBorder="1"/>
    <xf numFmtId="182" fontId="64" fillId="0" borderId="88" xfId="370" applyNumberFormat="1" applyFont="1" applyFill="1" applyBorder="1" applyAlignment="1">
      <alignment horizontal="left" wrapText="1"/>
    </xf>
    <xf numFmtId="0" fontId="0" fillId="0" borderId="11" xfId="0" applyBorder="1"/>
    <xf numFmtId="182" fontId="64" fillId="0" borderId="13" xfId="370" applyNumberFormat="1" applyFont="1" applyFill="1" applyBorder="1" applyAlignment="1">
      <alignment horizontal="left" wrapText="1"/>
    </xf>
    <xf numFmtId="0" fontId="83" fillId="84" borderId="117" xfId="0" applyFont="1" applyFill="1" applyBorder="1"/>
    <xf numFmtId="0" fontId="83" fillId="84" borderId="118" xfId="0" applyFont="1" applyFill="1" applyBorder="1"/>
    <xf numFmtId="0" fontId="83" fillId="84" borderId="119" xfId="0" applyFont="1" applyFill="1" applyBorder="1"/>
    <xf numFmtId="0" fontId="84" fillId="85" borderId="117" xfId="0" applyFont="1" applyFill="1" applyBorder="1"/>
    <xf numFmtId="0" fontId="84" fillId="85" borderId="118" xfId="0" applyFont="1" applyFill="1" applyBorder="1"/>
    <xf numFmtId="3" fontId="84" fillId="85" borderId="118" xfId="0" applyNumberFormat="1" applyFont="1" applyFill="1" applyBorder="1"/>
    <xf numFmtId="183" fontId="84" fillId="85" borderId="119" xfId="0" applyNumberFormat="1" applyFont="1" applyFill="1" applyBorder="1"/>
    <xf numFmtId="0" fontId="84" fillId="0" borderId="120" xfId="0" applyFont="1" applyBorder="1"/>
    <xf numFmtId="0" fontId="84" fillId="0" borderId="121" xfId="0" applyFont="1" applyBorder="1"/>
    <xf numFmtId="3" fontId="84" fillId="0" borderId="121" xfId="0" applyNumberFormat="1" applyFont="1" applyBorder="1"/>
    <xf numFmtId="183" fontId="84" fillId="0" borderId="122" xfId="0" applyNumberFormat="1" applyFont="1" applyBorder="1"/>
    <xf numFmtId="0" fontId="84" fillId="85" borderId="120" xfId="0" applyFont="1" applyFill="1" applyBorder="1"/>
    <xf numFmtId="0" fontId="84" fillId="85" borderId="121" xfId="0" applyFont="1" applyFill="1" applyBorder="1"/>
    <xf numFmtId="3" fontId="84" fillId="85" borderId="121" xfId="0" applyNumberFormat="1" applyFont="1" applyFill="1" applyBorder="1"/>
    <xf numFmtId="183" fontId="84" fillId="85" borderId="122" xfId="0" applyNumberFormat="1" applyFont="1" applyFill="1" applyBorder="1"/>
    <xf numFmtId="0" fontId="84" fillId="0" borderId="117" xfId="0" applyFont="1" applyBorder="1"/>
    <xf numFmtId="0" fontId="84" fillId="0" borderId="118" xfId="0" applyFont="1" applyBorder="1"/>
    <xf numFmtId="3" fontId="84" fillId="0" borderId="118" xfId="0" applyNumberFormat="1" applyFont="1" applyBorder="1"/>
    <xf numFmtId="183" fontId="84" fillId="0" borderId="119" xfId="0" applyNumberFormat="1" applyFont="1" applyBorder="1"/>
    <xf numFmtId="2" fontId="0" fillId="0" borderId="0" xfId="0" applyNumberFormat="1"/>
    <xf numFmtId="182" fontId="64" fillId="0" borderId="0" xfId="370" applyNumberFormat="1" applyFont="1" applyFill="1" applyBorder="1" applyAlignment="1">
      <alignment horizontal="left" wrapText="1"/>
    </xf>
    <xf numFmtId="0" fontId="64" fillId="0" borderId="8" xfId="0" applyFont="1" applyBorder="1" applyAlignment="1">
      <alignment horizontal="center" wrapText="1"/>
    </xf>
    <xf numFmtId="0" fontId="64" fillId="0" borderId="115" xfId="0" applyFont="1" applyBorder="1" applyAlignment="1">
      <alignment horizontal="center" wrapText="1"/>
    </xf>
    <xf numFmtId="44" fontId="0" fillId="0" borderId="0" xfId="1" applyFont="1"/>
    <xf numFmtId="164" fontId="0" fillId="0" borderId="0" xfId="0" applyNumberFormat="1"/>
    <xf numFmtId="0" fontId="5" fillId="0" borderId="0" xfId="0" applyFont="1"/>
    <xf numFmtId="0" fontId="0" fillId="0" borderId="0" xfId="0" applyFont="1"/>
    <xf numFmtId="0" fontId="0" fillId="0" borderId="6" xfId="0" applyBorder="1"/>
    <xf numFmtId="9" fontId="0" fillId="0" borderId="7" xfId="8" applyFont="1" applyBorder="1"/>
    <xf numFmtId="0" fontId="0" fillId="0" borderId="6" xfId="0" applyFont="1" applyBorder="1"/>
    <xf numFmtId="0" fontId="17" fillId="14" borderId="5" xfId="213" applyFont="1" applyFill="1" applyBorder="1"/>
    <xf numFmtId="0" fontId="17" fillId="14" borderId="1" xfId="213" applyFont="1" applyFill="1" applyBorder="1"/>
    <xf numFmtId="0" fontId="17" fillId="14" borderId="4" xfId="213" applyFont="1" applyFill="1" applyBorder="1"/>
    <xf numFmtId="0" fontId="17" fillId="14" borderId="3" xfId="213" applyFont="1" applyFill="1" applyBorder="1"/>
    <xf numFmtId="164" fontId="10" fillId="9" borderId="9" xfId="213" applyNumberFormat="1" applyFont="1" applyFill="1" applyBorder="1" applyAlignment="1">
      <alignment horizontal="centerContinuous" wrapText="1" readingOrder="1"/>
    </xf>
    <xf numFmtId="164" fontId="10" fillId="9" borderId="10" xfId="213" applyNumberFormat="1" applyFont="1" applyFill="1" applyBorder="1" applyAlignment="1">
      <alignment horizontal="centerContinuous" wrapText="1" readingOrder="1"/>
    </xf>
    <xf numFmtId="164" fontId="10" fillId="9" borderId="8" xfId="213" applyNumberFormat="1" applyFont="1" applyFill="1" applyBorder="1" applyAlignment="1">
      <alignment horizontal="centerContinuous" wrapText="1" readingOrder="1"/>
    </xf>
    <xf numFmtId="164" fontId="10" fillId="9" borderId="7" xfId="213" applyNumberFormat="1" applyFont="1" applyFill="1" applyBorder="1" applyAlignment="1">
      <alignment horizontal="center" wrapText="1" readingOrder="1"/>
    </xf>
    <xf numFmtId="0" fontId="17" fillId="14" borderId="11" xfId="213" applyFont="1" applyFill="1" applyBorder="1"/>
    <xf numFmtId="0" fontId="17" fillId="14" borderId="12" xfId="213" applyFont="1" applyFill="1" applyBorder="1"/>
    <xf numFmtId="0" fontId="17" fillId="14" borderId="13" xfId="213" applyFont="1" applyFill="1" applyBorder="1"/>
    <xf numFmtId="164" fontId="10" fillId="8" borderId="7" xfId="213" applyNumberFormat="1" applyFont="1" applyFill="1" applyBorder="1" applyAlignment="1">
      <alignment horizontal="center" wrapText="1" readingOrder="1"/>
    </xf>
    <xf numFmtId="0" fontId="17" fillId="6" borderId="5" xfId="213" applyFont="1" applyFill="1" applyBorder="1"/>
    <xf numFmtId="2" fontId="5" fillId="10" borderId="0" xfId="213" applyNumberFormat="1" applyFill="1" applyAlignment="1">
      <alignment horizontal="center" readingOrder="1"/>
    </xf>
    <xf numFmtId="1" fontId="5" fillId="10" borderId="0" xfId="213" applyNumberFormat="1" applyFill="1" applyAlignment="1">
      <alignment horizontal="center" readingOrder="1"/>
    </xf>
    <xf numFmtId="43" fontId="0" fillId="10" borderId="0" xfId="371" applyFont="1" applyFill="1" applyAlignment="1">
      <alignment horizontal="center" readingOrder="1"/>
    </xf>
    <xf numFmtId="1" fontId="5" fillId="0" borderId="0" xfId="213" applyNumberFormat="1"/>
    <xf numFmtId="0" fontId="0" fillId="14" borderId="0" xfId="0" applyFill="1">
      <alignment readingOrder="1"/>
    </xf>
    <xf numFmtId="0" fontId="0" fillId="14" borderId="0" xfId="0" applyFill="1" applyAlignment="1">
      <alignment vertical="center" wrapText="1" readingOrder="1"/>
    </xf>
    <xf numFmtId="164" fontId="0" fillId="12" borderId="0" xfId="0" applyNumberFormat="1" applyFill="1">
      <alignment readingOrder="1"/>
    </xf>
    <xf numFmtId="0" fontId="0" fillId="11" borderId="0" xfId="0" applyFill="1" applyAlignment="1">
      <alignment horizontal="left" vertical="center" readingOrder="1"/>
    </xf>
    <xf numFmtId="0" fontId="10" fillId="3" borderId="1" xfId="2" applyFont="1" applyFill="1" applyBorder="1" applyAlignment="1">
      <alignment horizontal="center"/>
    </xf>
    <xf numFmtId="0" fontId="10" fillId="3" borderId="4" xfId="2" applyFont="1" applyFill="1" applyBorder="1" applyAlignment="1">
      <alignment horizontal="center"/>
    </xf>
    <xf numFmtId="0" fontId="10" fillId="3" borderId="3" xfId="2" applyFont="1" applyFill="1" applyBorder="1" applyAlignment="1">
      <alignment horizontal="center"/>
    </xf>
    <xf numFmtId="0" fontId="7" fillId="4" borderId="2" xfId="0" applyFont="1" applyFill="1" applyBorder="1" applyAlignment="1">
      <alignment horizontal="center"/>
    </xf>
    <xf numFmtId="0" fontId="11" fillId="0" borderId="2" xfId="0" applyFont="1" applyBorder="1" applyAlignment="1">
      <alignment horizontal="center"/>
    </xf>
    <xf numFmtId="0" fontId="11" fillId="62" borderId="5" xfId="2" applyFont="1" applyFill="1" applyBorder="1" applyAlignment="1">
      <alignment horizontal="center"/>
    </xf>
    <xf numFmtId="0" fontId="10" fillId="3" borderId="6" xfId="2" applyFont="1" applyFill="1" applyBorder="1" applyAlignment="1">
      <alignment horizontal="center"/>
    </xf>
    <xf numFmtId="0" fontId="10" fillId="3" borderId="15" xfId="2" applyFont="1" applyFill="1" applyBorder="1" applyAlignment="1">
      <alignment horizontal="center"/>
    </xf>
    <xf numFmtId="0" fontId="10" fillId="3" borderId="7" xfId="2" applyFont="1" applyFill="1" applyBorder="1" applyAlignment="1">
      <alignment horizontal="center"/>
    </xf>
    <xf numFmtId="0" fontId="7" fillId="4" borderId="5" xfId="0" applyFont="1" applyFill="1" applyBorder="1" applyAlignment="1">
      <alignment horizontal="center"/>
    </xf>
    <xf numFmtId="0" fontId="11" fillId="0" borderId="5" xfId="0" applyFont="1" applyBorder="1" applyAlignment="1">
      <alignment horizontal="center"/>
    </xf>
    <xf numFmtId="0" fontId="11" fillId="0" borderId="2" xfId="369" applyFont="1" applyBorder="1" applyAlignment="1">
      <alignment horizontal="center"/>
    </xf>
    <xf numFmtId="0" fontId="5" fillId="0" borderId="37" xfId="235" applyBorder="1" applyAlignment="1">
      <alignment horizontal="center" vertical="center" wrapText="1"/>
    </xf>
    <xf numFmtId="0" fontId="5" fillId="0" borderId="42" xfId="235" applyBorder="1" applyAlignment="1">
      <alignment horizontal="center" vertical="center" wrapText="1"/>
    </xf>
    <xf numFmtId="0" fontId="5" fillId="0" borderId="49" xfId="235" applyBorder="1" applyAlignment="1">
      <alignment horizontal="center" vertical="center" wrapText="1"/>
    </xf>
    <xf numFmtId="0" fontId="5" fillId="17" borderId="33" xfId="235" applyFill="1" applyBorder="1" applyAlignment="1">
      <alignment horizontal="left" vertical="center" wrapText="1"/>
    </xf>
    <xf numFmtId="0" fontId="5" fillId="17" borderId="43" xfId="235" applyFill="1" applyBorder="1" applyAlignment="1">
      <alignment horizontal="left" vertical="center" wrapText="1"/>
    </xf>
    <xf numFmtId="1" fontId="5" fillId="0" borderId="38" xfId="235" applyNumberFormat="1" applyBorder="1" applyAlignment="1">
      <alignment horizontal="center" vertical="center"/>
    </xf>
    <xf numFmtId="1" fontId="5" fillId="0" borderId="44" xfId="235" applyNumberFormat="1" applyBorder="1" applyAlignment="1">
      <alignment horizontal="center" vertical="center"/>
    </xf>
    <xf numFmtId="1" fontId="5" fillId="19" borderId="39" xfId="235" applyNumberFormat="1" applyFill="1" applyBorder="1" applyAlignment="1">
      <alignment horizontal="center" vertical="center"/>
    </xf>
    <xf numFmtId="1" fontId="5" fillId="19" borderId="45" xfId="235" applyNumberFormat="1" applyFill="1" applyBorder="1" applyAlignment="1">
      <alignment horizontal="center" vertical="center"/>
    </xf>
    <xf numFmtId="0" fontId="5" fillId="17" borderId="54" xfId="235" applyFill="1" applyBorder="1" applyAlignment="1">
      <alignment horizontal="left" vertical="center" wrapText="1"/>
    </xf>
    <xf numFmtId="1" fontId="5" fillId="0" borderId="34" xfId="235" applyNumberFormat="1" applyBorder="1" applyAlignment="1">
      <alignment horizontal="center" vertical="center"/>
    </xf>
    <xf numFmtId="1" fontId="5" fillId="0" borderId="56" xfId="235" applyNumberFormat="1" applyBorder="1" applyAlignment="1">
      <alignment horizontal="center" vertical="center"/>
    </xf>
    <xf numFmtId="1" fontId="5" fillId="19" borderId="55" xfId="235" applyNumberFormat="1" applyFill="1" applyBorder="1" applyAlignment="1">
      <alignment horizontal="center" vertical="center"/>
    </xf>
    <xf numFmtId="1" fontId="5" fillId="19" borderId="57" xfId="235" applyNumberFormat="1" applyFill="1" applyBorder="1" applyAlignment="1">
      <alignment horizontal="center" vertical="center"/>
    </xf>
    <xf numFmtId="164" fontId="5" fillId="0" borderId="41" xfId="8" applyNumberFormat="1" applyFont="1" applyBorder="1" applyAlignment="1">
      <alignment horizontal="center" vertical="center"/>
    </xf>
    <xf numFmtId="164" fontId="5" fillId="0" borderId="47" xfId="8" applyNumberFormat="1" applyFont="1" applyBorder="1" applyAlignment="1">
      <alignment horizontal="center" vertical="center"/>
    </xf>
    <xf numFmtId="164" fontId="5" fillId="0" borderId="58" xfId="8" applyNumberFormat="1" applyFont="1" applyBorder="1" applyAlignment="1">
      <alignment horizontal="center" vertical="center"/>
    </xf>
    <xf numFmtId="0" fontId="5" fillId="17" borderId="48" xfId="235" applyFill="1" applyBorder="1" applyAlignment="1">
      <alignment horizontal="left" vertical="center" wrapText="1"/>
    </xf>
    <xf numFmtId="0" fontId="5" fillId="17" borderId="50" xfId="235" applyFill="1" applyBorder="1" applyAlignment="1">
      <alignment horizontal="left" vertical="center" wrapText="1"/>
    </xf>
    <xf numFmtId="164" fontId="5" fillId="0" borderId="40" xfId="8" applyNumberFormat="1" applyFont="1" applyBorder="1" applyAlignment="1">
      <alignment horizontal="center" vertical="center"/>
    </xf>
    <xf numFmtId="164" fontId="5" fillId="0" borderId="46" xfId="8" applyNumberFormat="1" applyFont="1" applyBorder="1" applyAlignment="1">
      <alignment horizontal="center" vertical="center"/>
    </xf>
    <xf numFmtId="164" fontId="5" fillId="0" borderId="51" xfId="8" applyNumberFormat="1" applyFont="1" applyBorder="1" applyAlignment="1">
      <alignment horizontal="center" vertical="center"/>
    </xf>
    <xf numFmtId="164" fontId="5" fillId="0" borderId="52" xfId="8" applyNumberFormat="1" applyFont="1" applyBorder="1" applyAlignment="1">
      <alignment horizontal="center" vertical="center"/>
    </xf>
    <xf numFmtId="164" fontId="5" fillId="0" borderId="53" xfId="8" applyNumberFormat="1" applyFont="1" applyBorder="1" applyAlignment="1">
      <alignment horizontal="center" vertical="center"/>
    </xf>
    <xf numFmtId="0" fontId="11" fillId="17" borderId="48" xfId="235" applyFont="1" applyFill="1" applyBorder="1" applyAlignment="1">
      <alignment horizontal="center" vertical="center" wrapText="1"/>
    </xf>
    <xf numFmtId="0" fontId="11" fillId="17" borderId="54" xfId="235" applyFont="1" applyFill="1" applyBorder="1" applyAlignment="1">
      <alignment horizontal="center" vertical="center" wrapText="1"/>
    </xf>
    <xf numFmtId="0" fontId="11" fillId="17" borderId="50" xfId="235" applyFont="1" applyFill="1" applyBorder="1" applyAlignment="1">
      <alignment horizontal="center" vertical="center" wrapText="1"/>
    </xf>
    <xf numFmtId="0" fontId="11" fillId="17" borderId="38" xfId="235" applyFont="1" applyFill="1" applyBorder="1" applyAlignment="1">
      <alignment horizontal="center" vertical="center" wrapText="1"/>
    </xf>
    <xf numFmtId="0" fontId="11" fillId="17" borderId="59" xfId="235" applyFont="1" applyFill="1" applyBorder="1" applyAlignment="1">
      <alignment horizontal="center" vertical="center" wrapText="1"/>
    </xf>
    <xf numFmtId="0" fontId="11" fillId="17" borderId="44" xfId="235" applyFont="1" applyFill="1" applyBorder="1" applyAlignment="1">
      <alignment horizontal="center" vertical="center" wrapText="1"/>
    </xf>
    <xf numFmtId="1" fontId="63" fillId="17" borderId="21" xfId="235" applyNumberFormat="1" applyFont="1" applyFill="1" applyBorder="1" applyAlignment="1">
      <alignment horizontal="center" vertical="center"/>
    </xf>
    <xf numFmtId="1" fontId="63" fillId="17" borderId="22" xfId="235" applyNumberFormat="1" applyFont="1" applyFill="1" applyBorder="1" applyAlignment="1">
      <alignment horizontal="center" vertical="center"/>
    </xf>
    <xf numFmtId="1" fontId="63" fillId="17" borderId="8" xfId="235" applyNumberFormat="1" applyFont="1" applyFill="1" applyBorder="1" applyAlignment="1">
      <alignment horizontal="center" vertical="center"/>
    </xf>
    <xf numFmtId="1" fontId="63" fillId="64" borderId="21" xfId="235" applyNumberFormat="1" applyFont="1" applyFill="1" applyBorder="1" applyAlignment="1">
      <alignment horizontal="center" vertical="center"/>
    </xf>
    <xf numFmtId="1" fontId="63" fillId="64" borderId="22" xfId="235" applyNumberFormat="1" applyFont="1" applyFill="1" applyBorder="1" applyAlignment="1">
      <alignment horizontal="center" vertical="center"/>
    </xf>
    <xf numFmtId="164" fontId="5" fillId="0" borderId="40" xfId="235" applyNumberFormat="1" applyBorder="1" applyAlignment="1">
      <alignment horizontal="center" vertical="center"/>
    </xf>
    <xf numFmtId="0" fontId="5" fillId="0" borderId="46" xfId="235" applyBorder="1" applyAlignment="1">
      <alignment horizontal="center" vertical="center"/>
    </xf>
    <xf numFmtId="0" fontId="5" fillId="0" borderId="51" xfId="235" applyBorder="1" applyAlignment="1">
      <alignment horizontal="center" vertical="center"/>
    </xf>
    <xf numFmtId="1" fontId="5" fillId="19" borderId="35" xfId="235" applyNumberFormat="1" applyFill="1" applyBorder="1" applyAlignment="1">
      <alignment horizontal="center" vertical="center"/>
    </xf>
    <xf numFmtId="1" fontId="5" fillId="19" borderId="11" xfId="235" applyNumberFormat="1" applyFill="1" applyBorder="1" applyAlignment="1">
      <alignment horizontal="center" vertical="center"/>
    </xf>
    <xf numFmtId="0" fontId="11" fillId="5" borderId="5" xfId="213" applyFont="1" applyFill="1" applyBorder="1" applyAlignment="1">
      <alignment horizontal="center"/>
    </xf>
    <xf numFmtId="0" fontId="5" fillId="5" borderId="5" xfId="213" applyFill="1" applyBorder="1" applyAlignment="1"/>
    <xf numFmtId="0" fontId="11" fillId="5" borderId="6" xfId="213" applyFont="1" applyFill="1" applyBorder="1" applyAlignment="1">
      <alignment horizontal="center"/>
    </xf>
    <xf numFmtId="0" fontId="5" fillId="0" borderId="7" xfId="213" applyBorder="1" applyAlignment="1">
      <alignment horizontal="center"/>
    </xf>
    <xf numFmtId="0" fontId="62" fillId="0" borderId="0" xfId="213" applyFont="1" applyAlignment="1">
      <alignment horizontal="center" vertical="center" wrapText="1"/>
    </xf>
    <xf numFmtId="0" fontId="10" fillId="68" borderId="37" xfId="213" applyFont="1" applyFill="1" applyBorder="1" applyAlignment="1">
      <alignment horizontal="left" vertical="center" wrapText="1"/>
    </xf>
    <xf numFmtId="0" fontId="10" fillId="68" borderId="42" xfId="213" applyFont="1" applyFill="1" applyBorder="1" applyAlignment="1">
      <alignment horizontal="left" vertical="center" wrapText="1"/>
    </xf>
    <xf numFmtId="0" fontId="10" fillId="68" borderId="87" xfId="213" applyFont="1" applyFill="1" applyBorder="1" applyAlignment="1">
      <alignment horizontal="center" vertical="center" wrapText="1"/>
    </xf>
    <xf numFmtId="0" fontId="10" fillId="68" borderId="88" xfId="213" applyFont="1" applyFill="1" applyBorder="1" applyAlignment="1">
      <alignment horizontal="center" vertical="center" wrapText="1"/>
    </xf>
    <xf numFmtId="0" fontId="5" fillId="68" borderId="38" xfId="213" applyFont="1" applyFill="1" applyBorder="1" applyAlignment="1">
      <alignment horizontal="center" vertical="center" wrapText="1" readingOrder="1"/>
    </xf>
    <xf numFmtId="0" fontId="5" fillId="68" borderId="38" xfId="213" applyFont="1" applyFill="1" applyBorder="1" applyAlignment="1">
      <alignment horizontal="center" vertical="center" readingOrder="1"/>
    </xf>
    <xf numFmtId="0" fontId="5" fillId="68" borderId="41" xfId="213" applyFont="1" applyFill="1" applyBorder="1" applyAlignment="1">
      <alignment horizontal="center" vertical="center" readingOrder="1"/>
    </xf>
    <xf numFmtId="0" fontId="10" fillId="69" borderId="66" xfId="213" applyFont="1" applyFill="1" applyBorder="1" applyAlignment="1">
      <alignment horizontal="left" vertical="center" wrapText="1"/>
    </xf>
    <xf numFmtId="0" fontId="10" fillId="69" borderId="5" xfId="213" applyFont="1" applyFill="1" applyBorder="1" applyAlignment="1">
      <alignment horizontal="center" vertical="center" wrapText="1"/>
    </xf>
    <xf numFmtId="174" fontId="10" fillId="69" borderId="5" xfId="213" applyNumberFormat="1" applyFont="1" applyFill="1" applyBorder="1" applyAlignment="1">
      <alignment horizontal="center" vertical="center" wrapText="1"/>
    </xf>
    <xf numFmtId="176" fontId="10" fillId="69" borderId="5" xfId="213" applyNumberFormat="1" applyFont="1" applyFill="1" applyBorder="1" applyAlignment="1">
      <alignment horizontal="center" vertical="center" wrapText="1"/>
    </xf>
    <xf numFmtId="176" fontId="10" fillId="69" borderId="47" xfId="213" applyNumberFormat="1" applyFont="1" applyFill="1" applyBorder="1" applyAlignment="1">
      <alignment horizontal="center" vertical="center" wrapText="1"/>
    </xf>
    <xf numFmtId="175" fontId="10" fillId="69" borderId="5" xfId="213" applyNumberFormat="1" applyFont="1" applyFill="1" applyBorder="1" applyAlignment="1">
      <alignment horizontal="center" vertical="center" wrapText="1"/>
    </xf>
    <xf numFmtId="0" fontId="71" fillId="69" borderId="109" xfId="213" applyFont="1" applyFill="1" applyBorder="1" applyAlignment="1">
      <alignment horizontal="left" vertical="top" wrapText="1"/>
    </xf>
    <xf numFmtId="0" fontId="71" fillId="69" borderId="110" xfId="213" applyFont="1" applyFill="1" applyBorder="1" applyAlignment="1">
      <alignment horizontal="left" vertical="top" wrapText="1"/>
    </xf>
    <xf numFmtId="0" fontId="71" fillId="69" borderId="111" xfId="213" applyFont="1" applyFill="1" applyBorder="1" applyAlignment="1">
      <alignment horizontal="left" vertical="top" wrapText="1"/>
    </xf>
    <xf numFmtId="0" fontId="17" fillId="64" borderId="21" xfId="227" applyFont="1" applyFill="1" applyBorder="1" applyAlignment="1">
      <alignment horizontal="center"/>
    </xf>
    <xf numFmtId="0" fontId="17" fillId="64" borderId="22" xfId="227" applyFont="1" applyFill="1" applyBorder="1" applyAlignment="1">
      <alignment horizontal="center"/>
    </xf>
    <xf numFmtId="0" fontId="17" fillId="64" borderId="8" xfId="227" applyFont="1" applyFill="1" applyBorder="1" applyAlignment="1">
      <alignment horizontal="center"/>
    </xf>
    <xf numFmtId="0" fontId="18" fillId="63" borderId="0" xfId="227" applyFill="1" applyAlignment="1">
      <alignment horizontal="center"/>
    </xf>
    <xf numFmtId="0" fontId="33" fillId="0" borderId="0" xfId="227" applyFont="1" applyAlignment="1">
      <alignment horizontal="left"/>
    </xf>
    <xf numFmtId="0" fontId="18" fillId="0" borderId="0" xfId="227" applyFont="1" applyAlignment="1">
      <alignment horizontal="left"/>
    </xf>
    <xf numFmtId="0" fontId="18" fillId="0" borderId="0" xfId="227" applyFont="1" applyAlignment="1">
      <alignment horizontal="center"/>
    </xf>
    <xf numFmtId="0" fontId="18" fillId="70" borderId="21" xfId="227" applyFill="1" applyBorder="1" applyAlignment="1">
      <alignment horizontal="center"/>
    </xf>
    <xf numFmtId="0" fontId="18" fillId="70" borderId="22" xfId="227" applyFill="1" applyBorder="1" applyAlignment="1">
      <alignment horizontal="center"/>
    </xf>
    <xf numFmtId="0" fontId="18" fillId="70" borderId="8" xfId="227" applyFill="1" applyBorder="1" applyAlignment="1">
      <alignment horizontal="center"/>
    </xf>
    <xf numFmtId="0" fontId="18" fillId="72" borderId="21" xfId="227" applyFill="1" applyBorder="1" applyAlignment="1">
      <alignment horizontal="center"/>
    </xf>
    <xf numFmtId="0" fontId="18" fillId="72" borderId="22" xfId="227" applyFill="1" applyBorder="1" applyAlignment="1">
      <alignment horizontal="center"/>
    </xf>
    <xf numFmtId="0" fontId="18" fillId="72" borderId="8" xfId="227" applyFill="1" applyBorder="1" applyAlignment="1">
      <alignment horizontal="center"/>
    </xf>
    <xf numFmtId="0" fontId="18" fillId="73" borderId="21" xfId="227" applyFill="1" applyBorder="1" applyAlignment="1">
      <alignment horizontal="center"/>
    </xf>
    <xf numFmtId="0" fontId="18" fillId="73" borderId="22" xfId="227" applyFill="1" applyBorder="1" applyAlignment="1">
      <alignment horizontal="center"/>
    </xf>
    <xf numFmtId="0" fontId="18" fillId="73" borderId="8" xfId="227" applyFill="1" applyBorder="1" applyAlignment="1">
      <alignment horizontal="center"/>
    </xf>
    <xf numFmtId="0" fontId="17" fillId="63" borderId="21" xfId="227" applyFont="1" applyFill="1" applyBorder="1" applyAlignment="1">
      <alignment horizontal="center"/>
    </xf>
    <xf numFmtId="0" fontId="17" fillId="63" borderId="22" xfId="227" applyFont="1" applyFill="1" applyBorder="1" applyAlignment="1">
      <alignment horizontal="center"/>
    </xf>
    <xf numFmtId="0" fontId="17" fillId="63" borderId="8" xfId="227" applyFont="1" applyFill="1" applyBorder="1" applyAlignment="1">
      <alignment horizontal="center"/>
    </xf>
    <xf numFmtId="0" fontId="18" fillId="68" borderId="37" xfId="235" applyFont="1" applyFill="1" applyBorder="1" applyAlignment="1">
      <alignment horizontal="center" vertical="center" wrapText="1"/>
    </xf>
    <xf numFmtId="0" fontId="18" fillId="68" borderId="42" xfId="235" applyFont="1" applyFill="1" applyBorder="1" applyAlignment="1">
      <alignment horizontal="center" vertical="center" wrapText="1"/>
    </xf>
    <xf numFmtId="0" fontId="18" fillId="68" borderId="49" xfId="235" applyFont="1" applyFill="1" applyBorder="1" applyAlignment="1">
      <alignment horizontal="center" vertical="center" wrapText="1"/>
    </xf>
    <xf numFmtId="0" fontId="5" fillId="68" borderId="21" xfId="213" applyFont="1" applyFill="1" applyBorder="1" applyAlignment="1">
      <alignment horizontal="center" readingOrder="1"/>
    </xf>
    <xf numFmtId="0" fontId="5" fillId="68" borderId="22" xfId="213" applyFont="1" applyFill="1" applyBorder="1" applyAlignment="1">
      <alignment horizontal="center" readingOrder="1"/>
    </xf>
    <xf numFmtId="0" fontId="5" fillId="68" borderId="8" xfId="213" applyFont="1" applyFill="1" applyBorder="1" applyAlignment="1">
      <alignment horizontal="center" readingOrder="1"/>
    </xf>
    <xf numFmtId="0" fontId="5" fillId="68" borderId="48" xfId="235" applyFill="1" applyBorder="1" applyAlignment="1">
      <alignment horizontal="center" vertical="center" wrapText="1"/>
    </xf>
    <xf numFmtId="0" fontId="5" fillId="68" borderId="38" xfId="235" applyFill="1" applyBorder="1" applyAlignment="1">
      <alignment horizontal="center" vertical="center" wrapText="1"/>
    </xf>
    <xf numFmtId="0" fontId="5" fillId="68" borderId="41" xfId="235" applyFill="1" applyBorder="1" applyAlignment="1">
      <alignment horizontal="center" vertical="center" wrapText="1"/>
    </xf>
    <xf numFmtId="0" fontId="5" fillId="68" borderId="73" xfId="235" applyFill="1" applyBorder="1" applyAlignment="1">
      <alignment horizontal="center" vertical="center" wrapText="1"/>
    </xf>
    <xf numFmtId="0" fontId="5" fillId="68" borderId="37" xfId="235" applyFill="1" applyBorder="1" applyAlignment="1">
      <alignment horizontal="center" vertical="center" wrapText="1"/>
    </xf>
    <xf numFmtId="0" fontId="5" fillId="68" borderId="49" xfId="235" applyFill="1" applyBorder="1" applyAlignment="1">
      <alignment horizontal="center" vertical="center" wrapText="1"/>
    </xf>
    <xf numFmtId="0" fontId="5" fillId="68" borderId="40" xfId="235" applyFill="1" applyBorder="1" applyAlignment="1">
      <alignment horizontal="center" vertical="center" wrapText="1"/>
    </xf>
    <xf numFmtId="0" fontId="5" fillId="68" borderId="72" xfId="235" applyFill="1" applyBorder="1" applyAlignment="1">
      <alignment horizontal="center" vertical="center" wrapText="1"/>
    </xf>
    <xf numFmtId="0" fontId="5" fillId="68" borderId="84" xfId="235" applyFill="1" applyBorder="1" applyAlignment="1">
      <alignment horizontal="center" vertical="center" wrapText="1"/>
    </xf>
  </cellXfs>
  <cellStyles count="534">
    <cellStyle name="20% - Accent1 2" xfId="37"/>
    <cellStyle name="20% - Accent1 2 2" xfId="38"/>
    <cellStyle name="20% - Accent1 3" xfId="39"/>
    <cellStyle name="20% - Accent1 3 2" xfId="372"/>
    <cellStyle name="20% - Accent1 4" xfId="373"/>
    <cellStyle name="20% - Accent1 4 2" xfId="374"/>
    <cellStyle name="20% - Accent1 5" xfId="375"/>
    <cellStyle name="20% - Accent2 2" xfId="40"/>
    <cellStyle name="20% - Accent2 2 2" xfId="376"/>
    <cellStyle name="20% - Accent2 3" xfId="41"/>
    <cellStyle name="20% - Accent2 3 2" xfId="377"/>
    <cellStyle name="20% - Accent2 4" xfId="378"/>
    <cellStyle name="20% - Accent2 4 2" xfId="379"/>
    <cellStyle name="20% - Accent2 5" xfId="380"/>
    <cellStyle name="20% - Accent3 2" xfId="42"/>
    <cellStyle name="20% - Accent3 2 2" xfId="43"/>
    <cellStyle name="20% - Accent3 3" xfId="44"/>
    <cellStyle name="20% - Accent3 3 2" xfId="381"/>
    <cellStyle name="20% - Accent3 4" xfId="382"/>
    <cellStyle name="20% - Accent3 4 2" xfId="383"/>
    <cellStyle name="20% - Accent3 5" xfId="384"/>
    <cellStyle name="20% - Accent4 2" xfId="45"/>
    <cellStyle name="20% - Accent4 2 2" xfId="46"/>
    <cellStyle name="20% - Accent4 3" xfId="47"/>
    <cellStyle name="20% - Accent4 3 2" xfId="385"/>
    <cellStyle name="20% - Accent4 4" xfId="386"/>
    <cellStyle name="20% - Accent4 4 2" xfId="387"/>
    <cellStyle name="20% - Accent4 5" xfId="388"/>
    <cellStyle name="20% - Accent5 2" xfId="48"/>
    <cellStyle name="20% - Accent5 2 2" xfId="389"/>
    <cellStyle name="20% - Accent5 3" xfId="49"/>
    <cellStyle name="20% - Accent5 3 2" xfId="390"/>
    <cellStyle name="20% - Accent5 4" xfId="391"/>
    <cellStyle name="20% - Accent5 4 2" xfId="392"/>
    <cellStyle name="20% - Accent5 5" xfId="393"/>
    <cellStyle name="20% - Accent6 2" xfId="50"/>
    <cellStyle name="20% - Accent6 2 2" xfId="394"/>
    <cellStyle name="20% - Accent6 3" xfId="51"/>
    <cellStyle name="20% - Accent6 3 2" xfId="395"/>
    <cellStyle name="20% - Accent6 4" xfId="396"/>
    <cellStyle name="20% - Accent6 4 2" xfId="397"/>
    <cellStyle name="20% - Accent6 5" xfId="398"/>
    <cellStyle name="40% - Accent1 2" xfId="52"/>
    <cellStyle name="40% - Accent1 2 2" xfId="53"/>
    <cellStyle name="40% - Accent1 3" xfId="54"/>
    <cellStyle name="40% - Accent1 3 2" xfId="399"/>
    <cellStyle name="40% - Accent1 4" xfId="400"/>
    <cellStyle name="40% - Accent1 4 2" xfId="401"/>
    <cellStyle name="40% - Accent1 5" xfId="402"/>
    <cellStyle name="40% - Accent2 2" xfId="55"/>
    <cellStyle name="40% - Accent2 2 2" xfId="56"/>
    <cellStyle name="40% - Accent2 3" xfId="57"/>
    <cellStyle name="40% - Accent2 3 2" xfId="403"/>
    <cellStyle name="40% - Accent2 4" xfId="404"/>
    <cellStyle name="40% - Accent2 4 2" xfId="405"/>
    <cellStyle name="40% - Accent2 5" xfId="406"/>
    <cellStyle name="40% - Accent3 2" xfId="58"/>
    <cellStyle name="40% - Accent3 2 2" xfId="59"/>
    <cellStyle name="40% - Accent3 3" xfId="60"/>
    <cellStyle name="40% - Accent3 3 2" xfId="407"/>
    <cellStyle name="40% - Accent3 4" xfId="408"/>
    <cellStyle name="40% - Accent3 4 2" xfId="409"/>
    <cellStyle name="40% - Accent3 5" xfId="410"/>
    <cellStyle name="40% - Accent4 2" xfId="61"/>
    <cellStyle name="40% - Accent4 2 2" xfId="62"/>
    <cellStyle name="40% - Accent4 3" xfId="63"/>
    <cellStyle name="40% - Accent4 3 2" xfId="411"/>
    <cellStyle name="40% - Accent4 4" xfId="412"/>
    <cellStyle name="40% - Accent4 4 2" xfId="413"/>
    <cellStyle name="40% - Accent4 5" xfId="414"/>
    <cellStyle name="40% - Accent5 2" xfId="64"/>
    <cellStyle name="40% - Accent5 2 2" xfId="415"/>
    <cellStyle name="40% - Accent5 3" xfId="65"/>
    <cellStyle name="40% - Accent5 3 2" xfId="416"/>
    <cellStyle name="40% - Accent5 4" xfId="417"/>
    <cellStyle name="40% - Accent5 4 2" xfId="418"/>
    <cellStyle name="40% - Accent5 5" xfId="419"/>
    <cellStyle name="40% - Accent6 2" xfId="66"/>
    <cellStyle name="40% - Accent6 2 2" xfId="67"/>
    <cellStyle name="40% - Accent6 3" xfId="68"/>
    <cellStyle name="40% - Accent6 3 2" xfId="420"/>
    <cellStyle name="40% - Accent6 4" xfId="421"/>
    <cellStyle name="40% - Accent6 4 2" xfId="422"/>
    <cellStyle name="40% - Accent6 5" xfId="423"/>
    <cellStyle name="60% - Accent1 2" xfId="69"/>
    <cellStyle name="60% - Accent1 2 2" xfId="70"/>
    <cellStyle name="60% - Accent1 3" xfId="71"/>
    <cellStyle name="60% - Accent2 2" xfId="72"/>
    <cellStyle name="60% - Accent2 2 2" xfId="73"/>
    <cellStyle name="60% - Accent2 3" xfId="74"/>
    <cellStyle name="60% - Accent3 2" xfId="75"/>
    <cellStyle name="60% - Accent3 2 2" xfId="76"/>
    <cellStyle name="60% - Accent3 3" xfId="77"/>
    <cellStyle name="60% - Accent4 2" xfId="78"/>
    <cellStyle name="60% - Accent4 2 2" xfId="79"/>
    <cellStyle name="60% - Accent4 3" xfId="80"/>
    <cellStyle name="60% - Accent5 2" xfId="81"/>
    <cellStyle name="60% - Accent5 3" xfId="82"/>
    <cellStyle name="60% - Accent6 2" xfId="83"/>
    <cellStyle name="60% - Accent6 2 2" xfId="84"/>
    <cellStyle name="60% - Accent6 3" xfId="85"/>
    <cellStyle name="Accent1 - 20%" xfId="86"/>
    <cellStyle name="Accent1 - 40%" xfId="87"/>
    <cellStyle name="Accent1 - 60%" xfId="88"/>
    <cellStyle name="Accent1 2" xfId="89"/>
    <cellStyle name="Accent1 2 2" xfId="90"/>
    <cellStyle name="Accent1 3" xfId="91"/>
    <cellStyle name="Accent2 - 20%" xfId="92"/>
    <cellStyle name="Accent2 - 40%" xfId="93"/>
    <cellStyle name="Accent2 - 60%" xfId="94"/>
    <cellStyle name="Accent2 2" xfId="95"/>
    <cellStyle name="Accent2 3" xfId="96"/>
    <cellStyle name="Accent3 - 20%" xfId="97"/>
    <cellStyle name="Accent3 - 40%" xfId="98"/>
    <cellStyle name="Accent3 - 60%" xfId="99"/>
    <cellStyle name="Accent3 2" xfId="100"/>
    <cellStyle name="Accent3 2 2" xfId="101"/>
    <cellStyle name="Accent3 3" xfId="102"/>
    <cellStyle name="Accent4 - 20%" xfId="103"/>
    <cellStyle name="Accent4 - 40%" xfId="104"/>
    <cellStyle name="Accent4 - 60%" xfId="105"/>
    <cellStyle name="Accent4 2" xfId="106"/>
    <cellStyle name="Accent4 2 2" xfId="107"/>
    <cellStyle name="Accent4 3" xfId="108"/>
    <cellStyle name="Accent5 - 20%" xfId="109"/>
    <cellStyle name="Accent5 - 40%" xfId="110"/>
    <cellStyle name="Accent5 - 60%" xfId="111"/>
    <cellStyle name="Accent5 2" xfId="112"/>
    <cellStyle name="Accent5 3" xfId="113"/>
    <cellStyle name="Accent6 - 20%" xfId="114"/>
    <cellStyle name="Accent6 - 40%" xfId="115"/>
    <cellStyle name="Accent6 - 60%" xfId="116"/>
    <cellStyle name="Accent6 2" xfId="117"/>
    <cellStyle name="Accent6 3" xfId="118"/>
    <cellStyle name="Bad 2" xfId="119"/>
    <cellStyle name="Bad 2 2" xfId="120"/>
    <cellStyle name="Bad 3" xfId="121"/>
    <cellStyle name="Calculation 2" xfId="122"/>
    <cellStyle name="Calculation 2 2" xfId="123"/>
    <cellStyle name="Calculation 3" xfId="124"/>
    <cellStyle name="Check Cell 2" xfId="125"/>
    <cellStyle name="Check Cell 3" xfId="126"/>
    <cellStyle name="Comma" xfId="368" builtinId="3"/>
    <cellStyle name="Comma [0] 2" xfId="127"/>
    <cellStyle name="Comma 10" xfId="371"/>
    <cellStyle name="Comma 11" xfId="424"/>
    <cellStyle name="Comma 2" xfId="16"/>
    <cellStyle name="Comma 2 2" xfId="128"/>
    <cellStyle name="Comma 2 2 2" xfId="129"/>
    <cellStyle name="Comma 2 2 3" xfId="130"/>
    <cellStyle name="Comma 2 2 3 2" xfId="425"/>
    <cellStyle name="Comma 2 2 4" xfId="426"/>
    <cellStyle name="Comma 2 2 4 2" xfId="427"/>
    <cellStyle name="Comma 2 2 5" xfId="428"/>
    <cellStyle name="Comma 2 2 5 2" xfId="429"/>
    <cellStyle name="Comma 2 2 6" xfId="430"/>
    <cellStyle name="Comma 2 2 6 2" xfId="431"/>
    <cellStyle name="Comma 2 2 7" xfId="432"/>
    <cellStyle name="Comma 2 2 8" xfId="433"/>
    <cellStyle name="Comma 2 3" xfId="131"/>
    <cellStyle name="Comma 2 3 2" xfId="434"/>
    <cellStyle name="Comma 2 4" xfId="132"/>
    <cellStyle name="Comma 2 5" xfId="133"/>
    <cellStyle name="Comma 3" xfId="11"/>
    <cellStyle name="Comma 3 10" xfId="435"/>
    <cellStyle name="Comma 3 2" xfId="134"/>
    <cellStyle name="Comma 3 2 2" xfId="135"/>
    <cellStyle name="Comma 3 2 3" xfId="136"/>
    <cellStyle name="Comma 3 3" xfId="137"/>
    <cellStyle name="Comma 3 3 2" xfId="138"/>
    <cellStyle name="Comma 3 3 3" xfId="139"/>
    <cellStyle name="Comma 3 3 4" xfId="140"/>
    <cellStyle name="Comma 3 4" xfId="141"/>
    <cellStyle name="Comma 3 4 2" xfId="436"/>
    <cellStyle name="Comma 3 5" xfId="437"/>
    <cellStyle name="Comma 3 5 2" xfId="438"/>
    <cellStyle name="Comma 3 6" xfId="439"/>
    <cellStyle name="Comma 3 6 2" xfId="440"/>
    <cellStyle name="Comma 3 7" xfId="441"/>
    <cellStyle name="Comma 3 8" xfId="442"/>
    <cellStyle name="Comma 3 9" xfId="443"/>
    <cellStyle name="Comma 4" xfId="142"/>
    <cellStyle name="Comma 4 2" xfId="143"/>
    <cellStyle name="Comma 4 2 2" xfId="144"/>
    <cellStyle name="Comma 4 3" xfId="145"/>
    <cellStyle name="Comma 5" xfId="146"/>
    <cellStyle name="Comma 5 2" xfId="147"/>
    <cellStyle name="Comma 5 3" xfId="148"/>
    <cellStyle name="Comma 6" xfId="149"/>
    <cellStyle name="Comma 7" xfId="150"/>
    <cellStyle name="Comma 8" xfId="151"/>
    <cellStyle name="Comma 9" xfId="444"/>
    <cellStyle name="Currency" xfId="1" builtinId="4"/>
    <cellStyle name="Currency 2" xfId="17"/>
    <cellStyle name="Currency 2 2" xfId="152"/>
    <cellStyle name="Currency 2 2 2" xfId="153"/>
    <cellStyle name="Currency 2 2 3" xfId="154"/>
    <cellStyle name="Currency 2 3" xfId="155"/>
    <cellStyle name="Currency 2 4" xfId="156"/>
    <cellStyle name="Currency 2 5" xfId="157"/>
    <cellStyle name="Currency 3" xfId="18"/>
    <cellStyle name="Currency 3 2" xfId="158"/>
    <cellStyle name="Currency 3 2 2" xfId="159"/>
    <cellStyle name="Currency 3 2 3" xfId="160"/>
    <cellStyle name="Currency 3 3" xfId="161"/>
    <cellStyle name="Currency 3 4" xfId="162"/>
    <cellStyle name="Currency 3 5" xfId="445"/>
    <cellStyle name="Currency 4" xfId="19"/>
    <cellStyle name="Currency 4 2" xfId="446"/>
    <cellStyle name="Currency 4 3" xfId="447"/>
    <cellStyle name="Currency 5" xfId="163"/>
    <cellStyle name="Currency 5 2" xfId="164"/>
    <cellStyle name="Currency 5 2 2" xfId="165"/>
    <cellStyle name="Currency 5 3" xfId="166"/>
    <cellStyle name="Currency 6" xfId="167"/>
    <cellStyle name="Currency 6 2" xfId="168"/>
    <cellStyle name="Currency 7" xfId="169"/>
    <cellStyle name="Currency 7 2" xfId="170"/>
    <cellStyle name="Currency 8" xfId="171"/>
    <cellStyle name="Data Field" xfId="4"/>
    <cellStyle name="Data Field 2" xfId="172"/>
    <cellStyle name="Data Field 2 2" xfId="173"/>
    <cellStyle name="Data Field 2 3" xfId="174"/>
    <cellStyle name="Data Field 3" xfId="175"/>
    <cellStyle name="Data Field 4" xfId="176"/>
    <cellStyle name="Data Field 5" xfId="448"/>
    <cellStyle name="Data Name" xfId="5"/>
    <cellStyle name="Data Name 2" xfId="20"/>
    <cellStyle name="Data Name 2 2" xfId="449"/>
    <cellStyle name="Data Name 3" xfId="450"/>
    <cellStyle name="Data Name 4" xfId="451"/>
    <cellStyle name="Date/Time" xfId="6"/>
    <cellStyle name="Emphasis 1" xfId="177"/>
    <cellStyle name="Emphasis 2" xfId="178"/>
    <cellStyle name="Emphasis 3" xfId="179"/>
    <cellStyle name="Explanatory Text 2" xfId="180"/>
    <cellStyle name="Explanatory Text 3" xfId="181"/>
    <cellStyle name="Good 2" xfId="182"/>
    <cellStyle name="Good 3" xfId="183"/>
    <cellStyle name="Heading" xfId="7"/>
    <cellStyle name="Heading 1 2" xfId="184"/>
    <cellStyle name="Heading 1 2 2" xfId="185"/>
    <cellStyle name="Heading 1 3" xfId="186"/>
    <cellStyle name="Heading 2 2" xfId="21"/>
    <cellStyle name="Heading 2 3" xfId="22"/>
    <cellStyle name="Heading 3 2" xfId="187"/>
    <cellStyle name="Heading 3 2 2" xfId="188"/>
    <cellStyle name="Heading 3 3" xfId="189"/>
    <cellStyle name="Heading 4 2" xfId="190"/>
    <cellStyle name="Heading 4 2 2" xfId="191"/>
    <cellStyle name="Heading 4 3" xfId="192"/>
    <cellStyle name="Hyperlink 2" xfId="23"/>
    <cellStyle name="Hyperlink 2 2" xfId="24"/>
    <cellStyle name="Hyperlink 2 2 2" xfId="193"/>
    <cellStyle name="Hyperlink 2 3" xfId="452"/>
    <cellStyle name="Hyperlink 2_ResWXMF_FY10v2_0" xfId="194"/>
    <cellStyle name="Hyperlink 3" xfId="195"/>
    <cellStyle name="Hyperlink 3 2" xfId="196"/>
    <cellStyle name="Hyperlink 3 2 2" xfId="197"/>
    <cellStyle name="Hyperlink 4" xfId="198"/>
    <cellStyle name="Hyperlink 5" xfId="199"/>
    <cellStyle name="Hyperlink 6" xfId="200"/>
    <cellStyle name="Hyperlink 7" xfId="201"/>
    <cellStyle name="Hyperlink 8" xfId="202"/>
    <cellStyle name="Input 2" xfId="203"/>
    <cellStyle name="Input 3" xfId="204"/>
    <cellStyle name="Linked Cell 2" xfId="205"/>
    <cellStyle name="Linked Cell 3" xfId="206"/>
    <cellStyle name="Neutral 2" xfId="207"/>
    <cellStyle name="Neutral 3" xfId="208"/>
    <cellStyle name="Normal" xfId="0" builtinId="0"/>
    <cellStyle name="Normal 10" xfId="209"/>
    <cellStyle name="Normal 10 2" xfId="210"/>
    <cellStyle name="Normal 11" xfId="211"/>
    <cellStyle name="Normal 11 2" xfId="453"/>
    <cellStyle name="Normal 12" xfId="212"/>
    <cellStyle name="Normal 12 2" xfId="454"/>
    <cellStyle name="Normal 13" xfId="213"/>
    <cellStyle name="Normal 13 2" xfId="214"/>
    <cellStyle name="Normal 13 3" xfId="215"/>
    <cellStyle name="Normal 14" xfId="216"/>
    <cellStyle name="Normal 14 2" xfId="217"/>
    <cellStyle name="Normal 14 2 2" xfId="218"/>
    <cellStyle name="Normal 14 3" xfId="219"/>
    <cellStyle name="Normal 14 3 2" xfId="220"/>
    <cellStyle name="Normal 14 4" xfId="221"/>
    <cellStyle name="Normal 14 5" xfId="455"/>
    <cellStyle name="Normal 15" xfId="222"/>
    <cellStyle name="Normal 15 2" xfId="223"/>
    <cellStyle name="Normal 15 2 2" xfId="224"/>
    <cellStyle name="Normal 15 3" xfId="225"/>
    <cellStyle name="Normal 15 4" xfId="226"/>
    <cellStyle name="Normal 15 5" xfId="456"/>
    <cellStyle name="Normal 16" xfId="227"/>
    <cellStyle name="Normal 16 2" xfId="228"/>
    <cellStyle name="Normal 16 3" xfId="229"/>
    <cellStyle name="Normal 16 4" xfId="457"/>
    <cellStyle name="Normal 17" xfId="230"/>
    <cellStyle name="Normal 17 2" xfId="231"/>
    <cellStyle name="Normal 18" xfId="232"/>
    <cellStyle name="Normal 19" xfId="233"/>
    <cellStyle name="Normal 2" xfId="9"/>
    <cellStyle name="Normal 2 10" xfId="458"/>
    <cellStyle name="Normal 2 11" xfId="459"/>
    <cellStyle name="Normal 2 12" xfId="460"/>
    <cellStyle name="Normal 2 2" xfId="12"/>
    <cellStyle name="Normal 2 2 2" xfId="234"/>
    <cellStyle name="Normal 2 2 2 2" xfId="235"/>
    <cellStyle name="Normal 2 2 2 3" xfId="236"/>
    <cellStyle name="Normal 2 2 3" xfId="237"/>
    <cellStyle name="Normal 2 2 3 2" xfId="238"/>
    <cellStyle name="Normal 2 2 3 3" xfId="239"/>
    <cellStyle name="Normal 2 2 4" xfId="240"/>
    <cellStyle name="Normal 2 2 4 2" xfId="461"/>
    <cellStyle name="Normal 2 2 5" xfId="462"/>
    <cellStyle name="Normal 2 2 6" xfId="463"/>
    <cellStyle name="Normal 2 3" xfId="25"/>
    <cellStyle name="Normal 2 3 2" xfId="241"/>
    <cellStyle name="Normal 2 3 2 2" xfId="242"/>
    <cellStyle name="Normal 2 3 2 2 2" xfId="243"/>
    <cellStyle name="Normal 2 3 2 3" xfId="464"/>
    <cellStyle name="Normal 2 3 3" xfId="244"/>
    <cellStyle name="Normal 2 3 3 2" xfId="245"/>
    <cellStyle name="Normal 2 3 4" xfId="465"/>
    <cellStyle name="Normal 2 4" xfId="246"/>
    <cellStyle name="Normal 2 4 2" xfId="247"/>
    <cellStyle name="Normal 2 4 2 2" xfId="248"/>
    <cellStyle name="Normal 2 4 2 3" xfId="249"/>
    <cellStyle name="Normal 2 4 2 4" xfId="250"/>
    <cellStyle name="Normal 2 4 3" xfId="251"/>
    <cellStyle name="Normal 2 5" xfId="252"/>
    <cellStyle name="Normal 2 5 2" xfId="466"/>
    <cellStyle name="Normal 2 6" xfId="253"/>
    <cellStyle name="Normal 2 6 2" xfId="254"/>
    <cellStyle name="Normal 2 6 2 2" xfId="255"/>
    <cellStyle name="Normal 2 6 2 3" xfId="256"/>
    <cellStyle name="Normal 2 6 3" xfId="257"/>
    <cellStyle name="Normal 2 6 3 2" xfId="258"/>
    <cellStyle name="Normal 2 6 4" xfId="259"/>
    <cellStyle name="Normal 2 6 4 2" xfId="260"/>
    <cellStyle name="Normal 2 6 5" xfId="261"/>
    <cellStyle name="Normal 2 6 6" xfId="262"/>
    <cellStyle name="Normal 2 7" xfId="263"/>
    <cellStyle name="Normal 2 7 2" xfId="264"/>
    <cellStyle name="Normal 2 7 2 2" xfId="265"/>
    <cellStyle name="Normal 2 7 3" xfId="266"/>
    <cellStyle name="Normal 2 8" xfId="267"/>
    <cellStyle name="Normal 2 8 2" xfId="467"/>
    <cellStyle name="Normal 2 9" xfId="268"/>
    <cellStyle name="Normal 2 9 2" xfId="468"/>
    <cellStyle name="Normal 2_EStarLighting_ExistingFY10v1_5_CWv1" xfId="26"/>
    <cellStyle name="Normal 20" xfId="269"/>
    <cellStyle name="Normal 21" xfId="270"/>
    <cellStyle name="Normal 22" xfId="271"/>
    <cellStyle name="Normal 23" xfId="272"/>
    <cellStyle name="Normal 24" xfId="273"/>
    <cellStyle name="Normal 25" xfId="274"/>
    <cellStyle name="Normal 26" xfId="275"/>
    <cellStyle name="Normal 27" xfId="276"/>
    <cellStyle name="Normal 28" xfId="277"/>
    <cellStyle name="Normal 29" xfId="278"/>
    <cellStyle name="Normal 3" xfId="13"/>
    <cellStyle name="Normal 3 2" xfId="27"/>
    <cellStyle name="Normal 3 2 2" xfId="279"/>
    <cellStyle name="Normal 3 2 3" xfId="280"/>
    <cellStyle name="Normal 3 3" xfId="281"/>
    <cellStyle name="Normal 3 3 2" xfId="282"/>
    <cellStyle name="Normal 3 3 2 2" xfId="283"/>
    <cellStyle name="Normal 3 4" xfId="284"/>
    <cellStyle name="Normal 3 4 2" xfId="469"/>
    <cellStyle name="Normal 3 5" xfId="470"/>
    <cellStyle name="Normal 3 66" xfId="285"/>
    <cellStyle name="Normal 30" xfId="286"/>
    <cellStyle name="Normal 31" xfId="287"/>
    <cellStyle name="Normal 32" xfId="288"/>
    <cellStyle name="Normal 33" xfId="289"/>
    <cellStyle name="Normal 34" xfId="290"/>
    <cellStyle name="Normal 35" xfId="291"/>
    <cellStyle name="Normal 36" xfId="292"/>
    <cellStyle name="Normal 37" xfId="293"/>
    <cellStyle name="Normal 38" xfId="294"/>
    <cellStyle name="Normal 39" xfId="295"/>
    <cellStyle name="Normal 4" xfId="14"/>
    <cellStyle name="Normal 4 2" xfId="28"/>
    <cellStyle name="Normal 4 2 2" xfId="471"/>
    <cellStyle name="Normal 4 3" xfId="296"/>
    <cellStyle name="Normal 4 3 2" xfId="297"/>
    <cellStyle name="Normal 4 3 2 2" xfId="298"/>
    <cellStyle name="Normal 4 3 2 3" xfId="299"/>
    <cellStyle name="Normal 4 3 3" xfId="300"/>
    <cellStyle name="Normal 4 3 4" xfId="472"/>
    <cellStyle name="Normal 4 4" xfId="301"/>
    <cellStyle name="Normal 4 4 2" xfId="302"/>
    <cellStyle name="Normal 4 4 3" xfId="303"/>
    <cellStyle name="Normal 4 5" xfId="304"/>
    <cellStyle name="Normal 4 5 2" xfId="305"/>
    <cellStyle name="Normal 4 5 3" xfId="306"/>
    <cellStyle name="Normal 4 6" xfId="307"/>
    <cellStyle name="Normal 4 7" xfId="308"/>
    <cellStyle name="Normal 4 8" xfId="473"/>
    <cellStyle name="Normal 40" xfId="309"/>
    <cellStyle name="Normal 41" xfId="310"/>
    <cellStyle name="Normal 42" xfId="311"/>
    <cellStyle name="Normal 43" xfId="312"/>
    <cellStyle name="Normal 44" xfId="313"/>
    <cellStyle name="Normal 45" xfId="314"/>
    <cellStyle name="Normal 46" xfId="315"/>
    <cellStyle name="Normal 47" xfId="316"/>
    <cellStyle name="Normal 48" xfId="317"/>
    <cellStyle name="Normal 48 2" xfId="318"/>
    <cellStyle name="Normal 49" xfId="319"/>
    <cellStyle name="Normal 5" xfId="320"/>
    <cellStyle name="Normal 5 2" xfId="321"/>
    <cellStyle name="Normal 5 2 2" xfId="474"/>
    <cellStyle name="Normal 5 3" xfId="475"/>
    <cellStyle name="Normal 5 3 2" xfId="476"/>
    <cellStyle name="Normal 5 4" xfId="477"/>
    <cellStyle name="Normal 5 4 2" xfId="478"/>
    <cellStyle name="Normal 5 5" xfId="479"/>
    <cellStyle name="Normal 5 5 2" xfId="480"/>
    <cellStyle name="Normal 5 6" xfId="481"/>
    <cellStyle name="Normal 5 6 2" xfId="482"/>
    <cellStyle name="Normal 5 7" xfId="483"/>
    <cellStyle name="Normal 50" xfId="322"/>
    <cellStyle name="Normal 51" xfId="484"/>
    <cellStyle name="Normal 6" xfId="323"/>
    <cellStyle name="Normal 6 2" xfId="485"/>
    <cellStyle name="Normal 6 3" xfId="486"/>
    <cellStyle name="Normal 6 4" xfId="487"/>
    <cellStyle name="Normal 6 5" xfId="488"/>
    <cellStyle name="Normal 7" xfId="324"/>
    <cellStyle name="Normal 7 2" xfId="325"/>
    <cellStyle name="Normal 7 2 2" xfId="489"/>
    <cellStyle name="Normal 7 3" xfId="490"/>
    <cellStyle name="Normal 8" xfId="326"/>
    <cellStyle name="Normal 8 2" xfId="327"/>
    <cellStyle name="Normal 8 2 2" xfId="491"/>
    <cellStyle name="Normal 8 3" xfId="492"/>
    <cellStyle name="Normal 9" xfId="328"/>
    <cellStyle name="Normal 9 2" xfId="329"/>
    <cellStyle name="Normal 9 3" xfId="330"/>
    <cellStyle name="Normal_IrrgAgSupply" xfId="369"/>
    <cellStyle name="Normal_MTDUCT" xfId="2"/>
    <cellStyle name="Normal_MTRESAPPLPOT" xfId="36"/>
    <cellStyle name="Normal_PC-LPDPackage-6P-D14" xfId="35"/>
    <cellStyle name="Normal_ProCostFinAssumptions_Sector" xfId="3"/>
    <cellStyle name="Normal_prodraft-248-c_TEDWtest" xfId="370"/>
    <cellStyle name="Normal_ResDHW_2_0gpmShowerheads_FY07v1_0" xfId="15"/>
    <cellStyle name="Note 2" xfId="29"/>
    <cellStyle name="Note 2 2" xfId="331"/>
    <cellStyle name="Note 2 2 2" xfId="493"/>
    <cellStyle name="Note 2 3" xfId="494"/>
    <cellStyle name="Note 2 3 2" xfId="495"/>
    <cellStyle name="Note 2 4" xfId="496"/>
    <cellStyle name="Note 2 4 2" xfId="497"/>
    <cellStyle name="Note 2 5" xfId="498"/>
    <cellStyle name="Note 3" xfId="30"/>
    <cellStyle name="Output 2" xfId="332"/>
    <cellStyle name="Output 2 2" xfId="333"/>
    <cellStyle name="Output 3" xfId="334"/>
    <cellStyle name="Percent" xfId="8" builtinId="5"/>
    <cellStyle name="Percent 2" xfId="31"/>
    <cellStyle name="Percent 2 10" xfId="499"/>
    <cellStyle name="Percent 2 2" xfId="32"/>
    <cellStyle name="Percent 2 2 2" xfId="335"/>
    <cellStyle name="Percent 2 2 2 2" xfId="336"/>
    <cellStyle name="Percent 2 2 2 2 2" xfId="500"/>
    <cellStyle name="Percent 2 2 2 3" xfId="337"/>
    <cellStyle name="Percent 2 2 3" xfId="338"/>
    <cellStyle name="Percent 2 2 4" xfId="339"/>
    <cellStyle name="Percent 2 3" xfId="340"/>
    <cellStyle name="Percent 2 3 2" xfId="341"/>
    <cellStyle name="Percent 2 3 2 2" xfId="501"/>
    <cellStyle name="Percent 2 3 2 2 2" xfId="502"/>
    <cellStyle name="Percent 2 3 2 3" xfId="503"/>
    <cellStyle name="Percent 2 3 2 3 2" xfId="504"/>
    <cellStyle name="Percent 2 3 2 4" xfId="505"/>
    <cellStyle name="Percent 2 3 2 4 2" xfId="506"/>
    <cellStyle name="Percent 2 3 2 5" xfId="507"/>
    <cellStyle name="Percent 2 3 2 6" xfId="508"/>
    <cellStyle name="Percent 2 3 3" xfId="342"/>
    <cellStyle name="Percent 2 4" xfId="509"/>
    <cellStyle name="Percent 2 4 2" xfId="510"/>
    <cellStyle name="Percent 2 4 3" xfId="511"/>
    <cellStyle name="Percent 2 5" xfId="512"/>
    <cellStyle name="Percent 2 5 2" xfId="513"/>
    <cellStyle name="Percent 2 6" xfId="514"/>
    <cellStyle name="Percent 2 6 2" xfId="515"/>
    <cellStyle name="Percent 2 7" xfId="516"/>
    <cellStyle name="Percent 2 7 2" xfId="517"/>
    <cellStyle name="Percent 2 8" xfId="518"/>
    <cellStyle name="Percent 2 9" xfId="519"/>
    <cellStyle name="Percent 3" xfId="10"/>
    <cellStyle name="Percent 3 2" xfId="343"/>
    <cellStyle name="Percent 3 2 2" xfId="344"/>
    <cellStyle name="Percent 3 2 2 2" xfId="520"/>
    <cellStyle name="Percent 3 2 3" xfId="345"/>
    <cellStyle name="Percent 3 2 3 2" xfId="521"/>
    <cellStyle name="Percent 3 2 4" xfId="522"/>
    <cellStyle name="Percent 3 2 4 2" xfId="523"/>
    <cellStyle name="Percent 3 2 5" xfId="524"/>
    <cellStyle name="Percent 3 2 5 2" xfId="525"/>
    <cellStyle name="Percent 3 2 6" xfId="526"/>
    <cellStyle name="Percent 3 2 7" xfId="527"/>
    <cellStyle name="Percent 3 2 8" xfId="528"/>
    <cellStyle name="Percent 3 3" xfId="346"/>
    <cellStyle name="Percent 3 4" xfId="347"/>
    <cellStyle name="Percent 3 5" xfId="529"/>
    <cellStyle name="Percent 4" xfId="348"/>
    <cellStyle name="Percent 4 2" xfId="349"/>
    <cellStyle name="Percent 4 2 2" xfId="530"/>
    <cellStyle name="Percent 4 3" xfId="531"/>
    <cellStyle name="Percent 5" xfId="350"/>
    <cellStyle name="Percent 5 2" xfId="532"/>
    <cellStyle name="Percent 6" xfId="351"/>
    <cellStyle name="Percent 6 2" xfId="352"/>
    <cellStyle name="Percent 7" xfId="353"/>
    <cellStyle name="Percent 8" xfId="354"/>
    <cellStyle name="Percent 9" xfId="533"/>
    <cellStyle name="Sheet Title" xfId="355"/>
    <cellStyle name="Style 1" xfId="356"/>
    <cellStyle name="Style 1 2" xfId="357"/>
    <cellStyle name="Style 28" xfId="358"/>
    <cellStyle name="Title 2" xfId="359"/>
    <cellStyle name="Title 2 2" xfId="360"/>
    <cellStyle name="Title 3" xfId="361"/>
    <cellStyle name="Total 2" xfId="362"/>
    <cellStyle name="Total 2 2" xfId="363"/>
    <cellStyle name="Total 3" xfId="364"/>
    <cellStyle name="Warning Text 2" xfId="365"/>
    <cellStyle name="Warning Text 3" xfId="366"/>
    <cellStyle name="표준 2_WP-1 보고자료 (2009.06.03)" xfId="367"/>
    <cellStyle name="표준_ENERGY CONSUMP" xfId="33"/>
    <cellStyle name="常规_海外市场服务网站资料操作BOM" xfId="3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1"/>
          <c:order val="0"/>
          <c:spPr>
            <a:ln w="28575">
              <a:noFill/>
            </a:ln>
          </c:spPr>
          <c:xVal>
            <c:numRef>
              <c:f>IDStudyAppendixA!$BD$107:$BD$143</c:f>
              <c:numCache>
                <c:formatCode>General</c:formatCode>
                <c:ptCount val="3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numCache>
            </c:numRef>
          </c:xVal>
          <c:yVal>
            <c:numRef>
              <c:f>IDStudyAppendixA!$BM$107:$BM$143</c:f>
              <c:numCache>
                <c:formatCode>0.00</c:formatCode>
                <c:ptCount val="37"/>
                <c:pt idx="0">
                  <c:v>4.1040000000000001</c:v>
                </c:pt>
                <c:pt idx="1">
                  <c:v>3.8520000000000003</c:v>
                </c:pt>
                <c:pt idx="2">
                  <c:v>4.0659999999999998</c:v>
                </c:pt>
                <c:pt idx="3">
                  <c:v>3.6379999999999999</c:v>
                </c:pt>
                <c:pt idx="4">
                  <c:v>3.8520000000000003</c:v>
                </c:pt>
                <c:pt idx="5">
                  <c:v>4.0659999999999998</c:v>
                </c:pt>
                <c:pt idx="6">
                  <c:v>4.0659999999999998</c:v>
                </c:pt>
                <c:pt idx="7">
                  <c:v>3.8520000000000003</c:v>
                </c:pt>
                <c:pt idx="8">
                  <c:v>3.8520000000000003</c:v>
                </c:pt>
                <c:pt idx="9">
                  <c:v>3.6379999999999999</c:v>
                </c:pt>
                <c:pt idx="10">
                  <c:v>3.4240000000000004</c:v>
                </c:pt>
                <c:pt idx="11">
                  <c:v>4.0659999999999998</c:v>
                </c:pt>
                <c:pt idx="12">
                  <c:v>3.8520000000000003</c:v>
                </c:pt>
                <c:pt idx="13">
                  <c:v>4.0659999999999998</c:v>
                </c:pt>
                <c:pt idx="14">
                  <c:v>3.6379999999999999</c:v>
                </c:pt>
                <c:pt idx="15">
                  <c:v>3.6379999999999999</c:v>
                </c:pt>
                <c:pt idx="16">
                  <c:v>3.6379999999999999</c:v>
                </c:pt>
                <c:pt idx="17">
                  <c:v>3.4240000000000004</c:v>
                </c:pt>
                <c:pt idx="18">
                  <c:v>2.7820000000000005</c:v>
                </c:pt>
                <c:pt idx="19">
                  <c:v>3.4240000000000004</c:v>
                </c:pt>
                <c:pt idx="20">
                  <c:v>3.8520000000000003</c:v>
                </c:pt>
                <c:pt idx="21">
                  <c:v>3.8520000000000003</c:v>
                </c:pt>
                <c:pt idx="22">
                  <c:v>3.6379999999999999</c:v>
                </c:pt>
                <c:pt idx="23">
                  <c:v>3.4240000000000004</c:v>
                </c:pt>
                <c:pt idx="24">
                  <c:v>3.8520000000000003</c:v>
                </c:pt>
                <c:pt idx="25">
                  <c:v>3.6379999999999999</c:v>
                </c:pt>
                <c:pt idx="26">
                  <c:v>3.8520000000000003</c:v>
                </c:pt>
                <c:pt idx="27">
                  <c:v>4.0659999999999998</c:v>
                </c:pt>
                <c:pt idx="28">
                  <c:v>3.6379999999999999</c:v>
                </c:pt>
                <c:pt idx="29">
                  <c:v>4.0659999999999998</c:v>
                </c:pt>
                <c:pt idx="30">
                  <c:v>3.8520000000000003</c:v>
                </c:pt>
                <c:pt idx="31">
                  <c:v>3.6379999999999999</c:v>
                </c:pt>
                <c:pt idx="32">
                  <c:v>3.8520000000000003</c:v>
                </c:pt>
                <c:pt idx="33">
                  <c:v>4.0659999999999998</c:v>
                </c:pt>
                <c:pt idx="34">
                  <c:v>4.0659999999999998</c:v>
                </c:pt>
                <c:pt idx="35">
                  <c:v>3.6379999999999999</c:v>
                </c:pt>
                <c:pt idx="36">
                  <c:v>2.996</c:v>
                </c:pt>
              </c:numCache>
            </c:numRef>
          </c:yVal>
        </c:ser>
        <c:axId val="47126016"/>
        <c:axId val="51639808"/>
      </c:scatterChart>
      <c:valAx>
        <c:axId val="47126016"/>
        <c:scaling>
          <c:orientation val="minMax"/>
        </c:scaling>
        <c:axPos val="b"/>
        <c:numFmt formatCode="General" sourceLinked="1"/>
        <c:tickLblPos val="nextTo"/>
        <c:crossAx val="51639808"/>
        <c:crosses val="autoZero"/>
        <c:crossBetween val="midCat"/>
      </c:valAx>
      <c:valAx>
        <c:axId val="51639808"/>
        <c:scaling>
          <c:orientation val="minMax"/>
        </c:scaling>
        <c:axPos val="l"/>
        <c:majorGridlines/>
        <c:numFmt formatCode="0.00" sourceLinked="1"/>
        <c:tickLblPos val="nextTo"/>
        <c:crossAx val="47126016"/>
        <c:crosses val="autoZero"/>
        <c:crossBetween val="midCat"/>
      </c:valAx>
    </c:plotArea>
    <c:legend>
      <c:legendPos val="r"/>
    </c:legend>
    <c:plotVisOnly val="1"/>
    <c:dispBlanksAs val="gap"/>
  </c:chart>
  <c:printSettings>
    <c:headerFooter/>
    <c:pageMargins b="0.75000000000000788" l="0.70000000000000062" r="0.70000000000000062" t="0.7500000000000078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0"/>
          <c:order val="0"/>
          <c:tx>
            <c:v>New R2000</c:v>
          </c:tx>
          <c:spPr>
            <a:ln w="28575">
              <a:solidFill>
                <a:schemeClr val="tx1"/>
              </a:solidFill>
            </a:ln>
          </c:spPr>
          <c:marker>
            <c:symbol val="none"/>
          </c:marker>
          <c:xVal>
            <c:numRef>
              <c:f>IDStudyAppendixA!$CC$8:$CC$43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IDStudyAppendixA!$CS$8:$CS$39</c:f>
              <c:numCache>
                <c:formatCode>0.00</c:formatCode>
                <c:ptCount val="3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4.0999999999999996</c:v>
                </c:pt>
                <c:pt idx="15">
                  <c:v>4</c:v>
                </c:pt>
                <c:pt idx="16">
                  <c:v>4</c:v>
                </c:pt>
                <c:pt idx="17">
                  <c:v>4.2</c:v>
                </c:pt>
                <c:pt idx="18">
                  <c:v>4</c:v>
                </c:pt>
                <c:pt idx="19">
                  <c:v>4</c:v>
                </c:pt>
                <c:pt idx="20">
                  <c:v>4</c:v>
                </c:pt>
                <c:pt idx="21">
                  <c:v>4</c:v>
                </c:pt>
                <c:pt idx="22">
                  <c:v>4</c:v>
                </c:pt>
                <c:pt idx="23">
                  <c:v>4</c:v>
                </c:pt>
                <c:pt idx="24">
                  <c:v>4</c:v>
                </c:pt>
                <c:pt idx="25">
                  <c:v>4</c:v>
                </c:pt>
                <c:pt idx="26">
                  <c:v>4</c:v>
                </c:pt>
                <c:pt idx="27">
                  <c:v>4</c:v>
                </c:pt>
                <c:pt idx="28">
                  <c:v>4</c:v>
                </c:pt>
                <c:pt idx="29">
                  <c:v>3.4</c:v>
                </c:pt>
                <c:pt idx="30">
                  <c:v>4</c:v>
                </c:pt>
                <c:pt idx="31">
                  <c:v>4</c:v>
                </c:pt>
              </c:numCache>
            </c:numRef>
          </c:yVal>
        </c:ser>
        <c:ser>
          <c:idx val="1"/>
          <c:order val="1"/>
          <c:tx>
            <c:v>WL9</c:v>
          </c:tx>
          <c:spPr>
            <a:ln w="28575">
              <a:solidFill>
                <a:schemeClr val="accent1"/>
              </a:solidFill>
            </a:ln>
          </c:spPr>
          <c:marker>
            <c:symbol val="none"/>
          </c:marker>
          <c:xVal>
            <c:numRef>
              <c:f>IDStudyAppendixA!$CC$8:$CC$43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IDStudyAppendixA!$CL$8:$CL$39</c:f>
              <c:numCache>
                <c:formatCode>0.00</c:formatCode>
                <c:ptCount val="32"/>
                <c:pt idx="0">
                  <c:v>4</c:v>
                </c:pt>
                <c:pt idx="1">
                  <c:v>4</c:v>
                </c:pt>
                <c:pt idx="2">
                  <c:v>4</c:v>
                </c:pt>
                <c:pt idx="3">
                  <c:v>4.7</c:v>
                </c:pt>
                <c:pt idx="4">
                  <c:v>4</c:v>
                </c:pt>
                <c:pt idx="5">
                  <c:v>4</c:v>
                </c:pt>
                <c:pt idx="6">
                  <c:v>4.5999999999999996</c:v>
                </c:pt>
                <c:pt idx="7">
                  <c:v>4</c:v>
                </c:pt>
                <c:pt idx="8">
                  <c:v>4.4000000000000004</c:v>
                </c:pt>
                <c:pt idx="9">
                  <c:v>4.5999999999999996</c:v>
                </c:pt>
                <c:pt idx="10">
                  <c:v>4</c:v>
                </c:pt>
                <c:pt idx="11">
                  <c:v>3.2</c:v>
                </c:pt>
                <c:pt idx="12">
                  <c:v>4.4000000000000004</c:v>
                </c:pt>
                <c:pt idx="13">
                  <c:v>4</c:v>
                </c:pt>
                <c:pt idx="14">
                  <c:v>4.5999999999999996</c:v>
                </c:pt>
                <c:pt idx="15">
                  <c:v>4.2</c:v>
                </c:pt>
                <c:pt idx="16">
                  <c:v>2.6</c:v>
                </c:pt>
                <c:pt idx="17">
                  <c:v>4</c:v>
                </c:pt>
                <c:pt idx="18">
                  <c:v>4</c:v>
                </c:pt>
                <c:pt idx="19">
                  <c:v>4</c:v>
                </c:pt>
                <c:pt idx="20">
                  <c:v>4</c:v>
                </c:pt>
                <c:pt idx="21">
                  <c:v>4</c:v>
                </c:pt>
                <c:pt idx="22">
                  <c:v>3.5</c:v>
                </c:pt>
                <c:pt idx="23">
                  <c:v>4</c:v>
                </c:pt>
                <c:pt idx="24">
                  <c:v>3.6</c:v>
                </c:pt>
                <c:pt idx="25">
                  <c:v>4.2</c:v>
                </c:pt>
                <c:pt idx="26">
                  <c:v>4.5999999999999996</c:v>
                </c:pt>
                <c:pt idx="27">
                  <c:v>4</c:v>
                </c:pt>
                <c:pt idx="28">
                  <c:v>3.6</c:v>
                </c:pt>
                <c:pt idx="29">
                  <c:v>5</c:v>
                </c:pt>
                <c:pt idx="30">
                  <c:v>4.5</c:v>
                </c:pt>
                <c:pt idx="31">
                  <c:v>8</c:v>
                </c:pt>
              </c:numCache>
            </c:numRef>
          </c:yVal>
        </c:ser>
        <c:ser>
          <c:idx val="2"/>
          <c:order val="2"/>
          <c:tx>
            <c:v>WL10</c:v>
          </c:tx>
          <c:marker>
            <c:symbol val="none"/>
          </c:marker>
          <c:xVal>
            <c:numRef>
              <c:f>IDStudyAppendixA!$CC$8:$CC$44</c:f>
              <c:numCache>
                <c:formatCode>General</c:formatCode>
                <c:ptCount val="3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numCache>
            </c:numRef>
          </c:xVal>
          <c:yVal>
            <c:numRef>
              <c:f>IDStudyAppendixA!$CM$8:$CM$40</c:f>
              <c:numCache>
                <c:formatCode>General</c:formatCode>
                <c:ptCount val="33"/>
                <c:pt idx="0">
                  <c:v>3</c:v>
                </c:pt>
                <c:pt idx="1">
                  <c:v>4.5999999999999996</c:v>
                </c:pt>
                <c:pt idx="2">
                  <c:v>4.5999999999999996</c:v>
                </c:pt>
                <c:pt idx="3">
                  <c:v>4.5999999999999996</c:v>
                </c:pt>
                <c:pt idx="4">
                  <c:v>4.2</c:v>
                </c:pt>
                <c:pt idx="5">
                  <c:v>4.2</c:v>
                </c:pt>
                <c:pt idx="6">
                  <c:v>4</c:v>
                </c:pt>
                <c:pt idx="7">
                  <c:v>4</c:v>
                </c:pt>
                <c:pt idx="8">
                  <c:v>4.5</c:v>
                </c:pt>
                <c:pt idx="9">
                  <c:v>3.2</c:v>
                </c:pt>
                <c:pt idx="10">
                  <c:v>4.4000000000000004</c:v>
                </c:pt>
                <c:pt idx="11">
                  <c:v>4.5999999999999996</c:v>
                </c:pt>
                <c:pt idx="12">
                  <c:v>4.4000000000000004</c:v>
                </c:pt>
                <c:pt idx="13">
                  <c:v>4.5999999999999996</c:v>
                </c:pt>
                <c:pt idx="14">
                  <c:v>4</c:v>
                </c:pt>
                <c:pt idx="15">
                  <c:v>4</c:v>
                </c:pt>
                <c:pt idx="16">
                  <c:v>4.5999999999999996</c:v>
                </c:pt>
                <c:pt idx="17">
                  <c:v>4</c:v>
                </c:pt>
                <c:pt idx="18">
                  <c:v>4.4000000000000004</c:v>
                </c:pt>
                <c:pt idx="19">
                  <c:v>4.5999999999999996</c:v>
                </c:pt>
                <c:pt idx="20">
                  <c:v>4.2</c:v>
                </c:pt>
                <c:pt idx="21">
                  <c:v>4.4000000000000004</c:v>
                </c:pt>
                <c:pt idx="22">
                  <c:v>4.2</c:v>
                </c:pt>
                <c:pt idx="23">
                  <c:v>4.5999999999999996</c:v>
                </c:pt>
                <c:pt idx="24">
                  <c:v>7</c:v>
                </c:pt>
                <c:pt idx="25">
                  <c:v>4</c:v>
                </c:pt>
                <c:pt idx="26">
                  <c:v>4</c:v>
                </c:pt>
                <c:pt idx="27">
                  <c:v>4.5</c:v>
                </c:pt>
                <c:pt idx="28">
                  <c:v>4.4000000000000004</c:v>
                </c:pt>
                <c:pt idx="29">
                  <c:v>4.5999999999999996</c:v>
                </c:pt>
                <c:pt idx="30">
                  <c:v>4.5999999999999996</c:v>
                </c:pt>
                <c:pt idx="31">
                  <c:v>4.4000000000000004</c:v>
                </c:pt>
                <c:pt idx="32">
                  <c:v>4</c:v>
                </c:pt>
              </c:numCache>
            </c:numRef>
          </c:yVal>
        </c:ser>
        <c:axId val="49130112"/>
        <c:axId val="49136000"/>
      </c:scatterChart>
      <c:valAx>
        <c:axId val="49130112"/>
        <c:scaling>
          <c:orientation val="minMax"/>
        </c:scaling>
        <c:axPos val="b"/>
        <c:numFmt formatCode="General" sourceLinked="1"/>
        <c:tickLblPos val="nextTo"/>
        <c:crossAx val="49136000"/>
        <c:crosses val="autoZero"/>
        <c:crossBetween val="midCat"/>
      </c:valAx>
      <c:valAx>
        <c:axId val="49136000"/>
        <c:scaling>
          <c:orientation val="minMax"/>
        </c:scaling>
        <c:axPos val="l"/>
        <c:majorGridlines/>
        <c:numFmt formatCode="0.00" sourceLinked="1"/>
        <c:tickLblPos val="nextTo"/>
        <c:crossAx val="49130112"/>
        <c:crosses val="autoZero"/>
        <c:crossBetween val="midCat"/>
      </c:valAx>
    </c:plotArea>
    <c:legend>
      <c:legendPos val="r"/>
    </c:legend>
    <c:plotVisOnly val="1"/>
    <c:dispBlanksAs val="gap"/>
  </c:chart>
  <c:printSettings>
    <c:headerFooter/>
    <c:pageMargins b="0.75000000000000666" l="0.70000000000000062" r="0.70000000000000062" t="0.750000000000006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600" b="0"/>
            </a:pPr>
            <a:r>
              <a:rPr lang="en-US" sz="1600" b="0"/>
              <a:t>WL 15 9/64 nozzle, 32 psi</a:t>
            </a:r>
          </a:p>
        </c:rich>
      </c:tx>
    </c:title>
    <c:plotArea>
      <c:layout/>
      <c:scatterChart>
        <c:scatterStyle val="lineMarker"/>
        <c:ser>
          <c:idx val="0"/>
          <c:order val="0"/>
          <c:tx>
            <c:v>actual flow</c:v>
          </c:tx>
          <c:spPr>
            <a:ln w="28575">
              <a:noFill/>
            </a:ln>
          </c:spPr>
          <c:xVal>
            <c:numRef>
              <c:f>IDStudyAppendixA!$CC$8:$CC$44</c:f>
              <c:numCache>
                <c:formatCode>General</c:formatCode>
                <c:ptCount val="3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numCache>
            </c:numRef>
          </c:xVal>
          <c:yVal>
            <c:numRef>
              <c:f>IDStudyAppendixA!$CR$8:$CR$39</c:f>
              <c:numCache>
                <c:formatCode>0.00</c:formatCode>
                <c:ptCount val="32"/>
                <c:pt idx="0">
                  <c:v>5</c:v>
                </c:pt>
                <c:pt idx="1">
                  <c:v>4</c:v>
                </c:pt>
                <c:pt idx="2">
                  <c:v>4.4000000000000004</c:v>
                </c:pt>
                <c:pt idx="3">
                  <c:v>3.8</c:v>
                </c:pt>
                <c:pt idx="4">
                  <c:v>4.2</c:v>
                </c:pt>
                <c:pt idx="5">
                  <c:v>3</c:v>
                </c:pt>
                <c:pt idx="6">
                  <c:v>3</c:v>
                </c:pt>
                <c:pt idx="7">
                  <c:v>4</c:v>
                </c:pt>
                <c:pt idx="8">
                  <c:v>4.2</c:v>
                </c:pt>
                <c:pt idx="9">
                  <c:v>4</c:v>
                </c:pt>
                <c:pt idx="10">
                  <c:v>4.7</c:v>
                </c:pt>
                <c:pt idx="11">
                  <c:v>4.5999999999999996</c:v>
                </c:pt>
                <c:pt idx="12">
                  <c:v>4</c:v>
                </c:pt>
                <c:pt idx="13">
                  <c:v>4.5999999999999996</c:v>
                </c:pt>
                <c:pt idx="14">
                  <c:v>6</c:v>
                </c:pt>
                <c:pt idx="15">
                  <c:v>3.4</c:v>
                </c:pt>
                <c:pt idx="16">
                  <c:v>7.2</c:v>
                </c:pt>
                <c:pt idx="17">
                  <c:v>5</c:v>
                </c:pt>
                <c:pt idx="18">
                  <c:v>5.2</c:v>
                </c:pt>
                <c:pt idx="19">
                  <c:v>5.4</c:v>
                </c:pt>
                <c:pt idx="20">
                  <c:v>4.4000000000000004</c:v>
                </c:pt>
                <c:pt idx="21">
                  <c:v>3.8</c:v>
                </c:pt>
                <c:pt idx="22">
                  <c:v>3.8</c:v>
                </c:pt>
                <c:pt idx="23">
                  <c:v>4</c:v>
                </c:pt>
                <c:pt idx="24">
                  <c:v>4.5999999999999996</c:v>
                </c:pt>
                <c:pt idx="25">
                  <c:v>4</c:v>
                </c:pt>
                <c:pt idx="26">
                  <c:v>3.6</c:v>
                </c:pt>
                <c:pt idx="27">
                  <c:v>3.8</c:v>
                </c:pt>
                <c:pt idx="28">
                  <c:v>4</c:v>
                </c:pt>
                <c:pt idx="29">
                  <c:v>4</c:v>
                </c:pt>
                <c:pt idx="30">
                  <c:v>3.8</c:v>
                </c:pt>
                <c:pt idx="31">
                  <c:v>4</c:v>
                </c:pt>
              </c:numCache>
            </c:numRef>
          </c:yVal>
        </c:ser>
        <c:ser>
          <c:idx val="1"/>
          <c:order val="1"/>
          <c:tx>
            <c:v>no-wear flow</c:v>
          </c:tx>
          <c:spPr>
            <a:ln w="28575">
              <a:solidFill>
                <a:schemeClr val="tx1"/>
              </a:solidFill>
            </a:ln>
          </c:spPr>
          <c:marker>
            <c:symbol val="none"/>
          </c:marker>
          <c:xVal>
            <c:numRef>
              <c:f>IDStudyAppendixA!$CR$61:$CR$62</c:f>
              <c:numCache>
                <c:formatCode>General</c:formatCode>
                <c:ptCount val="2"/>
                <c:pt idx="0">
                  <c:v>1</c:v>
                </c:pt>
                <c:pt idx="1">
                  <c:v>32</c:v>
                </c:pt>
              </c:numCache>
            </c:numRef>
          </c:xVal>
          <c:yVal>
            <c:numRef>
              <c:f>IDStudyAppendixA!$CR$59:$CR$60</c:f>
              <c:numCache>
                <c:formatCode>General</c:formatCode>
                <c:ptCount val="2"/>
                <c:pt idx="0">
                  <c:v>3.3</c:v>
                </c:pt>
                <c:pt idx="1">
                  <c:v>3.3</c:v>
                </c:pt>
              </c:numCache>
            </c:numRef>
          </c:yVal>
        </c:ser>
        <c:axId val="49172864"/>
        <c:axId val="49174784"/>
      </c:scatterChart>
      <c:valAx>
        <c:axId val="49172864"/>
        <c:scaling>
          <c:orientation val="minMax"/>
        </c:scaling>
        <c:axPos val="b"/>
        <c:title>
          <c:tx>
            <c:rich>
              <a:bodyPr/>
              <a:lstStyle/>
              <a:p>
                <a:pPr>
                  <a:defRPr/>
                </a:pPr>
                <a:r>
                  <a:rPr lang="en-US"/>
                  <a:t>Nozzle  number</a:t>
                </a:r>
              </a:p>
            </c:rich>
          </c:tx>
        </c:title>
        <c:numFmt formatCode="General" sourceLinked="1"/>
        <c:tickLblPos val="nextTo"/>
        <c:crossAx val="49174784"/>
        <c:crosses val="autoZero"/>
        <c:crossBetween val="midCat"/>
      </c:valAx>
      <c:valAx>
        <c:axId val="49174784"/>
        <c:scaling>
          <c:orientation val="minMax"/>
        </c:scaling>
        <c:axPos val="l"/>
        <c:majorGridlines/>
        <c:title>
          <c:tx>
            <c:rich>
              <a:bodyPr rot="-5400000" vert="horz"/>
              <a:lstStyle/>
              <a:p>
                <a:pPr>
                  <a:defRPr/>
                </a:pPr>
                <a:r>
                  <a:rPr lang="en-US"/>
                  <a:t>Nozzle flow, gpm</a:t>
                </a:r>
              </a:p>
            </c:rich>
          </c:tx>
        </c:title>
        <c:numFmt formatCode="0.00" sourceLinked="1"/>
        <c:tickLblPos val="nextTo"/>
        <c:crossAx val="49172864"/>
        <c:crosses val="autoZero"/>
        <c:crossBetween val="midCat"/>
      </c:valAx>
    </c:plotArea>
    <c:legend>
      <c:legendPos val="b"/>
    </c:legend>
    <c:plotVisOnly val="1"/>
    <c:dispBlanksAs val="gap"/>
  </c:chart>
  <c:printSettings>
    <c:headerFooter/>
    <c:pageMargins b="0.75000000000000666" l="0.70000000000000062" r="0.70000000000000062" t="0.750000000000006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600" b="0"/>
            </a:pPr>
            <a:r>
              <a:rPr lang="en-US" sz="1600" b="0"/>
              <a:t>2-month old R2000</a:t>
            </a:r>
          </a:p>
        </c:rich>
      </c:tx>
    </c:title>
    <c:plotArea>
      <c:layout/>
      <c:scatterChart>
        <c:scatterStyle val="lineMarker"/>
        <c:ser>
          <c:idx val="0"/>
          <c:order val="0"/>
          <c:tx>
            <c:v>actual flow</c:v>
          </c:tx>
          <c:spPr>
            <a:ln w="28575">
              <a:noFill/>
            </a:ln>
          </c:spPr>
          <c:xVal>
            <c:numRef>
              <c:f>IDStudyAppendixA!$CC$8:$CC$44</c:f>
              <c:numCache>
                <c:formatCode>General</c:formatCode>
                <c:ptCount val="3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numCache>
            </c:numRef>
          </c:xVal>
          <c:yVal>
            <c:numRef>
              <c:f>IDStudyAppendixA!$CS$8:$CS$39</c:f>
              <c:numCache>
                <c:formatCode>0.00</c:formatCode>
                <c:ptCount val="3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4.0999999999999996</c:v>
                </c:pt>
                <c:pt idx="15">
                  <c:v>4</c:v>
                </c:pt>
                <c:pt idx="16">
                  <c:v>4</c:v>
                </c:pt>
                <c:pt idx="17">
                  <c:v>4.2</c:v>
                </c:pt>
                <c:pt idx="18">
                  <c:v>4</c:v>
                </c:pt>
                <c:pt idx="19">
                  <c:v>4</c:v>
                </c:pt>
                <c:pt idx="20">
                  <c:v>4</c:v>
                </c:pt>
                <c:pt idx="21">
                  <c:v>4</c:v>
                </c:pt>
                <c:pt idx="22">
                  <c:v>4</c:v>
                </c:pt>
                <c:pt idx="23">
                  <c:v>4</c:v>
                </c:pt>
                <c:pt idx="24">
                  <c:v>4</c:v>
                </c:pt>
                <c:pt idx="25">
                  <c:v>4</c:v>
                </c:pt>
                <c:pt idx="26">
                  <c:v>4</c:v>
                </c:pt>
                <c:pt idx="27">
                  <c:v>4</c:v>
                </c:pt>
                <c:pt idx="28">
                  <c:v>4</c:v>
                </c:pt>
                <c:pt idx="29">
                  <c:v>3.4</c:v>
                </c:pt>
                <c:pt idx="30">
                  <c:v>4</c:v>
                </c:pt>
                <c:pt idx="31">
                  <c:v>4</c:v>
                </c:pt>
              </c:numCache>
            </c:numRef>
          </c:yVal>
        </c:ser>
        <c:ser>
          <c:idx val="1"/>
          <c:order val="1"/>
          <c:tx>
            <c:v>no-wear flow</c:v>
          </c:tx>
          <c:spPr>
            <a:ln w="28575">
              <a:solidFill>
                <a:schemeClr val="tx1"/>
              </a:solidFill>
            </a:ln>
          </c:spPr>
          <c:marker>
            <c:symbol val="none"/>
          </c:marker>
          <c:xVal>
            <c:numRef>
              <c:f>IDStudyAppendixA!$CR$61:$CR$62</c:f>
              <c:numCache>
                <c:formatCode>General</c:formatCode>
                <c:ptCount val="2"/>
                <c:pt idx="0">
                  <c:v>1</c:v>
                </c:pt>
                <c:pt idx="1">
                  <c:v>32</c:v>
                </c:pt>
              </c:numCache>
            </c:numRef>
          </c:xVal>
          <c:yVal>
            <c:numRef>
              <c:f>IDStudyAppendixA!$CS$59:$CS$60</c:f>
              <c:numCache>
                <c:formatCode>General</c:formatCode>
                <c:ptCount val="2"/>
                <c:pt idx="0">
                  <c:v>4</c:v>
                </c:pt>
                <c:pt idx="1">
                  <c:v>4</c:v>
                </c:pt>
              </c:numCache>
            </c:numRef>
          </c:yVal>
        </c:ser>
        <c:axId val="49183360"/>
        <c:axId val="49201920"/>
      </c:scatterChart>
      <c:valAx>
        <c:axId val="49183360"/>
        <c:scaling>
          <c:orientation val="minMax"/>
        </c:scaling>
        <c:axPos val="b"/>
        <c:title>
          <c:tx>
            <c:rich>
              <a:bodyPr/>
              <a:lstStyle/>
              <a:p>
                <a:pPr>
                  <a:defRPr/>
                </a:pPr>
                <a:r>
                  <a:rPr lang="en-US"/>
                  <a:t>Nozzle  number</a:t>
                </a:r>
              </a:p>
            </c:rich>
          </c:tx>
        </c:title>
        <c:numFmt formatCode="General" sourceLinked="1"/>
        <c:tickLblPos val="nextTo"/>
        <c:crossAx val="49201920"/>
        <c:crosses val="autoZero"/>
        <c:crossBetween val="midCat"/>
      </c:valAx>
      <c:valAx>
        <c:axId val="49201920"/>
        <c:scaling>
          <c:orientation val="minMax"/>
        </c:scaling>
        <c:axPos val="l"/>
        <c:majorGridlines/>
        <c:title>
          <c:tx>
            <c:rich>
              <a:bodyPr rot="-5400000" vert="horz"/>
              <a:lstStyle/>
              <a:p>
                <a:pPr>
                  <a:defRPr/>
                </a:pPr>
                <a:r>
                  <a:rPr lang="en-US"/>
                  <a:t>Nozzle flow, gpm</a:t>
                </a:r>
              </a:p>
            </c:rich>
          </c:tx>
        </c:title>
        <c:numFmt formatCode="0.00" sourceLinked="1"/>
        <c:tickLblPos val="nextTo"/>
        <c:crossAx val="49183360"/>
        <c:crosses val="autoZero"/>
        <c:crossBetween val="midCat"/>
      </c:valAx>
    </c:plotArea>
    <c:legend>
      <c:legendPos val="b"/>
    </c:legend>
    <c:plotVisOnly val="1"/>
    <c:dispBlanksAs val="gap"/>
  </c:chart>
  <c:printSettings>
    <c:headerFooter/>
    <c:pageMargins b="0.75000000000000666" l="0.70000000000000062" r="0.70000000000000062" t="0.75000000000000666"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228600</xdr:colOff>
      <xdr:row>1</xdr:row>
      <xdr:rowOff>38100</xdr:rowOff>
    </xdr:from>
    <xdr:to>
      <xdr:col>11</xdr:col>
      <xdr:colOff>247650</xdr:colOff>
      <xdr:row>35</xdr:row>
      <xdr:rowOff>47625</xdr:rowOff>
    </xdr:to>
    <xdr:sp macro="" textlink="">
      <xdr:nvSpPr>
        <xdr:cNvPr id="2" name="TextBox 1"/>
        <xdr:cNvSpPr txBox="1"/>
      </xdr:nvSpPr>
      <xdr:spPr>
        <a:xfrm>
          <a:off x="228600" y="200025"/>
          <a:ext cx="6724650" cy="5514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t"/>
          <a:r>
            <a:rPr lang="en-US" sz="1100" b="1" i="0">
              <a:solidFill>
                <a:schemeClr val="dk1"/>
              </a:solidFill>
              <a:effectLst/>
              <a:latin typeface="+mn-lt"/>
              <a:ea typeface="+mn-ea"/>
              <a:cs typeface="+mn-cs"/>
            </a:rPr>
            <a:t>Rumsey, Rick</a:t>
          </a:r>
          <a:r>
            <a:rPr lang="en-US" sz="1100" b="0" i="0">
              <a:solidFill>
                <a:schemeClr val="dk1"/>
              </a:solidFill>
              <a:effectLst/>
              <a:latin typeface="+mn-lt"/>
              <a:ea typeface="+mn-ea"/>
              <a:cs typeface="+mn-cs"/>
            </a:rPr>
            <a:t> &lt;rrumsey@nexant.com&gt;</a:t>
          </a:r>
        </a:p>
        <a:p>
          <a:pPr fontAlgn="t"/>
          <a:r>
            <a:rPr lang="en-US" sz="1100" b="0" i="0">
              <a:solidFill>
                <a:schemeClr val="dk1"/>
              </a:solidFill>
              <a:effectLst/>
              <a:latin typeface="+mn-lt"/>
              <a:ea typeface="+mn-ea"/>
              <a:cs typeface="+mn-cs"/>
            </a:rPr>
            <a:t>12/29/09</a:t>
          </a:r>
        </a:p>
        <a:p>
          <a:r>
            <a:rPr lang="en-US" sz="1100" b="0" i="0">
              <a:solidFill>
                <a:schemeClr val="dk1"/>
              </a:solidFill>
              <a:effectLst/>
              <a:latin typeface="+mn-lt"/>
              <a:ea typeface="+mn-ea"/>
              <a:cs typeface="+mn-cs"/>
            </a:rPr>
            <a:t>to me, Dick</a:t>
          </a:r>
        </a:p>
        <a:p>
          <a:pPr rtl="0"/>
          <a:r>
            <a:rPr lang="en-US" sz="1100" b="0" i="0">
              <a:solidFill>
                <a:schemeClr val="dk1"/>
              </a:solidFill>
              <a:effectLst/>
              <a:latin typeface="+mn-lt"/>
              <a:ea typeface="+mn-ea"/>
              <a:cs typeface="+mn-cs"/>
            </a:rPr>
            <a:t>Adam,</a:t>
          </a:r>
        </a:p>
        <a:p>
          <a:pPr rtl="0"/>
          <a:r>
            <a:rPr lang="en-US" sz="1100" b="0" i="0">
              <a:solidFill>
                <a:schemeClr val="dk1"/>
              </a:solidFill>
              <a:effectLst/>
              <a:latin typeface="+mn-lt"/>
              <a:ea typeface="+mn-ea"/>
              <a:cs typeface="+mn-cs"/>
            </a:rPr>
            <a:t> </a:t>
          </a:r>
        </a:p>
        <a:p>
          <a:pPr rtl="0"/>
          <a:r>
            <a:rPr lang="en-US" sz="1100" b="0" i="0">
              <a:solidFill>
                <a:schemeClr val="dk1"/>
              </a:solidFill>
              <a:effectLst/>
              <a:latin typeface="+mn-lt"/>
              <a:ea typeface="+mn-ea"/>
              <a:cs typeface="+mn-cs"/>
            </a:rPr>
            <a:t>I just took another look at our estimate for leakage from the center pivot base boot gasket.  I have attached the document that Dennis referenced.  He was referencing Figure 2 when we were doing the calculations.  Some of our assumptions were wrong when we were doing the calculations.  I am trying to use this as base for our program recommendations for Rocky Mountain Power so I went through the report and calculations again.  My new assumptions are below.  Please check it over Dick and make sure I haven’t missed anything.</a:t>
          </a:r>
        </a:p>
        <a:p>
          <a:pPr rtl="0"/>
          <a:r>
            <a:rPr lang="en-US" sz="1100" b="0" i="0">
              <a:solidFill>
                <a:schemeClr val="dk1"/>
              </a:solidFill>
              <a:effectLst/>
              <a:latin typeface="+mn-lt"/>
              <a:ea typeface="+mn-ea"/>
              <a:cs typeface="+mn-cs"/>
            </a:rPr>
            <a:t> </a:t>
          </a:r>
        </a:p>
        <a:p>
          <a:pPr rtl="0"/>
          <a:r>
            <a:rPr lang="en-US" sz="1100" b="0" i="0">
              <a:solidFill>
                <a:schemeClr val="dk1"/>
              </a:solidFill>
              <a:effectLst/>
              <a:latin typeface="+mn-lt"/>
              <a:ea typeface="+mn-ea"/>
              <a:cs typeface="+mn-cs"/>
            </a:rPr>
            <a:t>·         The leaking gasket is not a pivot base boot gasket but is a tower gasket on the first tower.</a:t>
          </a:r>
        </a:p>
        <a:p>
          <a:pPr rtl="0"/>
          <a:r>
            <a:rPr lang="en-US" sz="1100" b="0" i="0">
              <a:solidFill>
                <a:schemeClr val="dk1"/>
              </a:solidFill>
              <a:effectLst/>
              <a:latin typeface="+mn-lt"/>
              <a:ea typeface="+mn-ea"/>
              <a:cs typeface="+mn-cs"/>
            </a:rPr>
            <a:t>·         There are 11 catch cans from a radius of 100 feet to 200 feet resulting in about a 10 foot spacing between cans.</a:t>
          </a:r>
        </a:p>
        <a:p>
          <a:pPr rtl="0"/>
          <a:r>
            <a:rPr lang="en-US" sz="1100" b="0" i="0">
              <a:solidFill>
                <a:schemeClr val="dk1"/>
              </a:solidFill>
              <a:effectLst/>
              <a:latin typeface="+mn-lt"/>
              <a:ea typeface="+mn-ea"/>
              <a:cs typeface="+mn-cs"/>
            </a:rPr>
            <a:t>·         The application depth near the leak was 2.9 inches and the average application depth in the first tower was about 0.7 inches resulting in 2.2 inches of over application.</a:t>
          </a:r>
        </a:p>
        <a:p>
          <a:pPr rtl="0"/>
          <a:r>
            <a:rPr lang="en-US" sz="1100" b="0" i="0">
              <a:solidFill>
                <a:schemeClr val="dk1"/>
              </a:solidFill>
              <a:effectLst/>
              <a:latin typeface="+mn-lt"/>
              <a:ea typeface="+mn-ea"/>
              <a:cs typeface="+mn-cs"/>
            </a:rPr>
            <a:t>·         I assumed the application area is the area between a radius of about 170 feet and 160 feet (10,367 square feet).</a:t>
          </a:r>
        </a:p>
        <a:p>
          <a:pPr rtl="0"/>
          <a:r>
            <a:rPr lang="en-US" sz="1100" b="0" i="0">
              <a:solidFill>
                <a:schemeClr val="dk1"/>
              </a:solidFill>
              <a:effectLst/>
              <a:latin typeface="+mn-lt"/>
              <a:ea typeface="+mn-ea"/>
              <a:cs typeface="+mn-cs"/>
            </a:rPr>
            <a:t>·         I assumed a pivot rotation time of 24 hours, it is not specified in the report.</a:t>
          </a:r>
        </a:p>
        <a:p>
          <a:pPr rtl="0"/>
          <a:r>
            <a:rPr lang="en-US" sz="1100" b="0" i="0">
              <a:solidFill>
                <a:schemeClr val="dk1"/>
              </a:solidFill>
              <a:effectLst/>
              <a:latin typeface="+mn-lt"/>
              <a:ea typeface="+mn-ea"/>
              <a:cs typeface="+mn-cs"/>
            </a:rPr>
            <a:t>·         Based on these assumptions I calculated an average leak rate for the tower gasket of about 10 gpm.</a:t>
          </a:r>
        </a:p>
        <a:p>
          <a:pPr rtl="0"/>
          <a:r>
            <a:rPr lang="en-US" sz="1100" b="0" i="0">
              <a:solidFill>
                <a:schemeClr val="dk1"/>
              </a:solidFill>
              <a:effectLst/>
              <a:latin typeface="+mn-lt"/>
              <a:ea typeface="+mn-ea"/>
              <a:cs typeface="+mn-cs"/>
            </a:rPr>
            <a:t> </a:t>
          </a:r>
        </a:p>
        <a:p>
          <a:pPr rtl="0"/>
          <a:r>
            <a:rPr lang="en-US" sz="1100" b="0" i="0">
              <a:solidFill>
                <a:schemeClr val="dk1"/>
              </a:solidFill>
              <a:effectLst/>
              <a:latin typeface="+mn-lt"/>
              <a:ea typeface="+mn-ea"/>
              <a:cs typeface="+mn-cs"/>
            </a:rPr>
            <a:t>Our assumption of 30 gpm at the center pivot base might be correct, but I don’t think we can base it on this study.  Thanks.</a:t>
          </a:r>
        </a:p>
        <a:p>
          <a:pPr rtl="0"/>
          <a:r>
            <a:rPr lang="en-US" sz="1100" b="0" i="0">
              <a:solidFill>
                <a:schemeClr val="dk1"/>
              </a:solidFill>
              <a:effectLst/>
              <a:latin typeface="+mn-lt"/>
              <a:ea typeface="+mn-ea"/>
              <a:cs typeface="+mn-cs"/>
            </a:rPr>
            <a:t> </a:t>
          </a:r>
        </a:p>
        <a:p>
          <a:pPr rtl="0"/>
          <a:r>
            <a:rPr lang="en-US" sz="1100" b="0" i="0">
              <a:solidFill>
                <a:schemeClr val="dk1"/>
              </a:solidFill>
              <a:effectLst/>
              <a:latin typeface="+mn-lt"/>
              <a:ea typeface="+mn-ea"/>
              <a:cs typeface="+mn-cs"/>
            </a:rPr>
            <a:t>Rick</a:t>
          </a:r>
        </a:p>
        <a:p>
          <a:pPr rtl="0"/>
          <a:r>
            <a:rPr lang="en-US" sz="1100" b="0" i="0">
              <a:solidFill>
                <a:schemeClr val="dk1"/>
              </a:solidFill>
              <a:effectLst/>
              <a:latin typeface="+mn-lt"/>
              <a:ea typeface="+mn-ea"/>
              <a:cs typeface="+mn-cs"/>
            </a:rPr>
            <a:t> </a:t>
          </a:r>
        </a:p>
        <a:p>
          <a:pPr rtl="0"/>
          <a:r>
            <a:rPr lang="en-US" sz="1100" b="0" i="0">
              <a:solidFill>
                <a:schemeClr val="dk1"/>
              </a:solidFill>
              <a:effectLst/>
              <a:latin typeface="+mn-lt"/>
              <a:ea typeface="+mn-ea"/>
              <a:cs typeface="+mn-cs"/>
            </a:rPr>
            <a:t>Rick Rumsey, P.E.</a:t>
          </a:r>
        </a:p>
        <a:p>
          <a:pPr rtl="0"/>
          <a:r>
            <a:rPr lang="en-US" sz="1100" b="0" i="0">
              <a:solidFill>
                <a:schemeClr val="dk1"/>
              </a:solidFill>
              <a:effectLst/>
              <a:latin typeface="+mn-lt"/>
              <a:ea typeface="+mn-ea"/>
              <a:cs typeface="+mn-cs"/>
            </a:rPr>
            <a:t>Sr. Project Engineer</a:t>
          </a:r>
        </a:p>
        <a:p>
          <a:pPr rtl="0"/>
          <a:r>
            <a:rPr lang="en-US" sz="1100" b="0" i="0">
              <a:solidFill>
                <a:schemeClr val="dk1"/>
              </a:solidFill>
              <a:effectLst/>
              <a:latin typeface="+mn-lt"/>
              <a:ea typeface="+mn-ea"/>
              <a:cs typeface="+mn-cs"/>
            </a:rPr>
            <a:t>Nexant, Inc.</a:t>
          </a:r>
        </a:p>
        <a:p>
          <a:pPr rtl="0"/>
          <a:r>
            <a:rPr lang="en-US" sz="1100" b="0" i="0">
              <a:solidFill>
                <a:schemeClr val="dk1"/>
              </a:solidFill>
              <a:effectLst/>
              <a:latin typeface="+mn-lt"/>
              <a:ea typeface="+mn-ea"/>
              <a:cs typeface="+mn-cs"/>
              <a:hlinkClick xmlns:r="http://schemas.openxmlformats.org/officeDocument/2006/relationships" r:id=""/>
            </a:rPr>
            <a:t>(208) 221-5138</a:t>
          </a:r>
          <a:endParaRPr lang="en-US" sz="1100" b="0" i="0">
            <a:solidFill>
              <a:schemeClr val="dk1"/>
            </a:solidFill>
            <a:effectLst/>
            <a:latin typeface="+mn-lt"/>
            <a:ea typeface="+mn-ea"/>
            <a:cs typeface="+mn-cs"/>
          </a:endParaRPr>
        </a:p>
        <a:p>
          <a:endParaRPr lang="en-US" sz="1100"/>
        </a:p>
      </xdr:txBody>
    </xdr:sp>
    <xdr:clientData/>
  </xdr:twoCellAnchor>
  <xdr:twoCellAnchor>
    <xdr:from>
      <xdr:col>0</xdr:col>
      <xdr:colOff>217714</xdr:colOff>
      <xdr:row>36</xdr:row>
      <xdr:rowOff>122464</xdr:rowOff>
    </xdr:from>
    <xdr:to>
      <xdr:col>5</xdr:col>
      <xdr:colOff>515371</xdr:colOff>
      <xdr:row>59</xdr:row>
      <xdr:rowOff>63953</xdr:rowOff>
    </xdr:to>
    <xdr:sp macro="" textlink="">
      <xdr:nvSpPr>
        <xdr:cNvPr id="3" name="TextBox 2"/>
        <xdr:cNvSpPr txBox="1"/>
      </xdr:nvSpPr>
      <xdr:spPr>
        <a:xfrm>
          <a:off x="217714" y="5951764"/>
          <a:ext cx="3345657" cy="36657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Email from Rick Rumsey, 9/17/2010</a:t>
          </a:r>
        </a:p>
        <a:p>
          <a:endParaRPr lang="en-US" sz="1100"/>
        </a:p>
        <a:p>
          <a:r>
            <a:rPr lang="en-US" sz="1100"/>
            <a:t>"</a:t>
          </a:r>
          <a:r>
            <a:rPr lang="en-US" sz="1100">
              <a:solidFill>
                <a:schemeClr val="dk1"/>
              </a:solidFill>
              <a:latin typeface="+mn-lt"/>
              <a:ea typeface="+mn-ea"/>
              <a:cs typeface="+mn-cs"/>
            </a:rPr>
            <a:t>The leakage per joint was not needed for this report so it was not explicitly presented in the report.  I just looked at total savings and presented it on a per line basis.  The original system leakage was 35.9 gpm/line and the leakage after the installation of the new hubs was 3.0 gpm/line.  There are 32 joints per line so the leakage per joint is calculated as (35.9-3.0)/32 = 1.0 gpm/joint.  There were two other systems that we looked at, but the projects have not been installed and finalized yet for those systems.</a:t>
          </a:r>
        </a:p>
        <a:p>
          <a:r>
            <a:rPr lang="en-US" sz="1100">
              <a:solidFill>
                <a:schemeClr val="dk1"/>
              </a:solidFill>
              <a:latin typeface="+mn-lt"/>
              <a:ea typeface="+mn-ea"/>
              <a:cs typeface="+mn-cs"/>
            </a:rPr>
            <a:t> </a:t>
          </a:r>
        </a:p>
        <a:p>
          <a:r>
            <a:rPr lang="en-US" sz="1100">
              <a:solidFill>
                <a:schemeClr val="dk1"/>
              </a:solidFill>
              <a:latin typeface="+mn-lt"/>
              <a:ea typeface="+mn-ea"/>
              <a:cs typeface="+mn-cs"/>
            </a:rPr>
            <a:t>I am not sure how the information was presented in the report for pivot packages.  Our base assumption is that a worn pivot package applies about 1 gpm/acre more than the original design.  We verified that on one project that we completed flow tests on.  That is the information that I shared with the RTF subcommittee. .." </a:t>
          </a:r>
          <a:endParaRPr lang="en-US" sz="1100"/>
        </a:p>
      </xdr:txBody>
    </xdr:sp>
    <xdr:clientData/>
  </xdr:twoCellAnchor>
  <xdr:oneCellAnchor>
    <xdr:from>
      <xdr:col>0</xdr:col>
      <xdr:colOff>142875</xdr:colOff>
      <xdr:row>63</xdr:row>
      <xdr:rowOff>47625</xdr:rowOff>
    </xdr:from>
    <xdr:ext cx="8948737" cy="3613717"/>
    <xdr:pic>
      <xdr:nvPicPr>
        <xdr:cNvPr id="4" name="Picture 70"/>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42875" y="10248900"/>
          <a:ext cx="8948737" cy="36137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0</xdr:col>
      <xdr:colOff>133350</xdr:colOff>
      <xdr:row>89</xdr:row>
      <xdr:rowOff>76200</xdr:rowOff>
    </xdr:from>
    <xdr:ext cx="3364026" cy="1353911"/>
    <xdr:pic>
      <xdr:nvPicPr>
        <xdr:cNvPr id="5" name="Picture 60"/>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33350" y="14487525"/>
          <a:ext cx="3364026" cy="135391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twoCellAnchor>
    <xdr:from>
      <xdr:col>0</xdr:col>
      <xdr:colOff>0</xdr:colOff>
      <xdr:row>101</xdr:row>
      <xdr:rowOff>0</xdr:rowOff>
    </xdr:from>
    <xdr:to>
      <xdr:col>9</xdr:col>
      <xdr:colOff>66676</xdr:colOff>
      <xdr:row>127</xdr:row>
      <xdr:rowOff>57151</xdr:rowOff>
    </xdr:to>
    <xdr:grpSp>
      <xdr:nvGrpSpPr>
        <xdr:cNvPr id="6" name="Group 8"/>
        <xdr:cNvGrpSpPr>
          <a:grpSpLocks/>
        </xdr:cNvGrpSpPr>
      </xdr:nvGrpSpPr>
      <xdr:grpSpPr bwMode="auto">
        <a:xfrm>
          <a:off x="0" y="16354425"/>
          <a:ext cx="5553076" cy="4267201"/>
          <a:chOff x="31396109" y="9268990"/>
          <a:chExt cx="5567073" cy="4382221"/>
        </a:xfrm>
      </xdr:grpSpPr>
      <xdr:sp macro="" textlink="">
        <xdr:nvSpPr>
          <xdr:cNvPr id="7" name="TextBox 6"/>
          <xdr:cNvSpPr txBox="1"/>
        </xdr:nvSpPr>
        <xdr:spPr>
          <a:xfrm>
            <a:off x="31396109" y="9268990"/>
            <a:ext cx="5567073" cy="4382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0" i="0">
                <a:solidFill>
                  <a:schemeClr val="dk1"/>
                </a:solidFill>
                <a:latin typeface="+mn-lt"/>
                <a:ea typeface="+mn-ea"/>
                <a:cs typeface="+mn-cs"/>
              </a:rPr>
              <a:t>From: </a:t>
            </a:r>
            <a:r>
              <a:rPr lang="en-US" sz="1000" b="1" i="0">
                <a:solidFill>
                  <a:schemeClr val="dk1"/>
                </a:solidFill>
                <a:latin typeface="+mn-lt"/>
                <a:ea typeface="+mn-ea"/>
                <a:cs typeface="+mn-cs"/>
              </a:rPr>
              <a:t>Nesbitt, Quentin</a:t>
            </a:r>
            <a:r>
              <a:rPr lang="en-US" sz="1000" b="0" i="0">
                <a:solidFill>
                  <a:schemeClr val="dk1"/>
                </a:solidFill>
                <a:latin typeface="+mn-lt"/>
                <a:ea typeface="+mn-ea"/>
                <a:cs typeface="+mn-cs"/>
              </a:rPr>
              <a:t> &lt;QNesbitt@idahopower.com&gt;</a:t>
            </a:r>
            <a:br>
              <a:rPr lang="en-US" sz="1000" b="0" i="0">
                <a:solidFill>
                  <a:schemeClr val="dk1"/>
                </a:solidFill>
                <a:latin typeface="+mn-lt"/>
                <a:ea typeface="+mn-ea"/>
                <a:cs typeface="+mn-cs"/>
              </a:rPr>
            </a:br>
            <a:r>
              <a:rPr lang="en-US" sz="1000" b="0" i="0">
                <a:solidFill>
                  <a:schemeClr val="dk1"/>
                </a:solidFill>
                <a:latin typeface="+mn-lt"/>
                <a:ea typeface="+mn-ea"/>
                <a:cs typeface="+mn-cs"/>
              </a:rPr>
              <a:t>Date: Thu, Mar 25, 2010 at 4:52 PM</a:t>
            </a:r>
            <a:br>
              <a:rPr lang="en-US" sz="1000" b="0" i="0">
                <a:solidFill>
                  <a:schemeClr val="dk1"/>
                </a:solidFill>
                <a:latin typeface="+mn-lt"/>
                <a:ea typeface="+mn-ea"/>
                <a:cs typeface="+mn-cs"/>
              </a:rPr>
            </a:br>
            <a:r>
              <a:rPr lang="en-US" sz="1000" b="0" i="0">
                <a:solidFill>
                  <a:schemeClr val="dk1"/>
                </a:solidFill>
                <a:latin typeface="+mn-lt"/>
                <a:ea typeface="+mn-ea"/>
                <a:cs typeface="+mn-cs"/>
              </a:rPr>
              <a:t>Subject: RE: Follow-up on Irrigation Hardware savings</a:t>
            </a:r>
            <a:br>
              <a:rPr lang="en-US" sz="1000" b="0" i="0">
                <a:solidFill>
                  <a:schemeClr val="dk1"/>
                </a:solidFill>
                <a:latin typeface="+mn-lt"/>
                <a:ea typeface="+mn-ea"/>
                <a:cs typeface="+mn-cs"/>
              </a:rPr>
            </a:br>
            <a:r>
              <a:rPr lang="en-US" sz="1000" b="0" i="0">
                <a:solidFill>
                  <a:schemeClr val="dk1"/>
                </a:solidFill>
                <a:latin typeface="+mn-lt"/>
                <a:ea typeface="+mn-ea"/>
                <a:cs typeface="+mn-cs"/>
              </a:rPr>
              <a:t>To: Adam Hadley &lt;adam@hadleyenergy.com&gt;</a:t>
            </a:r>
            <a:br>
              <a:rPr lang="en-US" sz="1000" b="0" i="0">
                <a:solidFill>
                  <a:schemeClr val="dk1"/>
                </a:solidFill>
                <a:latin typeface="+mn-lt"/>
                <a:ea typeface="+mn-ea"/>
                <a:cs typeface="+mn-cs"/>
              </a:rPr>
            </a:br>
            <a:r>
              <a:rPr lang="en-US" sz="1000" b="0" i="0">
                <a:solidFill>
                  <a:schemeClr val="dk1"/>
                </a:solidFill>
                <a:latin typeface="+mn-lt"/>
                <a:ea typeface="+mn-ea"/>
                <a:cs typeface="+mn-cs"/>
              </a:rPr>
              <a:t/>
            </a:r>
            <a:br>
              <a:rPr lang="en-US" sz="1000" b="0" i="0">
                <a:solidFill>
                  <a:schemeClr val="dk1"/>
                </a:solidFill>
                <a:latin typeface="+mn-lt"/>
                <a:ea typeface="+mn-ea"/>
                <a:cs typeface="+mn-cs"/>
              </a:rPr>
            </a:br>
            <a:r>
              <a:rPr lang="en-US" sz="1000" b="0" i="0">
                <a:solidFill>
                  <a:schemeClr val="dk1"/>
                </a:solidFill>
                <a:latin typeface="+mn-lt"/>
                <a:ea typeface="+mn-ea"/>
                <a:cs typeface="+mn-cs"/>
              </a:rPr>
              <a:t/>
            </a:r>
            <a:br>
              <a:rPr lang="en-US" sz="1000" b="0" i="0">
                <a:solidFill>
                  <a:schemeClr val="dk1"/>
                </a:solidFill>
                <a:latin typeface="+mn-lt"/>
                <a:ea typeface="+mn-ea"/>
                <a:cs typeface="+mn-cs"/>
              </a:rPr>
            </a:br>
            <a:r>
              <a:rPr lang="en-US" sz="1000" b="0" i="0">
                <a:solidFill>
                  <a:schemeClr val="dk1"/>
                </a:solidFill>
                <a:latin typeface="+mn-lt"/>
                <a:ea typeface="+mn-ea"/>
                <a:cs typeface="+mn-cs"/>
              </a:rPr>
              <a:t>Adam,</a:t>
            </a:r>
          </a:p>
          <a:p>
            <a:r>
              <a:rPr lang="en-US" sz="1000" b="0" i="0">
                <a:solidFill>
                  <a:schemeClr val="dk1"/>
                </a:solidFill>
                <a:latin typeface="+mn-lt"/>
                <a:ea typeface="+mn-ea"/>
                <a:cs typeface="+mn-cs"/>
              </a:rPr>
              <a:t>See attachment.  I did the all irrigation customer by month kWh/kW to get the hours.  I Came out around 1600 hrs.  I thought it might be closer to 2000.  The other data is just a educated guess.</a:t>
            </a:r>
          </a:p>
          <a:p>
            <a:r>
              <a:rPr lang="en-US" sz="1000" b="0" i="0">
                <a:solidFill>
                  <a:schemeClr val="dk1"/>
                </a:solidFill>
                <a:latin typeface="+mn-lt"/>
                <a:ea typeface="+mn-ea"/>
                <a:cs typeface="+mn-cs"/>
              </a:rPr>
              <a:t> </a:t>
            </a:r>
          </a:p>
          <a:p>
            <a:r>
              <a:rPr lang="en-US" sz="1000" b="0" i="0">
                <a:solidFill>
                  <a:schemeClr val="dk1"/>
                </a:solidFill>
                <a:latin typeface="+mn-lt"/>
                <a:ea typeface="+mn-ea"/>
                <a:cs typeface="+mn-cs"/>
              </a:rPr>
              <a:t>Quentin</a:t>
            </a:r>
          </a:p>
          <a:p>
            <a:r>
              <a:rPr lang="en-US" sz="1100" b="0" i="0">
                <a:solidFill>
                  <a:schemeClr val="dk1"/>
                </a:solidFill>
                <a:latin typeface="+mn-lt"/>
                <a:ea typeface="+mn-ea"/>
                <a:cs typeface="+mn-cs"/>
              </a:rPr>
              <a:t/>
            </a:r>
            <a:br>
              <a:rPr lang="en-US" sz="1100" b="0" i="0">
                <a:solidFill>
                  <a:schemeClr val="dk1"/>
                </a:solidFill>
                <a:latin typeface="+mn-lt"/>
                <a:ea typeface="+mn-ea"/>
                <a:cs typeface="+mn-cs"/>
              </a:rPr>
            </a:br>
            <a:endParaRPr lang="en-US" sz="1100"/>
          </a:p>
          <a:p>
            <a:endParaRPr lang="en-US" sz="1100"/>
          </a:p>
          <a:p>
            <a:endParaRPr lang="en-US" sz="1100"/>
          </a:p>
          <a:p>
            <a:endParaRPr lang="en-US" sz="1100"/>
          </a:p>
        </xdr:txBody>
      </xdr:sp>
      <xdr:pic>
        <xdr:nvPicPr>
          <xdr:cNvPr id="8" name="Picture 34"/>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l="8325" t="25780" r="18137" b="49245"/>
          <a:stretch>
            <a:fillRect/>
          </a:stretch>
        </xdr:blipFill>
        <xdr:spPr bwMode="auto">
          <a:xfrm>
            <a:off x="31410132" y="11882439"/>
            <a:ext cx="5408324" cy="132518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grpSp>
    <xdr:clientData/>
  </xdr:twoCellAnchor>
  <xdr:twoCellAnchor>
    <xdr:from>
      <xdr:col>0</xdr:col>
      <xdr:colOff>0</xdr:colOff>
      <xdr:row>130</xdr:row>
      <xdr:rowOff>0</xdr:rowOff>
    </xdr:from>
    <xdr:to>
      <xdr:col>7</xdr:col>
      <xdr:colOff>246351</xdr:colOff>
      <xdr:row>156</xdr:row>
      <xdr:rowOff>35069</xdr:rowOff>
    </xdr:to>
    <xdr:sp macro="" textlink="">
      <xdr:nvSpPr>
        <xdr:cNvPr id="9" name="TextBox 8"/>
        <xdr:cNvSpPr txBox="1"/>
      </xdr:nvSpPr>
      <xdr:spPr>
        <a:xfrm>
          <a:off x="0" y="21050250"/>
          <a:ext cx="4513551" cy="424511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0" i="0">
              <a:solidFill>
                <a:schemeClr val="dk1"/>
              </a:solidFill>
              <a:latin typeface="+mn-lt"/>
              <a:ea typeface="+mn-ea"/>
              <a:cs typeface="+mn-cs"/>
            </a:rPr>
            <a:t>From: </a:t>
          </a:r>
          <a:r>
            <a:rPr lang="en-US" sz="700" b="1" i="0">
              <a:solidFill>
                <a:schemeClr val="dk1"/>
              </a:solidFill>
              <a:latin typeface="+mn-lt"/>
              <a:ea typeface="+mn-ea"/>
              <a:cs typeface="+mn-cs"/>
            </a:rPr>
            <a:t>Rumsey, Rick</a:t>
          </a:r>
          <a:r>
            <a:rPr lang="en-US" sz="700" b="0" i="0">
              <a:solidFill>
                <a:schemeClr val="dk1"/>
              </a:solidFill>
              <a:latin typeface="+mn-lt"/>
              <a:ea typeface="+mn-ea"/>
              <a:cs typeface="+mn-cs"/>
            </a:rPr>
            <a:t> &lt;rrumsey@nexant.com&gt;</a:t>
          </a:r>
          <a:br>
            <a:rPr lang="en-US" sz="700" b="0" i="0">
              <a:solidFill>
                <a:schemeClr val="dk1"/>
              </a:solidFill>
              <a:latin typeface="+mn-lt"/>
              <a:ea typeface="+mn-ea"/>
              <a:cs typeface="+mn-cs"/>
            </a:rPr>
          </a:br>
          <a:r>
            <a:rPr lang="en-US" sz="700" b="0" i="0">
              <a:solidFill>
                <a:schemeClr val="dk1"/>
              </a:solidFill>
              <a:latin typeface="+mn-lt"/>
              <a:ea typeface="+mn-ea"/>
              <a:cs typeface="+mn-cs"/>
            </a:rPr>
            <a:t>Date: Fri, Mar 19, 2010 at 1:00 PM</a:t>
          </a:r>
          <a:br>
            <a:rPr lang="en-US" sz="700" b="0" i="0">
              <a:solidFill>
                <a:schemeClr val="dk1"/>
              </a:solidFill>
              <a:latin typeface="+mn-lt"/>
              <a:ea typeface="+mn-ea"/>
              <a:cs typeface="+mn-cs"/>
            </a:rPr>
          </a:br>
          <a:r>
            <a:rPr lang="en-US" sz="700" b="0" i="0">
              <a:solidFill>
                <a:schemeClr val="dk1"/>
              </a:solidFill>
              <a:latin typeface="+mn-lt"/>
              <a:ea typeface="+mn-ea"/>
              <a:cs typeface="+mn-cs"/>
            </a:rPr>
            <a:t>Subject: RE: Rocky Mt Power Irrigation Data</a:t>
          </a:r>
          <a:br>
            <a:rPr lang="en-US" sz="700" b="0" i="0">
              <a:solidFill>
                <a:schemeClr val="dk1"/>
              </a:solidFill>
              <a:latin typeface="+mn-lt"/>
              <a:ea typeface="+mn-ea"/>
              <a:cs typeface="+mn-cs"/>
            </a:rPr>
          </a:br>
          <a:r>
            <a:rPr lang="en-US" sz="700" b="0" i="0">
              <a:solidFill>
                <a:schemeClr val="dk1"/>
              </a:solidFill>
              <a:latin typeface="+mn-lt"/>
              <a:ea typeface="+mn-ea"/>
              <a:cs typeface="+mn-cs"/>
            </a:rPr>
            <a:t>To: Adam Hadley &lt;adam@hadleyenergy.com&gt;</a:t>
          </a:r>
          <a:br>
            <a:rPr lang="en-US" sz="700" b="0" i="0">
              <a:solidFill>
                <a:schemeClr val="dk1"/>
              </a:solidFill>
              <a:latin typeface="+mn-lt"/>
              <a:ea typeface="+mn-ea"/>
              <a:cs typeface="+mn-cs"/>
            </a:rPr>
          </a:br>
          <a:r>
            <a:rPr lang="en-US" sz="700" b="0" i="0">
              <a:solidFill>
                <a:schemeClr val="dk1"/>
              </a:solidFill>
              <a:latin typeface="+mn-lt"/>
              <a:ea typeface="+mn-ea"/>
              <a:cs typeface="+mn-cs"/>
            </a:rPr>
            <a:t>Cc: "Gallinger, Hallie" &lt;Hallie.Gallinger@pacificorp.com&gt;</a:t>
          </a:r>
          <a:br>
            <a:rPr lang="en-US" sz="700" b="0" i="0">
              <a:solidFill>
                <a:schemeClr val="dk1"/>
              </a:solidFill>
              <a:latin typeface="+mn-lt"/>
              <a:ea typeface="+mn-ea"/>
              <a:cs typeface="+mn-cs"/>
            </a:rPr>
          </a:br>
          <a:r>
            <a:rPr lang="en-US" sz="700" b="0" i="0">
              <a:solidFill>
                <a:schemeClr val="dk1"/>
              </a:solidFill>
              <a:latin typeface="+mn-lt"/>
              <a:ea typeface="+mn-ea"/>
              <a:cs typeface="+mn-cs"/>
            </a:rPr>
            <a:t/>
          </a:r>
          <a:br>
            <a:rPr lang="en-US" sz="700" b="0" i="0">
              <a:solidFill>
                <a:schemeClr val="dk1"/>
              </a:solidFill>
              <a:latin typeface="+mn-lt"/>
              <a:ea typeface="+mn-ea"/>
              <a:cs typeface="+mn-cs"/>
            </a:rPr>
          </a:br>
          <a:r>
            <a:rPr lang="en-US" sz="700" b="0" i="0">
              <a:solidFill>
                <a:schemeClr val="dk1"/>
              </a:solidFill>
              <a:latin typeface="+mn-lt"/>
              <a:ea typeface="+mn-ea"/>
              <a:cs typeface="+mn-cs"/>
            </a:rPr>
            <a:t>Adam,</a:t>
          </a:r>
        </a:p>
        <a:p>
          <a:r>
            <a:rPr lang="en-US" sz="700" b="0" i="0">
              <a:solidFill>
                <a:schemeClr val="dk1"/>
              </a:solidFill>
              <a:latin typeface="+mn-lt"/>
              <a:ea typeface="+mn-ea"/>
              <a:cs typeface="+mn-cs"/>
            </a:rPr>
            <a:t>I looked back at the spreadsheet.  We had lift information for 92 projects and 29 of the 92 were surface water projects.  I don’t think that is indicative of the total percentage, those are just the systems that we looked at.  Generally those pumping from wells are paying more for their water so they are more interested in energy efficiency.  In the spreadsheet the average lift for the surface systems that we looked at was 6 feet and the average lift for the well systems was 216 feet.  I hope that helps.  Thanks.</a:t>
          </a:r>
        </a:p>
        <a:p>
          <a:r>
            <a:rPr lang="en-US" sz="700" b="0" i="0">
              <a:solidFill>
                <a:schemeClr val="dk1"/>
              </a:solidFill>
              <a:latin typeface="+mn-lt"/>
              <a:ea typeface="+mn-ea"/>
              <a:cs typeface="+mn-cs"/>
            </a:rPr>
            <a:t>Rick</a:t>
          </a:r>
        </a:p>
        <a:p>
          <a:r>
            <a:rPr lang="en-US" sz="700" b="0" i="0">
              <a:solidFill>
                <a:schemeClr val="dk1"/>
              </a:solidFill>
              <a:latin typeface="+mn-lt"/>
              <a:ea typeface="+mn-ea"/>
              <a:cs typeface="+mn-cs"/>
            </a:rPr>
            <a:t> </a:t>
          </a:r>
        </a:p>
        <a:p>
          <a:r>
            <a:rPr lang="en-US" sz="700" b="1" i="0">
              <a:solidFill>
                <a:schemeClr val="dk1"/>
              </a:solidFill>
              <a:latin typeface="+mn-lt"/>
              <a:ea typeface="+mn-ea"/>
              <a:cs typeface="+mn-cs"/>
            </a:rPr>
            <a:t>From:</a:t>
          </a:r>
          <a:r>
            <a:rPr lang="en-US" sz="700" b="0" i="0">
              <a:solidFill>
                <a:schemeClr val="dk1"/>
              </a:solidFill>
              <a:latin typeface="+mn-lt"/>
              <a:ea typeface="+mn-ea"/>
              <a:cs typeface="+mn-cs"/>
            </a:rPr>
            <a:t> Adam Hadley [mailto:</a:t>
          </a:r>
          <a:r>
            <a:rPr lang="en-US" sz="700" b="0" i="0">
              <a:solidFill>
                <a:schemeClr val="dk1"/>
              </a:solidFill>
              <a:latin typeface="+mn-lt"/>
              <a:ea typeface="+mn-ea"/>
              <a:cs typeface="+mn-cs"/>
              <a:hlinkClick xmlns:r="http://schemas.openxmlformats.org/officeDocument/2006/relationships" r:id=""/>
            </a:rPr>
            <a:t>adam@hadleyenergy.com</a:t>
          </a:r>
          <a:r>
            <a:rPr lang="en-US" sz="700" b="0" i="0">
              <a:solidFill>
                <a:schemeClr val="dk1"/>
              </a:solidFill>
              <a:latin typeface="+mn-lt"/>
              <a:ea typeface="+mn-ea"/>
              <a:cs typeface="+mn-cs"/>
            </a:rPr>
            <a:t>] </a:t>
          </a:r>
          <a:br>
            <a:rPr lang="en-US" sz="700" b="0" i="0">
              <a:solidFill>
                <a:schemeClr val="dk1"/>
              </a:solidFill>
              <a:latin typeface="+mn-lt"/>
              <a:ea typeface="+mn-ea"/>
              <a:cs typeface="+mn-cs"/>
            </a:rPr>
          </a:br>
          <a:r>
            <a:rPr lang="en-US" sz="700" b="1" i="0">
              <a:solidFill>
                <a:schemeClr val="dk1"/>
              </a:solidFill>
              <a:latin typeface="+mn-lt"/>
              <a:ea typeface="+mn-ea"/>
              <a:cs typeface="+mn-cs"/>
            </a:rPr>
            <a:t>Sent:</a:t>
          </a:r>
          <a:r>
            <a:rPr lang="en-US" sz="700" b="0" i="0">
              <a:solidFill>
                <a:schemeClr val="dk1"/>
              </a:solidFill>
              <a:latin typeface="+mn-lt"/>
              <a:ea typeface="+mn-ea"/>
              <a:cs typeface="+mn-cs"/>
            </a:rPr>
            <a:t> Friday, March 19, 2010 12:17 PM</a:t>
          </a:r>
          <a:br>
            <a:rPr lang="en-US" sz="700" b="0" i="0">
              <a:solidFill>
                <a:schemeClr val="dk1"/>
              </a:solidFill>
              <a:latin typeface="+mn-lt"/>
              <a:ea typeface="+mn-ea"/>
              <a:cs typeface="+mn-cs"/>
            </a:rPr>
          </a:br>
          <a:r>
            <a:rPr lang="en-US" sz="700" b="1" i="0">
              <a:solidFill>
                <a:schemeClr val="dk1"/>
              </a:solidFill>
              <a:latin typeface="+mn-lt"/>
              <a:ea typeface="+mn-ea"/>
              <a:cs typeface="+mn-cs"/>
            </a:rPr>
            <a:t>To:</a:t>
          </a:r>
          <a:r>
            <a:rPr lang="en-US" sz="700" b="0" i="0">
              <a:solidFill>
                <a:schemeClr val="dk1"/>
              </a:solidFill>
              <a:latin typeface="+mn-lt"/>
              <a:ea typeface="+mn-ea"/>
              <a:cs typeface="+mn-cs"/>
            </a:rPr>
            <a:t> Rumsey, Rick</a:t>
          </a:r>
          <a:br>
            <a:rPr lang="en-US" sz="700" b="0" i="0">
              <a:solidFill>
                <a:schemeClr val="dk1"/>
              </a:solidFill>
              <a:latin typeface="+mn-lt"/>
              <a:ea typeface="+mn-ea"/>
              <a:cs typeface="+mn-cs"/>
            </a:rPr>
          </a:br>
          <a:r>
            <a:rPr lang="en-US" sz="700" b="1" i="0">
              <a:solidFill>
                <a:schemeClr val="dk1"/>
              </a:solidFill>
              <a:latin typeface="+mn-lt"/>
              <a:ea typeface="+mn-ea"/>
              <a:cs typeface="+mn-cs"/>
            </a:rPr>
            <a:t>Cc:</a:t>
          </a:r>
          <a:r>
            <a:rPr lang="en-US" sz="700" b="0" i="0">
              <a:solidFill>
                <a:schemeClr val="dk1"/>
              </a:solidFill>
              <a:latin typeface="+mn-lt"/>
              <a:ea typeface="+mn-ea"/>
              <a:cs typeface="+mn-cs"/>
            </a:rPr>
            <a:t> Gallinger, Hallie</a:t>
          </a:r>
          <a:br>
            <a:rPr lang="en-US" sz="700" b="0" i="0">
              <a:solidFill>
                <a:schemeClr val="dk1"/>
              </a:solidFill>
              <a:latin typeface="+mn-lt"/>
              <a:ea typeface="+mn-ea"/>
              <a:cs typeface="+mn-cs"/>
            </a:rPr>
          </a:br>
          <a:r>
            <a:rPr lang="en-US" sz="700" b="1" i="0">
              <a:solidFill>
                <a:schemeClr val="dk1"/>
              </a:solidFill>
              <a:latin typeface="+mn-lt"/>
              <a:ea typeface="+mn-ea"/>
              <a:cs typeface="+mn-cs"/>
            </a:rPr>
            <a:t>Subject:</a:t>
          </a:r>
          <a:r>
            <a:rPr lang="en-US" sz="700" b="0" i="0">
              <a:solidFill>
                <a:schemeClr val="dk1"/>
              </a:solidFill>
              <a:latin typeface="+mn-lt"/>
              <a:ea typeface="+mn-ea"/>
              <a:cs typeface="+mn-cs"/>
            </a:rPr>
            <a:t> Re: Rocky Mt Power Irrigation Data</a:t>
          </a:r>
        </a:p>
        <a:p>
          <a:r>
            <a:rPr lang="en-US" sz="700" b="0" i="0">
              <a:solidFill>
                <a:schemeClr val="dk1"/>
              </a:solidFill>
              <a:latin typeface="+mn-lt"/>
              <a:ea typeface="+mn-ea"/>
              <a:cs typeface="+mn-cs"/>
            </a:rPr>
            <a:t> </a:t>
          </a:r>
        </a:p>
        <a:p>
          <a:r>
            <a:rPr lang="en-US" sz="700" b="0" i="0">
              <a:solidFill>
                <a:schemeClr val="dk1"/>
              </a:solidFill>
              <a:latin typeface="+mn-lt"/>
              <a:ea typeface="+mn-ea"/>
              <a:cs typeface="+mn-cs"/>
            </a:rPr>
            <a:t>Rick,</a:t>
          </a:r>
        </a:p>
        <a:p>
          <a:r>
            <a:rPr lang="en-US" sz="700" b="0" i="0">
              <a:solidFill>
                <a:schemeClr val="dk1"/>
              </a:solidFill>
              <a:latin typeface="+mn-lt"/>
              <a:ea typeface="+mn-ea"/>
              <a:cs typeface="+mn-cs"/>
            </a:rPr>
            <a:t>Thank you.  This is very helpful.  I do have one question.  What do you think the mix of surface and well systems was for the custom projects in 2009 that generated the average lift of 147 feet?  (If it was 50/50, based on surface systems being ~7 feet, the average lift for well systems would be 287 feet.  That seems high, so I want to make sure I'm interpreting correctly.)</a:t>
          </a:r>
        </a:p>
        <a:p>
          <a:r>
            <a:rPr lang="en-US" sz="700" b="0" i="0">
              <a:solidFill>
                <a:schemeClr val="dk1"/>
              </a:solidFill>
              <a:latin typeface="+mn-lt"/>
              <a:ea typeface="+mn-ea"/>
              <a:cs typeface="+mn-cs"/>
            </a:rPr>
            <a:t>Thanks,</a:t>
          </a:r>
        </a:p>
        <a:p>
          <a:r>
            <a:rPr lang="en-US" sz="700" b="0" i="0">
              <a:solidFill>
                <a:schemeClr val="dk1"/>
              </a:solidFill>
              <a:latin typeface="+mn-lt"/>
              <a:ea typeface="+mn-ea"/>
              <a:cs typeface="+mn-cs"/>
            </a:rPr>
            <a:t>Adam</a:t>
          </a:r>
        </a:p>
        <a:p>
          <a:r>
            <a:rPr lang="en-US" sz="700" b="0" i="0">
              <a:solidFill>
                <a:schemeClr val="dk1"/>
              </a:solidFill>
              <a:latin typeface="+mn-lt"/>
              <a:ea typeface="+mn-ea"/>
              <a:cs typeface="+mn-cs"/>
            </a:rPr>
            <a:t/>
          </a:r>
          <a:br>
            <a:rPr lang="en-US" sz="700" b="0" i="0">
              <a:solidFill>
                <a:schemeClr val="dk1"/>
              </a:solidFill>
              <a:latin typeface="+mn-lt"/>
              <a:ea typeface="+mn-ea"/>
              <a:cs typeface="+mn-cs"/>
            </a:rPr>
          </a:br>
          <a:r>
            <a:rPr lang="en-US" sz="700" b="0" i="0">
              <a:solidFill>
                <a:schemeClr val="dk1"/>
              </a:solidFill>
              <a:latin typeface="+mn-lt"/>
              <a:ea typeface="+mn-ea"/>
              <a:cs typeface="+mn-cs"/>
            </a:rPr>
            <a:t/>
          </a:r>
          <a:br>
            <a:rPr lang="en-US" sz="700" b="0" i="0">
              <a:solidFill>
                <a:schemeClr val="dk1"/>
              </a:solidFill>
              <a:latin typeface="+mn-lt"/>
              <a:ea typeface="+mn-ea"/>
              <a:cs typeface="+mn-cs"/>
            </a:rPr>
          </a:br>
          <a:r>
            <a:rPr lang="en-US" sz="700" b="0" i="0">
              <a:solidFill>
                <a:schemeClr val="dk1"/>
              </a:solidFill>
              <a:latin typeface="+mn-lt"/>
              <a:ea typeface="+mn-ea"/>
              <a:cs typeface="+mn-cs"/>
            </a:rPr>
            <a:t>On Fri, Mar 19, 2010 at 7:35 AM, Rumsey, Rick &lt;</a:t>
          </a:r>
          <a:r>
            <a:rPr lang="en-US" sz="700" b="0" i="0">
              <a:solidFill>
                <a:schemeClr val="dk1"/>
              </a:solidFill>
              <a:latin typeface="+mn-lt"/>
              <a:ea typeface="+mn-ea"/>
              <a:cs typeface="+mn-cs"/>
              <a:hlinkClick xmlns:r="http://schemas.openxmlformats.org/officeDocument/2006/relationships" r:id=""/>
            </a:rPr>
            <a:t>rrumsey@nexant.com</a:t>
          </a:r>
          <a:r>
            <a:rPr lang="en-US" sz="700" b="0" i="0">
              <a:solidFill>
                <a:schemeClr val="dk1"/>
              </a:solidFill>
              <a:latin typeface="+mn-lt"/>
              <a:ea typeface="+mn-ea"/>
              <a:cs typeface="+mn-cs"/>
            </a:rPr>
            <a:t>&gt; wrote:</a:t>
          </a:r>
        </a:p>
        <a:p>
          <a:r>
            <a:rPr lang="en-US" sz="700" b="0" i="0">
              <a:solidFill>
                <a:schemeClr val="dk1"/>
              </a:solidFill>
              <a:latin typeface="+mn-lt"/>
              <a:ea typeface="+mn-ea"/>
              <a:cs typeface="+mn-cs"/>
            </a:rPr>
            <a:t>Adam,</a:t>
          </a:r>
        </a:p>
        <a:p>
          <a:r>
            <a:rPr lang="en-US" sz="700" b="0" i="0">
              <a:solidFill>
                <a:schemeClr val="dk1"/>
              </a:solidFill>
              <a:latin typeface="+mn-lt"/>
              <a:ea typeface="+mn-ea"/>
              <a:cs typeface="+mn-cs"/>
            </a:rPr>
            <a:t>For eastern Idaho I think the mix for wells and surface water would be closer to 50% each for all systems  The average surface water lift in this area is 6 – 8 feet.  We averaged the lift for all of the custom projects that we worked on in 2009 including well and surface water systems and the average was 147 feet.  The average pumping pressure for all systems based on 2009 projects was 68 psi.  We calculated the average operating hours for all irrigation customers in Rocky Mountain Power’s service territory in Idaho based on historic demand and usage and the average was 1,140 hours per year.  I hope that helps.  Please let me know if you have any questions.  Thanks.</a:t>
          </a:r>
        </a:p>
        <a:p>
          <a:r>
            <a:rPr lang="en-US" sz="700" b="0" i="0">
              <a:solidFill>
                <a:schemeClr val="dk1"/>
              </a:solidFill>
              <a:latin typeface="+mn-lt"/>
              <a:ea typeface="+mn-ea"/>
              <a:cs typeface="+mn-cs"/>
            </a:rPr>
            <a:t>Rick</a:t>
          </a:r>
        </a:p>
        <a:p>
          <a:endParaRPr lang="en-US" sz="400"/>
        </a:p>
      </xdr:txBody>
    </xdr:sp>
    <xdr:clientData/>
  </xdr:twoCellAnchor>
  <xdr:twoCellAnchor>
    <xdr:from>
      <xdr:col>0</xdr:col>
      <xdr:colOff>0</xdr:colOff>
      <xdr:row>158</xdr:row>
      <xdr:rowOff>0</xdr:rowOff>
    </xdr:from>
    <xdr:to>
      <xdr:col>9</xdr:col>
      <xdr:colOff>265402</xdr:colOff>
      <xdr:row>187</xdr:row>
      <xdr:rowOff>112857</xdr:rowOff>
    </xdr:to>
    <xdr:sp macro="" textlink="">
      <xdr:nvSpPr>
        <xdr:cNvPr id="10" name="TextBox 9"/>
        <xdr:cNvSpPr txBox="1"/>
      </xdr:nvSpPr>
      <xdr:spPr>
        <a:xfrm>
          <a:off x="0" y="25584150"/>
          <a:ext cx="5751802" cy="4808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800" b="0" i="0">
              <a:solidFill>
                <a:schemeClr val="dk1"/>
              </a:solidFill>
              <a:latin typeface="+mn-lt"/>
              <a:ea typeface="+mn-ea"/>
              <a:cs typeface="+mn-cs"/>
            </a:rPr>
            <a:t>From: </a:t>
          </a:r>
          <a:r>
            <a:rPr lang="en-US" sz="800" b="1" i="0">
              <a:solidFill>
                <a:schemeClr val="dk1"/>
              </a:solidFill>
              <a:latin typeface="+mn-lt"/>
              <a:ea typeface="+mn-ea"/>
              <a:cs typeface="+mn-cs"/>
            </a:rPr>
            <a:t>Osborn,Thomas R - KLJD-WALLA WALLA</a:t>
          </a:r>
          <a:r>
            <a:rPr lang="en-US" sz="800" b="0" i="0">
              <a:solidFill>
                <a:schemeClr val="dk1"/>
              </a:solidFill>
              <a:latin typeface="+mn-lt"/>
              <a:ea typeface="+mn-ea"/>
              <a:cs typeface="+mn-cs"/>
            </a:rPr>
            <a:t> &lt;trosborn@bpa.gov&gt;</a:t>
          </a:r>
          <a:br>
            <a:rPr lang="en-US" sz="800" b="0" i="0">
              <a:solidFill>
                <a:schemeClr val="dk1"/>
              </a:solidFill>
              <a:latin typeface="+mn-lt"/>
              <a:ea typeface="+mn-ea"/>
              <a:cs typeface="+mn-cs"/>
            </a:rPr>
          </a:br>
          <a:r>
            <a:rPr lang="en-US" sz="800" b="0" i="0">
              <a:solidFill>
                <a:schemeClr val="dk1"/>
              </a:solidFill>
              <a:latin typeface="+mn-lt"/>
              <a:ea typeface="+mn-ea"/>
              <a:cs typeface="+mn-cs"/>
            </a:rPr>
            <a:t>Date: Thu, Mar 25, 2010 at 3:40 PM</a:t>
          </a:r>
          <a:br>
            <a:rPr lang="en-US" sz="800" b="0" i="0">
              <a:solidFill>
                <a:schemeClr val="dk1"/>
              </a:solidFill>
              <a:latin typeface="+mn-lt"/>
              <a:ea typeface="+mn-ea"/>
              <a:cs typeface="+mn-cs"/>
            </a:rPr>
          </a:br>
          <a:r>
            <a:rPr lang="en-US" sz="800" b="0" i="0">
              <a:solidFill>
                <a:schemeClr val="dk1"/>
              </a:solidFill>
              <a:latin typeface="+mn-lt"/>
              <a:ea typeface="+mn-ea"/>
              <a:cs typeface="+mn-cs"/>
            </a:rPr>
            <a:t>Subject: RE: Follow-up on Irrigation Hardware savings</a:t>
          </a:r>
          <a:br>
            <a:rPr lang="en-US" sz="800" b="0" i="0">
              <a:solidFill>
                <a:schemeClr val="dk1"/>
              </a:solidFill>
              <a:latin typeface="+mn-lt"/>
              <a:ea typeface="+mn-ea"/>
              <a:cs typeface="+mn-cs"/>
            </a:rPr>
          </a:br>
          <a:r>
            <a:rPr lang="en-US" sz="800" b="0" i="0">
              <a:solidFill>
                <a:schemeClr val="dk1"/>
              </a:solidFill>
              <a:latin typeface="+mn-lt"/>
              <a:ea typeface="+mn-ea"/>
              <a:cs typeface="+mn-cs"/>
            </a:rPr>
            <a:t>To: Adam Hadley &lt;adam@hadleyenergy.com&gt;</a:t>
          </a:r>
          <a:br>
            <a:rPr lang="en-US" sz="800" b="0" i="0">
              <a:solidFill>
                <a:schemeClr val="dk1"/>
              </a:solidFill>
              <a:latin typeface="+mn-lt"/>
              <a:ea typeface="+mn-ea"/>
              <a:cs typeface="+mn-cs"/>
            </a:rPr>
          </a:br>
          <a:r>
            <a:rPr lang="en-US" sz="800" b="0" i="0">
              <a:solidFill>
                <a:schemeClr val="dk1"/>
              </a:solidFill>
              <a:latin typeface="+mn-lt"/>
              <a:ea typeface="+mn-ea"/>
              <a:cs typeface="+mn-cs"/>
            </a:rPr>
            <a:t/>
          </a:r>
          <a:br>
            <a:rPr lang="en-US" sz="800" b="0" i="0">
              <a:solidFill>
                <a:schemeClr val="dk1"/>
              </a:solidFill>
              <a:latin typeface="+mn-lt"/>
              <a:ea typeface="+mn-ea"/>
              <a:cs typeface="+mn-cs"/>
            </a:rPr>
          </a:br>
          <a:r>
            <a:rPr lang="en-US" sz="800" b="0" i="0">
              <a:solidFill>
                <a:schemeClr val="dk1"/>
              </a:solidFill>
              <a:latin typeface="+mn-lt"/>
              <a:ea typeface="+mn-ea"/>
              <a:cs typeface="+mn-cs"/>
            </a:rPr>
            <a:t>It depends....on the east side of Wa and OR it is approx 2200 hours per year.  In Willamette valley, closer to 1,000 hours per year.</a:t>
          </a:r>
        </a:p>
        <a:p>
          <a:pPr rtl="0"/>
          <a:r>
            <a:rPr lang="en-US" sz="800" b="0" i="0">
              <a:solidFill>
                <a:schemeClr val="dk1"/>
              </a:solidFill>
              <a:latin typeface="+mn-lt"/>
              <a:ea typeface="+mn-ea"/>
              <a:cs typeface="+mn-cs"/>
            </a:rPr>
            <a:t/>
          </a:r>
          <a:br>
            <a:rPr lang="en-US" sz="800" b="0" i="0">
              <a:solidFill>
                <a:schemeClr val="dk1"/>
              </a:solidFill>
              <a:latin typeface="+mn-lt"/>
              <a:ea typeface="+mn-ea"/>
              <a:cs typeface="+mn-cs"/>
            </a:rPr>
          </a:br>
          <a:r>
            <a:rPr lang="en-US" sz="800" b="1" i="0">
              <a:solidFill>
                <a:schemeClr val="dk1"/>
              </a:solidFill>
              <a:latin typeface="+mn-lt"/>
              <a:ea typeface="+mn-ea"/>
              <a:cs typeface="+mn-cs"/>
            </a:rPr>
            <a:t>From:</a:t>
          </a:r>
          <a:r>
            <a:rPr lang="en-US" sz="800" b="0" i="0">
              <a:solidFill>
                <a:schemeClr val="dk1"/>
              </a:solidFill>
              <a:latin typeface="+mn-lt"/>
              <a:ea typeface="+mn-ea"/>
              <a:cs typeface="+mn-cs"/>
            </a:rPr>
            <a:t> Adam Hadley [mailto:</a:t>
          </a:r>
          <a:r>
            <a:rPr lang="en-US" sz="800" b="0" i="0">
              <a:solidFill>
                <a:schemeClr val="dk1"/>
              </a:solidFill>
              <a:latin typeface="+mn-lt"/>
              <a:ea typeface="+mn-ea"/>
              <a:cs typeface="+mn-cs"/>
              <a:hlinkClick xmlns:r="http://schemas.openxmlformats.org/officeDocument/2006/relationships" r:id=""/>
            </a:rPr>
            <a:t>adam@hadleyenergy.com</a:t>
          </a:r>
          <a:r>
            <a:rPr lang="en-US" sz="800" b="0" i="0">
              <a:solidFill>
                <a:schemeClr val="dk1"/>
              </a:solidFill>
              <a:latin typeface="+mn-lt"/>
              <a:ea typeface="+mn-ea"/>
              <a:cs typeface="+mn-cs"/>
            </a:rPr>
            <a:t>] </a:t>
          </a:r>
          <a:br>
            <a:rPr lang="en-US" sz="800" b="0" i="0">
              <a:solidFill>
                <a:schemeClr val="dk1"/>
              </a:solidFill>
              <a:latin typeface="+mn-lt"/>
              <a:ea typeface="+mn-ea"/>
              <a:cs typeface="+mn-cs"/>
            </a:rPr>
          </a:br>
          <a:r>
            <a:rPr lang="en-US" sz="800" b="1" i="0">
              <a:solidFill>
                <a:schemeClr val="dk1"/>
              </a:solidFill>
              <a:latin typeface="+mn-lt"/>
              <a:ea typeface="+mn-ea"/>
              <a:cs typeface="+mn-cs"/>
            </a:rPr>
            <a:t>Sent:</a:t>
          </a:r>
          <a:r>
            <a:rPr lang="en-US" sz="800" b="0" i="0">
              <a:solidFill>
                <a:schemeClr val="dk1"/>
              </a:solidFill>
              <a:latin typeface="+mn-lt"/>
              <a:ea typeface="+mn-ea"/>
              <a:cs typeface="+mn-cs"/>
            </a:rPr>
            <a:t> Thursday, March 25, 2010 11:39 AM</a:t>
          </a:r>
        </a:p>
        <a:p>
          <a:pPr rtl="0"/>
          <a:r>
            <a:rPr lang="en-US" sz="800" b="1" i="0">
              <a:solidFill>
                <a:schemeClr val="dk1"/>
              </a:solidFill>
              <a:latin typeface="+mn-lt"/>
              <a:ea typeface="+mn-ea"/>
              <a:cs typeface="+mn-cs"/>
            </a:rPr>
            <a:t>To:</a:t>
          </a:r>
          <a:r>
            <a:rPr lang="en-US" sz="800" b="0" i="0">
              <a:solidFill>
                <a:schemeClr val="dk1"/>
              </a:solidFill>
              <a:latin typeface="+mn-lt"/>
              <a:ea typeface="+mn-ea"/>
              <a:cs typeface="+mn-cs"/>
            </a:rPr>
            <a:t> Osborn,Thomas R - KLJD-WALLA WALLA</a:t>
          </a:r>
          <a:br>
            <a:rPr lang="en-US" sz="800" b="0" i="0">
              <a:solidFill>
                <a:schemeClr val="dk1"/>
              </a:solidFill>
              <a:latin typeface="+mn-lt"/>
              <a:ea typeface="+mn-ea"/>
              <a:cs typeface="+mn-cs"/>
            </a:rPr>
          </a:br>
          <a:r>
            <a:rPr lang="en-US" sz="800" b="1" i="0">
              <a:solidFill>
                <a:schemeClr val="dk1"/>
              </a:solidFill>
              <a:latin typeface="+mn-lt"/>
              <a:ea typeface="+mn-ea"/>
              <a:cs typeface="+mn-cs"/>
            </a:rPr>
            <a:t>Subject:</a:t>
          </a:r>
          <a:r>
            <a:rPr lang="en-US" sz="800" b="0" i="0">
              <a:solidFill>
                <a:schemeClr val="dk1"/>
              </a:solidFill>
              <a:latin typeface="+mn-lt"/>
              <a:ea typeface="+mn-ea"/>
              <a:cs typeface="+mn-cs"/>
            </a:rPr>
            <a:t> Re: Follow-up on Irrigation Hardware savings</a:t>
          </a:r>
          <a:br>
            <a:rPr lang="en-US" sz="800" b="0" i="0">
              <a:solidFill>
                <a:schemeClr val="dk1"/>
              </a:solidFill>
              <a:latin typeface="+mn-lt"/>
              <a:ea typeface="+mn-ea"/>
              <a:cs typeface="+mn-cs"/>
            </a:rPr>
          </a:br>
          <a:endParaRPr lang="en-US" sz="800" b="0" i="0">
            <a:solidFill>
              <a:schemeClr val="dk1"/>
            </a:solidFill>
            <a:latin typeface="+mn-lt"/>
            <a:ea typeface="+mn-ea"/>
            <a:cs typeface="+mn-cs"/>
          </a:endParaRPr>
        </a:p>
        <a:p>
          <a:r>
            <a:rPr lang="en-US" sz="800" b="0" i="0">
              <a:solidFill>
                <a:schemeClr val="dk1"/>
              </a:solidFill>
              <a:latin typeface="+mn-lt"/>
              <a:ea typeface="+mn-ea"/>
              <a:cs typeface="+mn-cs"/>
            </a:rPr>
            <a:t>Tom,</a:t>
          </a:r>
          <a:br>
            <a:rPr lang="en-US" sz="800" b="0" i="0">
              <a:solidFill>
                <a:schemeClr val="dk1"/>
              </a:solidFill>
              <a:latin typeface="+mn-lt"/>
              <a:ea typeface="+mn-ea"/>
              <a:cs typeface="+mn-cs"/>
            </a:rPr>
          </a:br>
          <a:endParaRPr lang="en-US" sz="800" b="0" i="0">
            <a:solidFill>
              <a:schemeClr val="dk1"/>
            </a:solidFill>
            <a:latin typeface="+mn-lt"/>
            <a:ea typeface="+mn-ea"/>
            <a:cs typeface="+mn-cs"/>
          </a:endParaRPr>
        </a:p>
        <a:p>
          <a:r>
            <a:rPr lang="en-US" sz="800" b="0" i="0">
              <a:solidFill>
                <a:schemeClr val="dk1"/>
              </a:solidFill>
              <a:latin typeface="+mn-lt"/>
              <a:ea typeface="+mn-ea"/>
              <a:cs typeface="+mn-cs"/>
            </a:rPr>
            <a:t>What do you think about annual hours of operation?  Do you recommend we use the PNW average discussed for both OR and WA?</a:t>
          </a:r>
          <a:br>
            <a:rPr lang="en-US" sz="800" b="0" i="0">
              <a:solidFill>
                <a:schemeClr val="dk1"/>
              </a:solidFill>
              <a:latin typeface="+mn-lt"/>
              <a:ea typeface="+mn-ea"/>
              <a:cs typeface="+mn-cs"/>
            </a:rPr>
          </a:br>
          <a:endParaRPr lang="en-US" sz="800" b="0" i="0">
            <a:solidFill>
              <a:schemeClr val="dk1"/>
            </a:solidFill>
            <a:latin typeface="+mn-lt"/>
            <a:ea typeface="+mn-ea"/>
            <a:cs typeface="+mn-cs"/>
          </a:endParaRPr>
        </a:p>
        <a:p>
          <a:r>
            <a:rPr lang="en-US" sz="800" b="0" i="0">
              <a:solidFill>
                <a:schemeClr val="dk1"/>
              </a:solidFill>
              <a:latin typeface="+mn-lt"/>
              <a:ea typeface="+mn-ea"/>
              <a:cs typeface="+mn-cs"/>
            </a:rPr>
            <a:t>Thanks, </a:t>
          </a:r>
        </a:p>
        <a:p>
          <a:r>
            <a:rPr lang="en-US" sz="800" b="0" i="0">
              <a:solidFill>
                <a:schemeClr val="dk1"/>
              </a:solidFill>
              <a:latin typeface="+mn-lt"/>
              <a:ea typeface="+mn-ea"/>
              <a:cs typeface="+mn-cs"/>
            </a:rPr>
            <a:t>Adam</a:t>
          </a:r>
        </a:p>
        <a:p>
          <a:pPr rtl="0"/>
          <a:r>
            <a:rPr lang="en-US" sz="800" b="0" i="0">
              <a:solidFill>
                <a:schemeClr val="dk1"/>
              </a:solidFill>
              <a:latin typeface="+mn-lt"/>
              <a:ea typeface="+mn-ea"/>
              <a:cs typeface="+mn-cs"/>
            </a:rPr>
            <a:t/>
          </a:r>
          <a:br>
            <a:rPr lang="en-US" sz="800" b="0" i="0">
              <a:solidFill>
                <a:schemeClr val="dk1"/>
              </a:solidFill>
              <a:latin typeface="+mn-lt"/>
              <a:ea typeface="+mn-ea"/>
              <a:cs typeface="+mn-cs"/>
            </a:rPr>
          </a:br>
          <a:r>
            <a:rPr lang="en-US" sz="800" b="0" i="0">
              <a:solidFill>
                <a:schemeClr val="dk1"/>
              </a:solidFill>
              <a:latin typeface="+mn-lt"/>
              <a:ea typeface="+mn-ea"/>
              <a:cs typeface="+mn-cs"/>
            </a:rPr>
            <a:t>On Thu, Mar 25, 2010 at 11:09 AM, Osborn,Thomas R - KLJD-WALLA WALLA &lt;</a:t>
          </a:r>
          <a:r>
            <a:rPr lang="en-US" sz="800" b="0" i="0">
              <a:solidFill>
                <a:schemeClr val="dk1"/>
              </a:solidFill>
              <a:latin typeface="+mn-lt"/>
              <a:ea typeface="+mn-ea"/>
              <a:cs typeface="+mn-cs"/>
              <a:hlinkClick xmlns:r="http://schemas.openxmlformats.org/officeDocument/2006/relationships" r:id=""/>
            </a:rPr>
            <a:t>trosborn@bpa.gov</a:t>
          </a:r>
          <a:r>
            <a:rPr lang="en-US" sz="800" b="0" i="0">
              <a:solidFill>
                <a:schemeClr val="dk1"/>
              </a:solidFill>
              <a:latin typeface="+mn-lt"/>
              <a:ea typeface="+mn-ea"/>
              <a:cs typeface="+mn-cs"/>
            </a:rPr>
            <a:t>&gt; wrote:</a:t>
          </a:r>
          <a:br>
            <a:rPr lang="en-US" sz="800" b="0" i="0">
              <a:solidFill>
                <a:schemeClr val="dk1"/>
              </a:solidFill>
              <a:latin typeface="+mn-lt"/>
              <a:ea typeface="+mn-ea"/>
              <a:cs typeface="+mn-cs"/>
            </a:rPr>
          </a:br>
          <a:endParaRPr lang="en-US" sz="800" b="0" i="0">
            <a:solidFill>
              <a:schemeClr val="dk1"/>
            </a:solidFill>
            <a:latin typeface="+mn-lt"/>
            <a:ea typeface="+mn-ea"/>
            <a:cs typeface="+mn-cs"/>
          </a:endParaRPr>
        </a:p>
        <a:p>
          <a:pPr rtl="0"/>
          <a:r>
            <a:rPr lang="en-US" sz="800" b="0" i="0">
              <a:solidFill>
                <a:schemeClr val="dk1"/>
              </a:solidFill>
              <a:latin typeface="+mn-lt"/>
              <a:ea typeface="+mn-ea"/>
              <a:cs typeface="+mn-cs"/>
            </a:rPr>
            <a:t>we have lifts ranging from 700 feet to -10 feet (eg below the canal elevation).  So I dont think this approach will work.  I think the average for the PNW is fine.</a:t>
          </a:r>
        </a:p>
        <a:p>
          <a:pPr rtl="0"/>
          <a:r>
            <a:rPr lang="en-US" sz="800" b="0" i="0">
              <a:solidFill>
                <a:schemeClr val="dk1"/>
              </a:solidFill>
              <a:latin typeface="+mn-lt"/>
              <a:ea typeface="+mn-ea"/>
              <a:cs typeface="+mn-cs"/>
            </a:rPr>
            <a:t/>
          </a:r>
          <a:br>
            <a:rPr lang="en-US" sz="800" b="0" i="0">
              <a:solidFill>
                <a:schemeClr val="dk1"/>
              </a:solidFill>
              <a:latin typeface="+mn-lt"/>
              <a:ea typeface="+mn-ea"/>
              <a:cs typeface="+mn-cs"/>
            </a:rPr>
          </a:br>
          <a:r>
            <a:rPr lang="en-US" sz="800" b="0" i="0">
              <a:solidFill>
                <a:schemeClr val="dk1"/>
              </a:solidFill>
              <a:latin typeface="+mn-lt"/>
              <a:ea typeface="+mn-ea"/>
              <a:cs typeface="+mn-cs"/>
            </a:rPr>
            <a:t>On Thu, Mar 11, 2010 at 2:34 PM, Adam Hadley &lt;</a:t>
          </a:r>
          <a:r>
            <a:rPr lang="en-US" sz="800" b="0" i="0">
              <a:solidFill>
                <a:schemeClr val="dk1"/>
              </a:solidFill>
              <a:latin typeface="+mn-lt"/>
              <a:ea typeface="+mn-ea"/>
              <a:cs typeface="+mn-cs"/>
              <a:hlinkClick xmlns:r="http://schemas.openxmlformats.org/officeDocument/2006/relationships" r:id=""/>
            </a:rPr>
            <a:t>adam@hadleyenergy.com</a:t>
          </a:r>
          <a:r>
            <a:rPr lang="en-US" sz="800" b="0" i="0">
              <a:solidFill>
                <a:schemeClr val="dk1"/>
              </a:solidFill>
              <a:latin typeface="+mn-lt"/>
              <a:ea typeface="+mn-ea"/>
              <a:cs typeface="+mn-cs"/>
            </a:rPr>
            <a:t>&gt; wrote:</a:t>
          </a:r>
          <a:br>
            <a:rPr lang="en-US" sz="800" b="0" i="0">
              <a:solidFill>
                <a:schemeClr val="dk1"/>
              </a:solidFill>
              <a:latin typeface="+mn-lt"/>
              <a:ea typeface="+mn-ea"/>
              <a:cs typeface="+mn-cs"/>
            </a:rPr>
          </a:br>
          <a:r>
            <a:rPr lang="en-US" sz="800" b="0" i="0">
              <a:solidFill>
                <a:schemeClr val="dk1"/>
              </a:solidFill>
              <a:latin typeface="+mn-lt"/>
              <a:ea typeface="+mn-ea"/>
              <a:cs typeface="+mn-cs"/>
            </a:rPr>
            <a:t>Quentin and Tom,</a:t>
          </a:r>
          <a:br>
            <a:rPr lang="en-US" sz="800" b="0" i="0">
              <a:solidFill>
                <a:schemeClr val="dk1"/>
              </a:solidFill>
              <a:latin typeface="+mn-lt"/>
              <a:ea typeface="+mn-ea"/>
              <a:cs typeface="+mn-cs"/>
            </a:rPr>
          </a:br>
          <a:endParaRPr lang="en-US" sz="800" b="0" i="0">
            <a:solidFill>
              <a:schemeClr val="dk1"/>
            </a:solidFill>
            <a:latin typeface="+mn-lt"/>
            <a:ea typeface="+mn-ea"/>
            <a:cs typeface="+mn-cs"/>
          </a:endParaRPr>
        </a:p>
        <a:p>
          <a:r>
            <a:rPr lang="en-US" sz="800" b="0" i="0">
              <a:solidFill>
                <a:schemeClr val="dk1"/>
              </a:solidFill>
              <a:latin typeface="+mn-lt"/>
              <a:ea typeface="+mn-ea"/>
              <a:cs typeface="+mn-cs"/>
            </a:rPr>
            <a:t>I'd like to finalize the deemed savings for the irrigation hardware measures.</a:t>
          </a:r>
        </a:p>
        <a:p>
          <a:r>
            <a:rPr lang="en-US" sz="800" b="0" i="0">
              <a:solidFill>
                <a:schemeClr val="dk1"/>
              </a:solidFill>
              <a:latin typeface="+mn-lt"/>
              <a:ea typeface="+mn-ea"/>
              <a:cs typeface="+mn-cs"/>
            </a:rPr>
            <a:t/>
          </a:r>
          <a:br>
            <a:rPr lang="en-US" sz="800" b="0" i="0">
              <a:solidFill>
                <a:schemeClr val="dk1"/>
              </a:solidFill>
              <a:latin typeface="+mn-lt"/>
              <a:ea typeface="+mn-ea"/>
              <a:cs typeface="+mn-cs"/>
            </a:rPr>
          </a:br>
          <a:r>
            <a:rPr lang="en-US" sz="800" b="0" i="0">
              <a:solidFill>
                <a:schemeClr val="dk1"/>
              </a:solidFill>
              <a:latin typeface="+mn-lt"/>
              <a:ea typeface="+mn-ea"/>
              <a:cs typeface="+mn-cs"/>
            </a:rPr>
            <a:t>If I remember right, the RTF wanted us to generate state-specific savings based on state-specific lift, psi, and hours of operation values.  I've attached a spreadsheet with the values I need from you highlighted in yellow (mix of well/surface water, lift for each, psi, and average hours; for both wheel lines/hand lines and pivots/linear move systems).  If you don't know the mix, but know the averages, that would be adequate.  Any source documentation you can provide would be good, too (Utility bills/kW for XX% of the irrigation system load, report xyz, etc.).</a:t>
          </a:r>
        </a:p>
        <a:p>
          <a:endParaRPr lang="en-US" sz="800" b="0" i="0">
            <a:solidFill>
              <a:schemeClr val="dk1"/>
            </a:solidFill>
            <a:latin typeface="+mn-lt"/>
            <a:ea typeface="+mn-ea"/>
            <a:cs typeface="+mn-cs"/>
          </a:endParaRPr>
        </a:p>
        <a:p>
          <a:pPr>
            <a:lnSpc>
              <a:spcPts val="900"/>
            </a:lnSpc>
          </a:pPr>
          <a:r>
            <a:rPr lang="en-US" sz="800" b="0" i="0">
              <a:solidFill>
                <a:schemeClr val="dk1"/>
              </a:solidFill>
              <a:latin typeface="+mn-lt"/>
              <a:ea typeface="+mn-ea"/>
              <a:cs typeface="+mn-cs"/>
            </a:rPr>
            <a:t>Thanks for your help on this.  Let me know if you have questions.</a:t>
          </a:r>
        </a:p>
        <a:p>
          <a:endParaRPr lang="en-US" sz="800" b="0" i="0">
            <a:solidFill>
              <a:schemeClr val="dk1"/>
            </a:solidFill>
            <a:latin typeface="+mn-lt"/>
            <a:ea typeface="+mn-ea"/>
            <a:cs typeface="+mn-cs"/>
          </a:endParaRPr>
        </a:p>
        <a:p>
          <a:r>
            <a:rPr lang="en-US" sz="800" b="0" i="0">
              <a:solidFill>
                <a:schemeClr val="dk1"/>
              </a:solidFill>
              <a:latin typeface="+mn-lt"/>
              <a:ea typeface="+mn-ea"/>
              <a:cs typeface="+mn-cs"/>
            </a:rPr>
            <a:t>Adam</a:t>
          </a:r>
        </a:p>
        <a:p>
          <a:pPr>
            <a:lnSpc>
              <a:spcPts val="1200"/>
            </a:lnSpc>
          </a:pPr>
          <a:endParaRPr lang="en-US" sz="1100"/>
        </a:p>
      </xdr:txBody>
    </xdr:sp>
    <xdr:clientData/>
  </xdr:twoCellAnchor>
  <xdr:twoCellAnchor>
    <xdr:from>
      <xdr:col>0</xdr:col>
      <xdr:colOff>54428</xdr:colOff>
      <xdr:row>188</xdr:row>
      <xdr:rowOff>122465</xdr:rowOff>
    </xdr:from>
    <xdr:to>
      <xdr:col>10</xdr:col>
      <xdr:colOff>326571</xdr:colOff>
      <xdr:row>212</xdr:row>
      <xdr:rowOff>108858</xdr:rowOff>
    </xdr:to>
    <xdr:sp macro="" textlink="">
      <xdr:nvSpPr>
        <xdr:cNvPr id="11" name="TextBox 10"/>
        <xdr:cNvSpPr txBox="1"/>
      </xdr:nvSpPr>
      <xdr:spPr>
        <a:xfrm>
          <a:off x="54428" y="30564365"/>
          <a:ext cx="6368143" cy="38725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 Forwarded message ----------</a:t>
          </a:r>
          <a:r>
            <a:rPr lang="en-US"/>
            <a:t/>
          </a:r>
          <a:br>
            <a:rPr lang="en-US"/>
          </a:br>
          <a:r>
            <a:rPr lang="en-US" sz="1100" b="0" i="0">
              <a:solidFill>
                <a:schemeClr val="dk1"/>
              </a:solidFill>
              <a:effectLst/>
              <a:latin typeface="+mn-lt"/>
              <a:ea typeface="+mn-ea"/>
              <a:cs typeface="+mn-cs"/>
            </a:rPr>
            <a:t>From: </a:t>
          </a:r>
          <a:r>
            <a:rPr lang="en-US" sz="1100" b="1" i="0">
              <a:solidFill>
                <a:schemeClr val="dk1"/>
              </a:solidFill>
              <a:effectLst/>
              <a:latin typeface="+mn-lt"/>
              <a:ea typeface="+mn-ea"/>
              <a:cs typeface="+mn-cs"/>
            </a:rPr>
            <a:t>Nesbitt, Quentin</a:t>
          </a:r>
          <a:r>
            <a:rPr lang="en-US" sz="1100" b="0" i="0">
              <a:solidFill>
                <a:schemeClr val="dk1"/>
              </a:solidFill>
              <a:effectLst/>
              <a:latin typeface="+mn-lt"/>
              <a:ea typeface="+mn-ea"/>
              <a:cs typeface="+mn-cs"/>
            </a:rPr>
            <a:t> &lt;QNesbitt@idahopower.com&gt;</a:t>
          </a:r>
          <a:r>
            <a:rPr lang="en-US"/>
            <a:t/>
          </a:r>
          <a:br>
            <a:rPr lang="en-US"/>
          </a:br>
          <a:r>
            <a:rPr lang="en-US" sz="1100" b="0" i="0">
              <a:solidFill>
                <a:schemeClr val="dk1"/>
              </a:solidFill>
              <a:effectLst/>
              <a:latin typeface="+mn-lt"/>
              <a:ea typeface="+mn-ea"/>
              <a:cs typeface="+mn-cs"/>
            </a:rPr>
            <a:t>Date: Tue, Apr 9, 2013 at 7:55 AM</a:t>
          </a:r>
          <a:r>
            <a:rPr lang="en-US"/>
            <a:t/>
          </a:r>
          <a:br>
            <a:rPr lang="en-US"/>
          </a:br>
          <a:r>
            <a:rPr lang="en-US" sz="1100" b="0" i="0">
              <a:solidFill>
                <a:schemeClr val="dk1"/>
              </a:solidFill>
              <a:effectLst/>
              <a:latin typeface="+mn-lt"/>
              <a:ea typeface="+mn-ea"/>
              <a:cs typeface="+mn-cs"/>
            </a:rPr>
            <a:t>Subject: FW: operating pressures.</a:t>
          </a:r>
          <a:r>
            <a:rPr lang="en-US"/>
            <a:t/>
          </a:r>
          <a:br>
            <a:rPr lang="en-US"/>
          </a:br>
          <a:r>
            <a:rPr lang="en-US" sz="1100" b="0" i="0">
              <a:solidFill>
                <a:schemeClr val="dk1"/>
              </a:solidFill>
              <a:effectLst/>
              <a:latin typeface="+mn-lt"/>
              <a:ea typeface="+mn-ea"/>
              <a:cs typeface="+mn-cs"/>
            </a:rPr>
            <a:t>To: Adam Hadley &lt;adam@hadleyenergy.com&gt;</a:t>
          </a:r>
          <a:r>
            <a:rPr lang="en-US"/>
            <a:t/>
          </a:r>
          <a:br>
            <a:rPr lang="en-US"/>
          </a:br>
          <a:r>
            <a:rPr lang="en-US"/>
            <a:t/>
          </a:r>
          <a:br>
            <a:rPr lang="en-US"/>
          </a:br>
          <a:r>
            <a:rPr lang="en-US"/>
            <a:t/>
          </a:r>
          <a:br>
            <a:rPr lang="en-US"/>
          </a:br>
          <a:r>
            <a:rPr lang="en-US" sz="1100" b="0" i="0">
              <a:solidFill>
                <a:schemeClr val="dk1"/>
              </a:solidFill>
              <a:effectLst/>
              <a:latin typeface="+mn-lt"/>
              <a:ea typeface="+mn-ea"/>
              <a:cs typeface="+mn-cs"/>
            </a:rPr>
            <a:t>Adam,</a:t>
          </a:r>
        </a:p>
        <a:p>
          <a:r>
            <a:rPr lang="en-US" sz="1100" b="0" i="0">
              <a:solidFill>
                <a:schemeClr val="dk1"/>
              </a:solidFill>
              <a:effectLst/>
              <a:latin typeface="+mn-lt"/>
              <a:ea typeface="+mn-ea"/>
              <a:cs typeface="+mn-cs"/>
            </a:rPr>
            <a:t>We looked through a data base we have on all of our “Menu” applications.  This data is self reported when customers apply for that portion of our program. It is not measured data, and the box customers fill out is labeled discharge pressure.  Here is the pressure information from those applications.</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Average pressure of all projects reporting (3773 out of 5308) discharge pressure since  late 2005 = 64.3 psi</a:t>
          </a:r>
        </a:p>
        <a:p>
          <a:r>
            <a:rPr lang="en-US" sz="1100" b="0" i="0">
              <a:solidFill>
                <a:schemeClr val="dk1"/>
              </a:solidFill>
              <a:effectLst/>
              <a:latin typeface="+mn-lt"/>
              <a:ea typeface="+mn-ea"/>
              <a:cs typeface="+mn-cs"/>
            </a:rPr>
            <a:t>We tracked type of system starting in 2009:</a:t>
          </a:r>
        </a:p>
        <a:p>
          <a:r>
            <a:rPr lang="en-US" sz="1100" b="0" i="0">
              <a:solidFill>
                <a:schemeClr val="dk1"/>
              </a:solidFill>
              <a:effectLst/>
              <a:latin typeface="+mn-lt"/>
              <a:ea typeface="+mn-ea"/>
              <a:cs typeface="+mn-cs"/>
            </a:rPr>
            <a:t>Average reported pivot only project pressure from 1177 projects= 60.4 psi discharge pressure</a:t>
          </a:r>
        </a:p>
        <a:p>
          <a:r>
            <a:rPr lang="en-US" sz="1100" b="0" i="0">
              <a:solidFill>
                <a:schemeClr val="dk1"/>
              </a:solidFill>
              <a:effectLst/>
              <a:latin typeface="+mn-lt"/>
              <a:ea typeface="+mn-ea"/>
              <a:cs typeface="+mn-cs"/>
            </a:rPr>
            <a:t>Average reported ‘other types’ project pressure from 871 projects= 66.2 psi discharge pressure</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 </a:t>
          </a:r>
        </a:p>
        <a:p>
          <a:r>
            <a:rPr lang="en-US" sz="1100" b="1" i="0">
              <a:solidFill>
                <a:schemeClr val="dk1"/>
              </a:solidFill>
              <a:effectLst/>
              <a:latin typeface="+mn-lt"/>
              <a:ea typeface="+mn-ea"/>
              <a:cs typeface="+mn-cs"/>
            </a:rPr>
            <a:t>Quentin Nesbitt</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Idaho Power Company</a:t>
          </a:r>
        </a:p>
        <a:p>
          <a:r>
            <a:rPr lang="en-US" sz="1100" b="0" i="0">
              <a:solidFill>
                <a:schemeClr val="dk1"/>
              </a:solidFill>
              <a:effectLst/>
              <a:latin typeface="+mn-lt"/>
              <a:ea typeface="+mn-ea"/>
              <a:cs typeface="+mn-cs"/>
            </a:rPr>
            <a:t>Agricultural Engineer, PE</a:t>
          </a:r>
        </a:p>
        <a:p>
          <a:endParaRPr lang="en-US" sz="1100"/>
        </a:p>
      </xdr:txBody>
    </xdr:sp>
    <xdr:clientData/>
  </xdr:twoCellAnchor>
  <xdr:twoCellAnchor>
    <xdr:from>
      <xdr:col>0</xdr:col>
      <xdr:colOff>81643</xdr:colOff>
      <xdr:row>214</xdr:row>
      <xdr:rowOff>13607</xdr:rowOff>
    </xdr:from>
    <xdr:to>
      <xdr:col>10</xdr:col>
      <xdr:colOff>340179</xdr:colOff>
      <xdr:row>255</xdr:row>
      <xdr:rowOff>136072</xdr:rowOff>
    </xdr:to>
    <xdr:grpSp>
      <xdr:nvGrpSpPr>
        <xdr:cNvPr id="12" name="Group 11"/>
        <xdr:cNvGrpSpPr/>
      </xdr:nvGrpSpPr>
      <xdr:grpSpPr>
        <a:xfrm>
          <a:off x="81643" y="34665557"/>
          <a:ext cx="6354536" cy="6761390"/>
          <a:chOff x="81643" y="34956750"/>
          <a:chExt cx="6381750" cy="6817179"/>
        </a:xfrm>
      </xdr:grpSpPr>
      <xdr:sp macro="" textlink="">
        <xdr:nvSpPr>
          <xdr:cNvPr id="13" name="TextBox 12"/>
          <xdr:cNvSpPr txBox="1"/>
        </xdr:nvSpPr>
        <xdr:spPr>
          <a:xfrm>
            <a:off x="81643" y="34956750"/>
            <a:ext cx="6381750" cy="6817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From:</a:t>
            </a:r>
            <a:r>
              <a:rPr lang="en-US" sz="1100" b="0" i="0">
                <a:solidFill>
                  <a:schemeClr val="dk1"/>
                </a:solidFill>
                <a:effectLst/>
                <a:latin typeface="+mn-lt"/>
                <a:ea typeface="+mn-ea"/>
                <a:cs typeface="+mn-cs"/>
              </a:rPr>
              <a:t> Rick Rumsey [</a:t>
            </a:r>
            <a:r>
              <a:rPr lang="en-US" sz="1100" b="0" i="0">
                <a:solidFill>
                  <a:schemeClr val="dk1"/>
                </a:solidFill>
                <a:effectLst/>
                <a:latin typeface="+mn-lt"/>
                <a:ea typeface="+mn-ea"/>
                <a:cs typeface="+mn-cs"/>
                <a:hlinkClick xmlns:r="http://schemas.openxmlformats.org/officeDocument/2006/relationships" r:id=""/>
              </a:rPr>
              <a:t>mailto:rick@rumsey-eng.com</a:t>
            </a:r>
            <a:r>
              <a:rPr lang="en-US" sz="1100" b="0" i="0">
                <a:solidFill>
                  <a:schemeClr val="dk1"/>
                </a:solidFill>
                <a:effectLst/>
                <a:latin typeface="+mn-lt"/>
                <a:ea typeface="+mn-ea"/>
                <a:cs typeface="+mn-cs"/>
              </a:rPr>
              <a:t>]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Sent:</a:t>
            </a:r>
            <a:r>
              <a:rPr lang="en-US" sz="1100" b="0" i="0">
                <a:solidFill>
                  <a:schemeClr val="dk1"/>
                </a:solidFill>
                <a:effectLst/>
                <a:latin typeface="+mn-lt"/>
                <a:ea typeface="+mn-ea"/>
                <a:cs typeface="+mn-cs"/>
              </a:rPr>
              <a:t> Tuesday, April 09, 2013 9:48 AM</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To:</a:t>
            </a:r>
            <a:r>
              <a:rPr lang="en-US" sz="1100" b="0" i="0">
                <a:solidFill>
                  <a:schemeClr val="dk1"/>
                </a:solidFill>
                <a:effectLst/>
                <a:latin typeface="+mn-lt"/>
                <a:ea typeface="+mn-ea"/>
                <a:cs typeface="+mn-cs"/>
              </a:rPr>
              <a:t> Jones JR, Don (DSM)</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Cc:</a:t>
            </a:r>
            <a:r>
              <a:rPr lang="en-US" sz="1100" b="0" i="0">
                <a:solidFill>
                  <a:schemeClr val="dk1"/>
                </a:solidFill>
                <a:effectLst/>
                <a:latin typeface="+mn-lt"/>
                <a:ea typeface="+mn-ea"/>
                <a:cs typeface="+mn-cs"/>
              </a:rPr>
              <a:t> Goddard, Nancy; Williams, Troy; Haney, Bryan</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Subject:</a:t>
            </a:r>
            <a:r>
              <a:rPr lang="en-US" sz="1100" b="0" i="0">
                <a:solidFill>
                  <a:schemeClr val="dk1"/>
                </a:solidFill>
                <a:effectLst/>
                <a:latin typeface="+mn-lt"/>
                <a:ea typeface="+mn-ea"/>
                <a:cs typeface="+mn-cs"/>
              </a:rPr>
              <a:t> IES Nozzle Size and Average Flow Rate Evaluation</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Don,</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Based on our conversation I have put together a summary table showing the hand &amp; wheel line nozzles that have been replaced through our exchange program from 2010 – 2012.  The majority of the nozzles are 5/32” nozzles (71%) with some larger and some smaller.  If we do an overall weighted average of flow based on all of the nozzles that have been exchanged during this time period the average flow is 5.1 gpm which is approximately equivalent to the flow from a 5/32” nozzle (5.0 gpm).  The summary table is presented below.</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 </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 have also had a chance to review the RTF savings calculation spreadsheet and have some comments that we could include to the RTF subcommittee about the pivot component savings calculations.  Please give me a call when you are ready to discuss that spreadsheet or if you have any questions.  Thanks.</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Rick</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Rick Rumsey, M.S., P.E.</a:t>
            </a:r>
          </a:p>
        </xdr:txBody>
      </xdr:sp>
      <xdr:pic>
        <xdr:nvPicPr>
          <xdr:cNvPr id="14" name="Picture 13"/>
          <xdr:cNvPicPr>
            <a:picLocks noChangeAspect="1"/>
          </xdr:cNvPicPr>
        </xdr:nvPicPr>
        <xdr:blipFill>
          <a:blip xmlns:r="http://schemas.openxmlformats.org/officeDocument/2006/relationships" r:embed="rId4" cstate="print"/>
          <a:stretch>
            <a:fillRect/>
          </a:stretch>
        </xdr:blipFill>
        <xdr:spPr>
          <a:xfrm>
            <a:off x="204108" y="37310785"/>
            <a:ext cx="3169920" cy="2887980"/>
          </a:xfrm>
          <a:prstGeom prst="rect">
            <a:avLst/>
          </a:prstGeom>
        </xdr:spPr>
      </xdr:pic>
    </xdr:grpSp>
    <xdr:clientData/>
  </xdr:twoCellAnchor>
  <xdr:twoCellAnchor>
    <xdr:from>
      <xdr:col>0</xdr:col>
      <xdr:colOff>95250</xdr:colOff>
      <xdr:row>256</xdr:row>
      <xdr:rowOff>54428</xdr:rowOff>
    </xdr:from>
    <xdr:to>
      <xdr:col>10</xdr:col>
      <xdr:colOff>340179</xdr:colOff>
      <xdr:row>275</xdr:row>
      <xdr:rowOff>149679</xdr:rowOff>
    </xdr:to>
    <xdr:sp macro="" textlink="">
      <xdr:nvSpPr>
        <xdr:cNvPr id="15" name="TextBox 14"/>
        <xdr:cNvSpPr txBox="1"/>
      </xdr:nvSpPr>
      <xdr:spPr>
        <a:xfrm>
          <a:off x="95250" y="41507228"/>
          <a:ext cx="6340929" cy="3171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From: </a:t>
          </a:r>
          <a:r>
            <a:rPr lang="en-US" sz="1100" b="1" i="0">
              <a:solidFill>
                <a:schemeClr val="dk1"/>
              </a:solidFill>
              <a:effectLst/>
              <a:latin typeface="+mn-lt"/>
              <a:ea typeface="+mn-ea"/>
              <a:cs typeface="+mn-cs"/>
            </a:rPr>
            <a:t>Rick Rumsey</a:t>
          </a:r>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Date: Wed, Apr 10, 2013 at 4:05 PM</a:t>
          </a:r>
          <a:r>
            <a:rPr lang="en-US"/>
            <a:t/>
          </a:r>
          <a:br>
            <a:rPr lang="en-US"/>
          </a:br>
          <a:r>
            <a:rPr lang="en-US" sz="1100" b="0" i="0">
              <a:solidFill>
                <a:schemeClr val="dk1"/>
              </a:solidFill>
              <a:effectLst/>
              <a:latin typeface="+mn-lt"/>
              <a:ea typeface="+mn-ea"/>
              <a:cs typeface="+mn-cs"/>
            </a:rPr>
            <a:t>Subject: RE: IES Nozzle Size and Average Flow Rate Evaluation</a:t>
          </a:r>
          <a:r>
            <a:rPr lang="en-US"/>
            <a:t/>
          </a:r>
          <a:br>
            <a:rPr lang="en-US"/>
          </a:br>
          <a:r>
            <a:rPr lang="en-US" sz="1100" b="0" i="0">
              <a:solidFill>
                <a:schemeClr val="dk1"/>
              </a:solidFill>
              <a:effectLst/>
              <a:latin typeface="+mn-lt"/>
              <a:ea typeface="+mn-ea"/>
              <a:cs typeface="+mn-cs"/>
            </a:rPr>
            <a:t>To: "Jones JR, Don (DSM)", Adam Hadley</a:t>
          </a:r>
          <a:r>
            <a:rPr lang="en-US"/>
            <a:t/>
          </a:r>
          <a:br>
            <a:rPr lang="en-US"/>
          </a:br>
          <a:r>
            <a:rPr lang="en-US" sz="1100" b="0" i="0">
              <a:solidFill>
                <a:schemeClr val="dk1"/>
              </a:solidFill>
              <a:effectLst/>
              <a:latin typeface="+mn-lt"/>
              <a:ea typeface="+mn-ea"/>
              <a:cs typeface="+mn-cs"/>
            </a:rPr>
            <a:t>Cc: "Williams, Troy"</a:t>
          </a:r>
          <a:r>
            <a:rPr lang="en-US"/>
            <a:t/>
          </a:r>
          <a:br>
            <a:rPr lang="en-US"/>
          </a:br>
          <a:r>
            <a:rPr lang="en-US"/>
            <a:t/>
          </a:r>
          <a:br>
            <a:rPr lang="en-US"/>
          </a:br>
          <a:r>
            <a:rPr lang="en-US"/>
            <a:t/>
          </a:r>
          <a:br>
            <a:rPr lang="en-US"/>
          </a:br>
          <a:r>
            <a:rPr lang="en-US" sz="1100" b="0" i="0">
              <a:solidFill>
                <a:schemeClr val="dk1"/>
              </a:solidFill>
              <a:effectLst/>
              <a:latin typeface="+mn-lt"/>
              <a:ea typeface="+mn-ea"/>
              <a:cs typeface="+mn-cs"/>
            </a:rPr>
            <a:t>Adam,</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I spoke with one of our dealers about the center pivot tower boot gaskets.  The actual cost of the gasket is about $30.  They do install some and when they do they send a boom truck out with a cost of $80/hour.  I would assume that an installation cost of $80/gasket would be reasonable for the dealer to replace the gasket.  If the customer replaces it themself then I would estimate the installation cost to be about $30.  I hope that helps.</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Rick</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Rick Rumsey, M.S., P.E.</a:t>
          </a:r>
        </a:p>
        <a:p>
          <a:endParaRPr lang="en-US" sz="1100"/>
        </a:p>
      </xdr:txBody>
    </xdr:sp>
    <xdr:clientData/>
  </xdr:twoCellAnchor>
  <xdr:twoCellAnchor>
    <xdr:from>
      <xdr:col>0</xdr:col>
      <xdr:colOff>204107</xdr:colOff>
      <xdr:row>278</xdr:row>
      <xdr:rowOff>0</xdr:rowOff>
    </xdr:from>
    <xdr:to>
      <xdr:col>11</xdr:col>
      <xdr:colOff>13607</xdr:colOff>
      <xdr:row>298</xdr:row>
      <xdr:rowOff>13608</xdr:rowOff>
    </xdr:to>
    <xdr:sp macro="" textlink="">
      <xdr:nvSpPr>
        <xdr:cNvPr id="16" name="TextBox 15"/>
        <xdr:cNvSpPr txBox="1"/>
      </xdr:nvSpPr>
      <xdr:spPr>
        <a:xfrm>
          <a:off x="204107" y="45015150"/>
          <a:ext cx="6515100" cy="43474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100" b="0" i="0">
              <a:solidFill>
                <a:schemeClr val="dk1"/>
              </a:solidFill>
              <a:effectLst/>
              <a:latin typeface="+mn-lt"/>
              <a:ea typeface="+mn-ea"/>
              <a:cs typeface="+mn-cs"/>
            </a:rPr>
            <a:t>---------- Forwarded message ----------</a:t>
          </a:r>
          <a:r>
            <a:rPr lang="en-US"/>
            <a:t/>
          </a:r>
          <a:br>
            <a:rPr lang="en-US"/>
          </a:br>
          <a:r>
            <a:rPr lang="en-US" sz="1100" b="0" i="0">
              <a:solidFill>
                <a:schemeClr val="dk1"/>
              </a:solidFill>
              <a:effectLst/>
              <a:latin typeface="+mn-lt"/>
              <a:ea typeface="+mn-ea"/>
              <a:cs typeface="+mn-cs"/>
            </a:rPr>
            <a:t>From: </a:t>
          </a:r>
          <a:r>
            <a:rPr lang="en-US" sz="1100" b="1" i="0">
              <a:solidFill>
                <a:schemeClr val="dk1"/>
              </a:solidFill>
              <a:effectLst/>
              <a:latin typeface="+mn-lt"/>
              <a:ea typeface="+mn-ea"/>
              <a:cs typeface="+mn-cs"/>
            </a:rPr>
            <a:t>Stroh,Dick (BPA) - PEJD-IDAHO FALLS</a:t>
          </a:r>
          <a:r>
            <a:rPr lang="en-US" sz="1100" b="0" i="0">
              <a:solidFill>
                <a:schemeClr val="dk1"/>
              </a:solidFill>
              <a:effectLst/>
              <a:latin typeface="+mn-lt"/>
              <a:ea typeface="+mn-ea"/>
              <a:cs typeface="+mn-cs"/>
            </a:rPr>
            <a:t> &lt;rcstroh@bpa.gov&gt;</a:t>
          </a:r>
          <a:r>
            <a:rPr lang="en-US"/>
            <a:t/>
          </a:r>
          <a:br>
            <a:rPr lang="en-US"/>
          </a:br>
          <a:r>
            <a:rPr lang="en-US" sz="1100" b="0" i="0">
              <a:solidFill>
                <a:schemeClr val="dk1"/>
              </a:solidFill>
              <a:effectLst/>
              <a:latin typeface="+mn-lt"/>
              <a:ea typeface="+mn-ea"/>
              <a:cs typeface="+mn-cs"/>
            </a:rPr>
            <a:t>Date: Thu, Apr 11, 2013 at 7:30 AM</a:t>
          </a:r>
          <a:r>
            <a:rPr lang="en-US"/>
            <a:t/>
          </a:r>
          <a:br>
            <a:rPr lang="en-US"/>
          </a:br>
          <a:r>
            <a:rPr lang="en-US" sz="1100" b="0" i="0">
              <a:solidFill>
                <a:schemeClr val="dk1"/>
              </a:solidFill>
              <a:effectLst/>
              <a:latin typeface="+mn-lt"/>
              <a:ea typeface="+mn-ea"/>
              <a:cs typeface="+mn-cs"/>
            </a:rPr>
            <a:t>Subject: RE: Ag Irrigation Hardware - Subcommittee Follow-up</a:t>
          </a:r>
          <a:r>
            <a:rPr lang="en-US"/>
            <a:t/>
          </a:r>
          <a:br>
            <a:rPr lang="en-US"/>
          </a:br>
          <a:r>
            <a:rPr lang="en-US" sz="1100" b="0" i="0">
              <a:solidFill>
                <a:schemeClr val="dk1"/>
              </a:solidFill>
              <a:effectLst/>
              <a:latin typeface="+mn-lt"/>
              <a:ea typeface="+mn-ea"/>
              <a:cs typeface="+mn-cs"/>
            </a:rPr>
            <a:t>To: Adam Hadley &lt;adam@hadleyenergy.com&gt;, Brad Acker &lt;backer@uidaho.edu&gt;, "Gidding,Danielle N (BPA) - PEJB-1" &lt;dngidding@bpa.gov&gt;, Dennis Merrick &lt;DMerrick@idahopower.com&gt;, Don Jones JR &lt;Don.Jones_JR@pacificorp.com&gt;, Gary Grayson &lt;ggrayson@idahopower.com&gt;, Howard Neibling &lt;hneiblin@uidaho.edu&gt;, Jim Williams &lt;jimw1@web-ster.com&gt;, Josh Rushton &lt;josh@rushtonanalytics.com&gt;, Mike Darrington &lt;mdarrington@idahopower.com&gt;, Nick O'Neil &lt;noneil@nwcouncil.org&gt;, Pete Pengilly &lt;PPengilly@idahopower.com&gt;, Quentin Nesbitt &lt;qnesbitt@idahopower.com&gt;, Ryan Firestone &lt;ryan.firestone@ptarmiganresearch.com&gt;, Ted Light &lt;Ted.Light@energytrust.org&gt;, "Osborn,Thomas R (BPA) - PEJD-WALLA WALLA" &lt;trosborn@bpa.gov&gt;, Tom Eckman &lt;teckman@nwcouncil.org&gt;, Rick Rumsey &lt;rick@rumsey-eng.com&gt;, "twilliams@nexant.com" &lt;twilliams@nexant.com&gt;, "Read, Cory" &lt;CRead@idahopower.com&gt;</a:t>
          </a:r>
          <a:r>
            <a:rPr lang="en-US"/>
            <a:t/>
          </a:r>
          <a:br>
            <a:rPr lang="en-US"/>
          </a:br>
          <a:r>
            <a:rPr lang="en-US"/>
            <a:t/>
          </a:r>
          <a:br>
            <a:rPr lang="en-US"/>
          </a:br>
          <a:r>
            <a:rPr lang="en-US"/>
            <a:t/>
          </a:r>
          <a:br>
            <a:rPr lang="en-US"/>
          </a:br>
          <a:r>
            <a:rPr lang="en-US" sz="1100" b="0" i="0">
              <a:solidFill>
                <a:schemeClr val="dk1"/>
              </a:solidFill>
              <a:effectLst/>
              <a:latin typeface="+mn-lt"/>
              <a:ea typeface="+mn-ea"/>
              <a:cs typeface="+mn-cs"/>
            </a:rPr>
            <a:t>Adam,</a:t>
          </a:r>
        </a:p>
        <a:p>
          <a:pPr rtl="0"/>
          <a:r>
            <a:rPr lang="en-US" sz="1100" b="0" i="0">
              <a:solidFill>
                <a:schemeClr val="dk1"/>
              </a:solidFill>
              <a:effectLst/>
              <a:latin typeface="+mn-lt"/>
              <a:ea typeface="+mn-ea"/>
              <a:cs typeface="+mn-cs"/>
            </a:rPr>
            <a:t> </a:t>
          </a:r>
        </a:p>
        <a:p>
          <a:pPr rtl="0"/>
          <a:r>
            <a:rPr lang="en-US" sz="1100" b="0" i="0">
              <a:solidFill>
                <a:schemeClr val="dk1"/>
              </a:solidFill>
              <a:effectLst/>
              <a:latin typeface="+mn-lt"/>
              <a:ea typeface="+mn-ea"/>
              <a:cs typeface="+mn-cs"/>
            </a:rPr>
            <a:t>I pulled data from our database on nozzle sizes and pressures for our area.  I have three areas shown.  Let me know if you have any questions.  I thought I would also check out average hours of operation for the different areas as we have running horsepower and 5 years of kWh history for the different areas.  I haven't had a chance to run that data yet.</a:t>
          </a:r>
        </a:p>
        <a:p>
          <a:pPr rtl="0"/>
          <a:r>
            <a:rPr lang="en-US" sz="1100" b="0" i="0">
              <a:solidFill>
                <a:schemeClr val="dk1"/>
              </a:solidFill>
              <a:effectLst/>
              <a:latin typeface="+mn-lt"/>
              <a:ea typeface="+mn-ea"/>
              <a:cs typeface="+mn-cs"/>
            </a:rPr>
            <a:t> </a:t>
          </a:r>
        </a:p>
        <a:p>
          <a:pPr rtl="0"/>
          <a:r>
            <a:rPr lang="en-US" sz="1100" b="0" i="0">
              <a:solidFill>
                <a:schemeClr val="dk1"/>
              </a:solidFill>
              <a:effectLst/>
              <a:latin typeface="+mn-lt"/>
              <a:ea typeface="+mn-ea"/>
              <a:cs typeface="+mn-cs"/>
            </a:rPr>
            <a:t>Dick</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71</xdr:col>
      <xdr:colOff>1143000</xdr:colOff>
      <xdr:row>119</xdr:row>
      <xdr:rowOff>180414</xdr:rowOff>
    </xdr:from>
    <xdr:to>
      <xdr:col>77</xdr:col>
      <xdr:colOff>358589</xdr:colOff>
      <xdr:row>134</xdr:row>
      <xdr:rowOff>66114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5</xdr:row>
      <xdr:rowOff>41275</xdr:rowOff>
    </xdr:from>
    <xdr:to>
      <xdr:col>105</xdr:col>
      <xdr:colOff>275167</xdr:colOff>
      <xdr:row>19</xdr:row>
      <xdr:rowOff>117475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98</xdr:col>
      <xdr:colOff>10584</xdr:colOff>
      <xdr:row>21</xdr:row>
      <xdr:rowOff>178858</xdr:rowOff>
    </xdr:from>
    <xdr:to>
      <xdr:col>105</xdr:col>
      <xdr:colOff>285751</xdr:colOff>
      <xdr:row>36</xdr:row>
      <xdr:rowOff>64558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52916</xdr:colOff>
      <xdr:row>38</xdr:row>
      <xdr:rowOff>115357</xdr:rowOff>
    </xdr:from>
    <xdr:to>
      <xdr:col>105</xdr:col>
      <xdr:colOff>328083</xdr:colOff>
      <xdr:row>53</xdr:row>
      <xdr:rowOff>1057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venthPlan/Conservation%20Analysis/Global%20EE%20Inputs/Units%20Forecasts/7P%20Forecasts%20D2_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g_Mas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venthPlan/Conservation%20Analysis/Global%20EE%20Inputs/Units%20Forecasts/7P%20Forecasts%20D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OG"/>
      <sheetName val="Forecast Switchboard"/>
      <sheetName val="Lists&amp;Tables"/>
      <sheetName val="Res Forecast (Low)"/>
      <sheetName val="Res Forecast (Base Case)"/>
      <sheetName val="Res Forecast (High)"/>
      <sheetName val="Com Forecast (Low)"/>
      <sheetName val="Com Forecast (Base Case)"/>
      <sheetName val="Com Forecast (High)"/>
      <sheetName val="Ind Forecast (Base Case)"/>
      <sheetName val="Ag Forecast (Low)"/>
      <sheetName val="Ag Forecast (Base Case)"/>
      <sheetName val="Ag Forecast (High)"/>
      <sheetName val="Pop Forecast (High Case)"/>
      <sheetName val="Pop Forecast (Base Case)"/>
      <sheetName val="Pop Forecast (Low Case)"/>
      <sheetName val="DEI (Base C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6">
          <cell r="C26" t="str">
            <v>Idaho</v>
          </cell>
          <cell r="AI26">
            <v>0</v>
          </cell>
          <cell r="AJ26">
            <v>1.2504100211369894E-4</v>
          </cell>
          <cell r="AK26">
            <v>1.7375879514796466E-4</v>
          </cell>
          <cell r="AL26">
            <v>6.1210927779177624E-4</v>
          </cell>
          <cell r="AM26">
            <v>8.8127487458086599E-4</v>
          </cell>
          <cell r="AN26">
            <v>1.1201972174019578E-3</v>
          </cell>
          <cell r="AO26">
            <v>1.2717867360821197E-3</v>
          </cell>
          <cell r="AP26">
            <v>1.4404642508513471E-3</v>
          </cell>
          <cell r="AQ26">
            <v>1.5874396385228723E-3</v>
          </cell>
          <cell r="AR26">
            <v>1.7204636459112381E-3</v>
          </cell>
          <cell r="AS26">
            <v>1.8289050040785739E-3</v>
          </cell>
          <cell r="AT26">
            <v>1.9377539743383628E-3</v>
          </cell>
          <cell r="AU26">
            <v>2.0316119038316116E-3</v>
          </cell>
          <cell r="AV26">
            <v>2.128079506222659E-3</v>
          </cell>
          <cell r="AW26">
            <v>2.2126572758413075E-3</v>
          </cell>
          <cell r="AX26">
            <v>2.2578225416429688E-3</v>
          </cell>
          <cell r="AY26">
            <v>2.3464540176612314E-3</v>
          </cell>
          <cell r="AZ26">
            <v>2.414467009038601E-3</v>
          </cell>
          <cell r="BA26">
            <v>2.4848313911262653E-3</v>
          </cell>
          <cell r="BB26">
            <v>2.5344116000376449E-3</v>
          </cell>
        </row>
        <row r="27">
          <cell r="C27" t="str">
            <v>Montana</v>
          </cell>
          <cell r="AI27">
            <v>0</v>
          </cell>
          <cell r="AJ27">
            <v>1.0848242299839954E-2</v>
          </cell>
          <cell r="AK27">
            <v>1.059267655252486E-2</v>
          </cell>
          <cell r="AL27">
            <v>1.0752312089181865E-2</v>
          </cell>
          <cell r="AM27">
            <v>1.075849831916186E-2</v>
          </cell>
          <cell r="AN27">
            <v>7.6567396067742733E-3</v>
          </cell>
          <cell r="AO27">
            <v>7.6532068711881581E-3</v>
          </cell>
          <cell r="AP27">
            <v>7.9235679867256659E-3</v>
          </cell>
          <cell r="AQ27">
            <v>8.1459053842477987E-3</v>
          </cell>
          <cell r="AR27">
            <v>8.331284422267278E-3</v>
          </cell>
          <cell r="AS27">
            <v>8.47135846405455E-3</v>
          </cell>
          <cell r="AT27">
            <v>8.5938864965773454E-3</v>
          </cell>
          <cell r="AU27">
            <v>8.6866032784890905E-3</v>
          </cell>
          <cell r="AV27">
            <v>8.7680800681235963E-3</v>
          </cell>
          <cell r="AW27">
            <v>8.8271867856936984E-3</v>
          </cell>
          <cell r="AX27">
            <v>8.8355566433926322E-3</v>
          </cell>
          <cell r="AY27">
            <v>8.8812025924713319E-3</v>
          </cell>
          <cell r="AZ27">
            <v>8.8979055290069331E-3</v>
          </cell>
          <cell r="BA27">
            <v>8.9118787925779024E-3</v>
          </cell>
          <cell r="BB27">
            <v>8.9015256915168112E-3</v>
          </cell>
        </row>
        <row r="28">
          <cell r="C28" t="str">
            <v>Oregon</v>
          </cell>
          <cell r="AI28">
            <v>0</v>
          </cell>
          <cell r="AJ28">
            <v>1.0110842680911804E-2</v>
          </cell>
          <cell r="AK28">
            <v>1.0059217505089263E-2</v>
          </cell>
          <cell r="AL28">
            <v>1.1176866051223918E-2</v>
          </cell>
          <cell r="AM28">
            <v>1.9803102619340613E-2</v>
          </cell>
          <cell r="AN28">
            <v>1.2078828157499845E-2</v>
          </cell>
          <cell r="AO28">
            <v>1.2074917420983849E-2</v>
          </cell>
          <cell r="AP28">
            <v>1.2823009061012478E-2</v>
          </cell>
          <cell r="AQ28">
            <v>1.2064646132519813E-2</v>
          </cell>
          <cell r="AR28">
            <v>2.1359830411811859E-2</v>
          </cell>
          <cell r="AS28">
            <v>1.1864279678250279E-2</v>
          </cell>
          <cell r="AT28">
            <v>1.1811806122028052E-2</v>
          </cell>
          <cell r="AU28">
            <v>1.1060463245174785E-2</v>
          </cell>
          <cell r="AV28">
            <v>1.1689201211084101E-2</v>
          </cell>
          <cell r="AW28">
            <v>1.9623204602959039E-2</v>
          </cell>
          <cell r="AX28">
            <v>1.2054155221857031E-2</v>
          </cell>
          <cell r="AY28">
            <v>1.2615728823653952E-2</v>
          </cell>
          <cell r="AZ28">
            <v>1.2496481187089379E-2</v>
          </cell>
          <cell r="BA28">
            <v>1.1753415892541448E-2</v>
          </cell>
          <cell r="BB28">
            <v>2.0946064887122692E-2</v>
          </cell>
        </row>
        <row r="29">
          <cell r="C29" t="str">
            <v>Washington</v>
          </cell>
          <cell r="AI29">
            <v>0</v>
          </cell>
          <cell r="AJ29">
            <v>1.0662122206220235E-2</v>
          </cell>
          <cell r="AK29">
            <v>1.0931258902780325E-2</v>
          </cell>
          <cell r="AL29">
            <v>1.1173761515183053E-2</v>
          </cell>
          <cell r="AM29">
            <v>1.811439906784525E-2</v>
          </cell>
          <cell r="AN29">
            <v>1.2399989211989764E-2</v>
          </cell>
          <cell r="AO29">
            <v>1.1939862954954953E-2</v>
          </cell>
          <cell r="AP29">
            <v>1.2288284859874222E-2</v>
          </cell>
          <cell r="AQ29">
            <v>1.1842226253476947E-2</v>
          </cell>
          <cell r="AR29">
            <v>1.9682157833762929E-2</v>
          </cell>
          <cell r="AS29">
            <v>1.1592234987503456E-2</v>
          </cell>
          <cell r="AT29">
            <v>1.1147844023716795E-2</v>
          </cell>
          <cell r="AU29">
            <v>1.1425985017752077E-2</v>
          </cell>
          <cell r="AV29">
            <v>1.0985810035676221E-2</v>
          </cell>
          <cell r="AW29">
            <v>1.7930228386922677E-2</v>
          </cell>
          <cell r="AX29">
            <v>1.1736355426763144E-2</v>
          </cell>
          <cell r="AY29">
            <v>1.1982095590114178E-2</v>
          </cell>
          <cell r="AZ29">
            <v>1.1862624139313738E-2</v>
          </cell>
          <cell r="BA29">
            <v>1.1418033334772959E-2</v>
          </cell>
          <cell r="BB29">
            <v>1.8838157687553127E-2</v>
          </cell>
        </row>
      </sheetData>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verview"/>
      <sheetName val="Update Log"/>
      <sheetName val="MLIST"/>
      <sheetName val="FILES"/>
      <sheetName val="APPLIC"/>
      <sheetName val="FEAS"/>
      <sheetName val="BASE"/>
      <sheetName val="STOCK"/>
      <sheetName val="TURN"/>
      <sheetName val="ACHIEV"/>
      <sheetName val="CODE"/>
      <sheetName val="SATS"/>
      <sheetName val="Water Applied by Crop"/>
      <sheetName val="Water Use by Sprinklers"/>
      <sheetName val="Energy Expense"/>
      <sheetName val="Depth of Wells"/>
      <sheetName val="Water Use by All Methods"/>
      <sheetName val="Applic Acres"/>
      <sheetName val="Vars"/>
      <sheetName val="Labels"/>
      <sheetName val="Lookup"/>
      <sheetName val="UEC"/>
      <sheetName val="Tracking Status"/>
    </sheetNames>
    <sheetDataSet>
      <sheetData sheetId="0"/>
      <sheetData sheetId="1"/>
      <sheetData sheetId="2"/>
      <sheetData sheetId="3">
        <row r="4">
          <cell r="H4">
            <v>2035</v>
          </cell>
        </row>
      </sheetData>
      <sheetData sheetId="4">
        <row r="8">
          <cell r="B8" t="str">
            <v>Measure Index Name</v>
          </cell>
          <cell r="C8" t="str">
            <v>Idaho</v>
          </cell>
          <cell r="D8" t="str">
            <v>Montana</v>
          </cell>
          <cell r="E8" t="str">
            <v>Oregon</v>
          </cell>
          <cell r="F8" t="str">
            <v>Washington</v>
          </cell>
        </row>
        <row r="9">
          <cell r="B9" t="str">
            <v xml:space="preserve">Wheel/hand line systems: Replace worn nozzle with new flow controlling type nozzle for impact sprinklers </v>
          </cell>
          <cell r="C9">
            <v>0.30000000000000004</v>
          </cell>
          <cell r="D9">
            <v>0.30000000000000004</v>
          </cell>
          <cell r="E9">
            <v>0.30000000000000004</v>
          </cell>
          <cell r="F9">
            <v>0.30000000000000004</v>
          </cell>
        </row>
        <row r="10">
          <cell r="B10" t="str">
            <v xml:space="preserve">Wheel/hand line systems: Replace worn nozzle with new nozzle </v>
          </cell>
          <cell r="C10">
            <v>0.30000000000000004</v>
          </cell>
          <cell r="D10">
            <v>0.30000000000000004</v>
          </cell>
          <cell r="E10">
            <v>0.30000000000000004</v>
          </cell>
          <cell r="F10">
            <v>0.30000000000000004</v>
          </cell>
        </row>
        <row r="11">
          <cell r="B11" t="str">
            <v xml:space="preserve">Wheel/hand line systems: Rebuild or replace leaking impact sprinkler with new or rebuilt impact sprinkler </v>
          </cell>
          <cell r="C11">
            <v>0.30000000000000004</v>
          </cell>
          <cell r="D11">
            <v>0.30000000000000004</v>
          </cell>
          <cell r="E11">
            <v>0.30000000000000004</v>
          </cell>
          <cell r="F11">
            <v>0.30000000000000004</v>
          </cell>
        </row>
        <row r="12">
          <cell r="B12" t="str">
            <v xml:space="preserve">Wheel/hand line systems: Replace leaking gasket with new gasket </v>
          </cell>
          <cell r="C12">
            <v>0.30000000000000004</v>
          </cell>
          <cell r="D12">
            <v>0.30000000000000004</v>
          </cell>
          <cell r="E12">
            <v>0.30000000000000004</v>
          </cell>
          <cell r="F12">
            <v>0.30000000000000004</v>
          </cell>
        </row>
        <row r="13">
          <cell r="B13" t="str">
            <v xml:space="preserve">Wheel/hand line systems: Replace leaking drain with new drain </v>
          </cell>
          <cell r="C13">
            <v>0.30000000000000004</v>
          </cell>
          <cell r="D13">
            <v>0.30000000000000004</v>
          </cell>
          <cell r="E13">
            <v>0.30000000000000004</v>
          </cell>
          <cell r="F13">
            <v>0.30000000000000004</v>
          </cell>
        </row>
        <row r="14">
          <cell r="B14" t="str">
            <v xml:space="preserve">Wheel/hand line systems: Cut and pipe press repair of leaking hand-lines, wheel-lines, and portable main-lines </v>
          </cell>
          <cell r="C14">
            <v>0.30000000000000004</v>
          </cell>
          <cell r="D14">
            <v>0.30000000000000004</v>
          </cell>
          <cell r="E14">
            <v>0.30000000000000004</v>
          </cell>
          <cell r="F14">
            <v>0.30000000000000004</v>
          </cell>
        </row>
        <row r="15">
          <cell r="B15" t="str">
            <v xml:space="preserve">Thunderbird wheel line systems: Replace leaking hub with new hub </v>
          </cell>
          <cell r="C15">
            <v>0.30000000000000004</v>
          </cell>
          <cell r="D15">
            <v>0.30000000000000004</v>
          </cell>
          <cell r="E15">
            <v>0.30000000000000004</v>
          </cell>
          <cell r="F15">
            <v>0.30000000000000004</v>
          </cell>
        </row>
        <row r="16">
          <cell r="B16" t="str">
            <v xml:space="preserve">Wheel line systems: Rebuild or replace leaking or malfunctioning leveler with new or rebuilt leveler. </v>
          </cell>
          <cell r="C16">
            <v>0.30000000000000004</v>
          </cell>
          <cell r="D16">
            <v>0.30000000000000004</v>
          </cell>
          <cell r="E16">
            <v>0.30000000000000004</v>
          </cell>
          <cell r="F16">
            <v>0.30000000000000004</v>
          </cell>
        </row>
        <row r="17">
          <cell r="B17" t="str">
            <v xml:space="preserve">Center pivot/linear move systems: Install new sprinkler package on an existing system. </v>
          </cell>
          <cell r="C17">
            <v>0.30000000000000004</v>
          </cell>
          <cell r="D17">
            <v>0.30000000000000004</v>
          </cell>
          <cell r="E17">
            <v>0.30000000000000004</v>
          </cell>
          <cell r="F17">
            <v>0.30000000000000004</v>
          </cell>
        </row>
        <row r="18">
          <cell r="B18" t="str">
            <v xml:space="preserve">Center pivot/linear move systems: New gooseneck elbows </v>
          </cell>
          <cell r="C18">
            <v>0.30000000000000004</v>
          </cell>
          <cell r="D18">
            <v>0.30000000000000004</v>
          </cell>
          <cell r="E18">
            <v>0.30000000000000004</v>
          </cell>
          <cell r="F18">
            <v>0.30000000000000004</v>
          </cell>
        </row>
        <row r="19">
          <cell r="B19" t="str">
            <v xml:space="preserve">Center pivot/linear move systems: New drop tubes (3 feet minimum) </v>
          </cell>
          <cell r="C19">
            <v>0.30000000000000004</v>
          </cell>
          <cell r="D19">
            <v>0.30000000000000004</v>
          </cell>
          <cell r="E19">
            <v>0.30000000000000004</v>
          </cell>
          <cell r="F19">
            <v>0.30000000000000004</v>
          </cell>
        </row>
        <row r="20">
          <cell r="B20" t="str">
            <v xml:space="preserve">Center pivot/linear move systems: Replace leaking pivot boot gasket with new pivot boot gasket </v>
          </cell>
          <cell r="C20">
            <v>0.30000000000000004</v>
          </cell>
          <cell r="D20">
            <v>0.30000000000000004</v>
          </cell>
          <cell r="E20">
            <v>0.30000000000000004</v>
          </cell>
          <cell r="F20">
            <v>0.30000000000000004</v>
          </cell>
        </row>
        <row r="21">
          <cell r="B21" t="str">
            <v xml:space="preserve">Center pivot/linear move systems: Replace leaking tower gasket with new tower gasket </v>
          </cell>
          <cell r="C21">
            <v>0.30000000000000004</v>
          </cell>
          <cell r="D21">
            <v>0.30000000000000004</v>
          </cell>
          <cell r="E21">
            <v>0.30000000000000004</v>
          </cell>
          <cell r="F21">
            <v>0.30000000000000004</v>
          </cell>
        </row>
        <row r="22">
          <cell r="B22" t="str">
            <v>Convert Medium Pressure Center Pivot to Low pressure system</v>
          </cell>
          <cell r="C22">
            <v>0.19500000000000003</v>
          </cell>
          <cell r="D22">
            <v>0.19500000000000003</v>
          </cell>
          <cell r="E22">
            <v>0.19500000000000003</v>
          </cell>
          <cell r="F22">
            <v>0.19500000000000003</v>
          </cell>
        </row>
        <row r="23">
          <cell r="B23" t="str">
            <v>Convert High Pressure Center Pivot to Low pressure system</v>
          </cell>
          <cell r="C23">
            <v>0.255</v>
          </cell>
          <cell r="D23">
            <v>0.255</v>
          </cell>
          <cell r="E23">
            <v>0.255</v>
          </cell>
          <cell r="F23">
            <v>0.255</v>
          </cell>
        </row>
        <row r="24">
          <cell r="B24" t="str">
            <v>Convert wheel line systems to low pressure systems on alfalfa acreage</v>
          </cell>
          <cell r="C24">
            <v>0.10500000000000001</v>
          </cell>
          <cell r="D24">
            <v>0.10500000000000001</v>
          </cell>
          <cell r="E24">
            <v>0.10500000000000001</v>
          </cell>
          <cell r="F24">
            <v>0.10500000000000001</v>
          </cell>
        </row>
        <row r="25">
          <cell r="B25" t="str">
            <v>Convert hand line systems to low pressure systems on alfalfa acreage</v>
          </cell>
          <cell r="C25">
            <v>0.10500000000000001</v>
          </cell>
          <cell r="D25">
            <v>0.10500000000000001</v>
          </cell>
          <cell r="E25">
            <v>0.10500000000000001</v>
          </cell>
          <cell r="F25">
            <v>0.10500000000000001</v>
          </cell>
        </row>
        <row r="26">
          <cell r="B26" t="str">
            <v>SIS</v>
          </cell>
          <cell r="C26">
            <v>0.85</v>
          </cell>
          <cell r="D26">
            <v>0.85</v>
          </cell>
          <cell r="E26">
            <v>0.85</v>
          </cell>
          <cell r="F26">
            <v>0.85</v>
          </cell>
        </row>
        <row r="27">
          <cell r="B27" t="str">
            <v>LESA</v>
          </cell>
          <cell r="C27">
            <v>0.29699999999999999</v>
          </cell>
          <cell r="D27">
            <v>0.29699999999999999</v>
          </cell>
          <cell r="E27">
            <v>0.29699999999999999</v>
          </cell>
          <cell r="F27">
            <v>0.29699999999999999</v>
          </cell>
        </row>
        <row r="28">
          <cell r="B28" t="str">
            <v>Motor Rewind</v>
          </cell>
          <cell r="C28">
            <v>0.51800000000000002</v>
          </cell>
          <cell r="D28">
            <v>0.51800000000000002</v>
          </cell>
          <cell r="E28">
            <v>0.51800000000000002</v>
          </cell>
          <cell r="F28">
            <v>0.51800000000000002</v>
          </cell>
        </row>
        <row r="29">
          <cell r="B29" t="str">
            <v>Install VSD on Irrigation Pump</v>
          </cell>
          <cell r="C29">
            <v>0.63</v>
          </cell>
          <cell r="D29">
            <v>0.63</v>
          </cell>
          <cell r="E29">
            <v>0.63</v>
          </cell>
          <cell r="F29">
            <v>0.63</v>
          </cell>
        </row>
        <row r="30">
          <cell r="B30" t="str">
            <v>VSD - Vacuum Pump - FreeStall</v>
          </cell>
          <cell r="C30">
            <v>2.5000000000000022E-3</v>
          </cell>
          <cell r="D30">
            <v>2.5000000000000022E-3</v>
          </cell>
          <cell r="E30">
            <v>2.5000000000000022E-3</v>
          </cell>
          <cell r="F30">
            <v>2.5000000000000022E-3</v>
          </cell>
        </row>
        <row r="31">
          <cell r="B31" t="str">
            <v>Plate Milk Pre-cooler - FreeStall</v>
          </cell>
          <cell r="C31">
            <v>4.7500000000000042E-2</v>
          </cell>
          <cell r="D31">
            <v>4.7500000000000042E-2</v>
          </cell>
          <cell r="E31">
            <v>4.7500000000000042E-2</v>
          </cell>
          <cell r="F31">
            <v>4.7500000000000042E-2</v>
          </cell>
        </row>
        <row r="32">
          <cell r="B32" t="str">
            <v>Energy Efficient Lighting - FreeStall</v>
          </cell>
          <cell r="C32">
            <v>0.22596247328595939</v>
          </cell>
          <cell r="D32">
            <v>0.22596247328595939</v>
          </cell>
          <cell r="E32">
            <v>0.22596247328595939</v>
          </cell>
          <cell r="F32">
            <v>0.22596247328595939</v>
          </cell>
        </row>
        <row r="33">
          <cell r="B33" t="str">
            <v>VSD - Vacuum Pump - TieStall</v>
          </cell>
          <cell r="C33">
            <v>0.1604247304551811</v>
          </cell>
          <cell r="D33">
            <v>0.1604247304551811</v>
          </cell>
          <cell r="E33">
            <v>0.1604247304551811</v>
          </cell>
          <cell r="F33">
            <v>0.1604247304551811</v>
          </cell>
        </row>
        <row r="34">
          <cell r="B34" t="str">
            <v>Heat Recovery Refrigeration - TieStall</v>
          </cell>
          <cell r="C34">
            <v>0.84147877475526689</v>
          </cell>
          <cell r="D34">
            <v>0.84147877475526689</v>
          </cell>
          <cell r="E34">
            <v>0.84147877475526689</v>
          </cell>
          <cell r="F34">
            <v>0.84147877475526689</v>
          </cell>
        </row>
        <row r="35">
          <cell r="B35" t="str">
            <v>Plate Milk Pre-Cooler - TieStall</v>
          </cell>
          <cell r="C35">
            <v>0.539760454730004</v>
          </cell>
          <cell r="D35">
            <v>0.539760454730004</v>
          </cell>
          <cell r="E35">
            <v>0.539760454730004</v>
          </cell>
          <cell r="F35">
            <v>0.539760454730004</v>
          </cell>
        </row>
        <row r="36">
          <cell r="B36" t="str">
            <v>Energy Efficient Lighting - TieStall</v>
          </cell>
          <cell r="C36">
            <v>7.1883204763838152E-2</v>
          </cell>
          <cell r="D36">
            <v>7.1883204763838152E-2</v>
          </cell>
          <cell r="E36">
            <v>7.1883204763838152E-2</v>
          </cell>
          <cell r="F36">
            <v>7.1883204763838152E-2</v>
          </cell>
        </row>
        <row r="37">
          <cell r="B37" t="str">
            <v>35-44W LED fixture &amp; NEW Photocell_Replacing_175W MH fixture</v>
          </cell>
          <cell r="C37">
            <v>0.18000000000000002</v>
          </cell>
          <cell r="D37">
            <v>0.18000000000000002</v>
          </cell>
          <cell r="E37">
            <v>0.18000000000000002</v>
          </cell>
          <cell r="F37">
            <v>0.18000000000000002</v>
          </cell>
        </row>
        <row r="38">
          <cell r="B38" t="str">
            <v>35-44W LED fixture &amp; NEW Photocell_Replacing_150W HID fixture</v>
          </cell>
          <cell r="C38">
            <v>0.18000000000000002</v>
          </cell>
          <cell r="D38">
            <v>0.18000000000000002</v>
          </cell>
          <cell r="E38">
            <v>0.18000000000000002</v>
          </cell>
          <cell r="F38">
            <v>0.18000000000000002</v>
          </cell>
        </row>
        <row r="39">
          <cell r="B39" t="str">
            <v>35-44W LED fixture &amp; NEW Photocell_Replacing_100W HID fixture</v>
          </cell>
          <cell r="C39">
            <v>0.18000000000000002</v>
          </cell>
          <cell r="D39">
            <v>0.18000000000000002</v>
          </cell>
          <cell r="E39">
            <v>0.18000000000000002</v>
          </cell>
          <cell r="F39">
            <v>0.18000000000000002</v>
          </cell>
        </row>
        <row r="40">
          <cell r="B40" t="str">
            <v>35-44W LED fixture &amp; NEW Photocell_Replacing_175W MV fixture</v>
          </cell>
          <cell r="C40">
            <v>0.18000000000000002</v>
          </cell>
          <cell r="D40">
            <v>0.18000000000000002</v>
          </cell>
          <cell r="E40">
            <v>0.18000000000000002</v>
          </cell>
          <cell r="F40">
            <v>0.18000000000000002</v>
          </cell>
        </row>
        <row r="41">
          <cell r="B41" t="str">
            <v>35-44W LED fixture &amp; NEW Photocell_Replacing_200W HID fixture</v>
          </cell>
          <cell r="C41">
            <v>0.18000000000000002</v>
          </cell>
          <cell r="D41">
            <v>0.18000000000000002</v>
          </cell>
          <cell r="E41">
            <v>0.18000000000000002</v>
          </cell>
          <cell r="F41">
            <v>0.18000000000000002</v>
          </cell>
        </row>
      </sheetData>
      <sheetData sheetId="5"/>
      <sheetData sheetId="6"/>
      <sheetData sheetId="7"/>
      <sheetData sheetId="8"/>
      <sheetData sheetId="9">
        <row r="18">
          <cell r="B18" t="str">
            <v>Measure Index Name</v>
          </cell>
          <cell r="C18" t="str">
            <v>Ramp</v>
          </cell>
          <cell r="D18">
            <v>2016</v>
          </cell>
          <cell r="E18">
            <v>2017</v>
          </cell>
          <cell r="F18">
            <v>2018</v>
          </cell>
          <cell r="G18">
            <v>2019</v>
          </cell>
          <cell r="H18">
            <v>2020</v>
          </cell>
          <cell r="I18">
            <v>2021</v>
          </cell>
          <cell r="J18">
            <v>2022</v>
          </cell>
          <cell r="K18">
            <v>2023</v>
          </cell>
          <cell r="L18">
            <v>2024</v>
          </cell>
          <cell r="M18">
            <v>2025</v>
          </cell>
          <cell r="N18">
            <v>2026</v>
          </cell>
          <cell r="O18">
            <v>2027</v>
          </cell>
          <cell r="P18">
            <v>2028</v>
          </cell>
          <cell r="Q18">
            <v>2029</v>
          </cell>
          <cell r="R18">
            <v>2030</v>
          </cell>
          <cell r="S18">
            <v>2031</v>
          </cell>
          <cell r="T18">
            <v>2032</v>
          </cell>
          <cell r="U18">
            <v>2033</v>
          </cell>
          <cell r="V18">
            <v>2034</v>
          </cell>
          <cell r="W18">
            <v>2035</v>
          </cell>
        </row>
        <row r="19">
          <cell r="A19" t="str">
            <v>Irrigation</v>
          </cell>
          <cell r="B19" t="str">
            <v>Irrigation Hardware - Retro</v>
          </cell>
          <cell r="C19" t="str">
            <v>Retro12Med</v>
          </cell>
          <cell r="D19">
            <v>0.10937459468255628</v>
          </cell>
          <cell r="E19">
            <v>0.10937459468255628</v>
          </cell>
          <cell r="F19">
            <v>0.10937459468255628</v>
          </cell>
          <cell r="G19">
            <v>0.10937459468255628</v>
          </cell>
          <cell r="H19">
            <v>0.10937459468255628</v>
          </cell>
          <cell r="I19">
            <v>9.8437135214300656E-2</v>
          </cell>
          <cell r="J19">
            <v>7.874970817144053E-2</v>
          </cell>
          <cell r="K19">
            <v>6.2999766537152418E-2</v>
          </cell>
          <cell r="L19">
            <v>5.0399813229721938E-2</v>
          </cell>
          <cell r="M19">
            <v>4.0319850583777551E-2</v>
          </cell>
          <cell r="N19">
            <v>3.225588046702204E-2</v>
          </cell>
          <cell r="O19">
            <v>2.5804704373617631E-2</v>
          </cell>
          <cell r="P19">
            <v>2.0643763498894106E-2</v>
          </cell>
          <cell r="Q19">
            <v>1.6515010799115284E-2</v>
          </cell>
          <cell r="R19">
            <v>1.3212008639292228E-2</v>
          </cell>
          <cell r="S19">
            <v>1.0569606911433781E-2</v>
          </cell>
          <cell r="T19">
            <v>7.2092823794611682E-5</v>
          </cell>
          <cell r="U19">
            <v>2.5747437069512102E-5</v>
          </cell>
          <cell r="V19">
            <v>8.7775353646568632E-6</v>
          </cell>
          <cell r="W19">
            <v>2.8622397928446119E-6</v>
          </cell>
        </row>
        <row r="20">
          <cell r="A20" t="str">
            <v>Refrigeration</v>
          </cell>
          <cell r="B20" t="str">
            <v>Dairy - Retro</v>
          </cell>
          <cell r="C20" t="str">
            <v>Retro5Med</v>
          </cell>
          <cell r="D20">
            <v>4.2999999999999997E-2</v>
          </cell>
          <cell r="E20">
            <v>5.279714228027832E-2</v>
          </cell>
          <cell r="F20">
            <v>6.4608251467478173E-2</v>
          </cell>
          <cell r="G20">
            <v>7.4999999999999997E-2</v>
          </cell>
          <cell r="H20">
            <v>8.5546997470333563E-2</v>
          </cell>
          <cell r="I20">
            <v>0.10001472303820647</v>
          </cell>
          <cell r="J20">
            <v>0.10971770435235073</v>
          </cell>
          <cell r="K20">
            <v>0.11208438511970376</v>
          </cell>
          <cell r="L20">
            <v>0.10562608162722853</v>
          </cell>
          <cell r="M20">
            <v>9.0794563997872335E-2</v>
          </cell>
          <cell r="N20">
            <v>7.0260666991849297E-2</v>
          </cell>
          <cell r="O20">
            <v>4.8218360404944538E-2</v>
          </cell>
          <cell r="P20">
            <v>2.8854234614640095E-2</v>
          </cell>
          <cell r="Q20">
            <v>1.4773964924806759E-2</v>
          </cell>
          <cell r="R20">
            <v>6.3385343681182649E-3</v>
          </cell>
          <cell r="S20">
            <v>2.2268577196306039E-3</v>
          </cell>
          <cell r="T20">
            <v>6.2471001963848583E-4</v>
          </cell>
          <cell r="U20">
            <v>1.3615841889635938E-4</v>
          </cell>
          <cell r="V20">
            <v>2.2380636622298944E-5</v>
          </cell>
          <cell r="W20">
            <v>2.68643837586513E-6</v>
          </cell>
        </row>
        <row r="21">
          <cell r="A21" t="str">
            <v>Lighting</v>
          </cell>
          <cell r="B21" t="str">
            <v>Lighting - Retro</v>
          </cell>
          <cell r="C21" t="str">
            <v>Retro20Fast</v>
          </cell>
          <cell r="D21">
            <v>0.22119921692859512</v>
          </cell>
          <cell r="E21">
            <v>0.15504311102289431</v>
          </cell>
          <cell r="F21">
            <v>0.10733128557729499</v>
          </cell>
          <cell r="G21">
            <v>8.3589689255657879E-2</v>
          </cell>
          <cell r="H21">
            <v>7.3237179880126971E-2</v>
          </cell>
          <cell r="I21">
            <v>6.3374636711760357E-2</v>
          </cell>
          <cell r="J21">
            <v>5.4291838367783084E-2</v>
          </cell>
          <cell r="K21">
            <v>4.612639225659896E-2</v>
          </cell>
          <cell r="L21">
            <v>3.8916876277172864E-2</v>
          </cell>
          <cell r="M21">
            <v>3.2639916313151704E-2</v>
          </cell>
          <cell r="N21">
            <v>2.7235706125786907E-2</v>
          </cell>
          <cell r="O21">
            <v>2.1211189258265428E-2</v>
          </cell>
          <cell r="P21">
            <v>1.6519290804212883E-2</v>
          </cell>
          <cell r="Q21">
            <v>1.2865236614105324E-2</v>
          </cell>
          <cell r="R21">
            <v>1.0019456349464106E-2</v>
          </cell>
          <cell r="S21">
            <v>7.8031604509122832E-3</v>
          </cell>
          <cell r="T21">
            <v>6.077107469602494E-3</v>
          </cell>
          <cell r="U21">
            <v>4.7328560561354371E-3</v>
          </cell>
          <cell r="V21">
            <v>3.6859520026825132E-3</v>
          </cell>
          <cell r="W21">
            <v>2.8706223060526725E-3</v>
          </cell>
        </row>
        <row r="22">
          <cell r="A22" t="str">
            <v>Irrigation</v>
          </cell>
          <cell r="B22" t="str">
            <v>Irrigation Efficiency - Retro</v>
          </cell>
          <cell r="C22" t="str">
            <v>Retro1Slow</v>
          </cell>
          <cell r="D22">
            <v>2.5643970768378654E-3</v>
          </cell>
          <cell r="E22">
            <v>5.1260615529385989E-3</v>
          </cell>
          <cell r="F22">
            <v>9.1015544176433795E-3</v>
          </cell>
          <cell r="G22">
            <v>1.4804925730045659E-2</v>
          </cell>
          <cell r="H22">
            <v>2.2471809420486211E-2</v>
          </cell>
          <cell r="I22">
            <v>3.2184432813882391E-2</v>
          </cell>
          <cell r="J22">
            <v>4.3779667172004086E-2</v>
          </cell>
          <cell r="K22">
            <v>5.675426075474499E-2</v>
          </cell>
          <cell r="L22">
            <v>7.0195239068707532E-2</v>
          </cell>
          <cell r="M22">
            <v>8.2776861842756788E-2</v>
          </cell>
          <cell r="N22">
            <v>9.2870259507494834E-2</v>
          </cell>
          <cell r="O22">
            <v>9.8796470678915727E-2</v>
          </cell>
          <cell r="P22">
            <v>9.9208932889988999E-2</v>
          </cell>
          <cell r="Q22">
            <v>9.3521150494244254E-2</v>
          </cell>
          <cell r="R22">
            <v>8.2226007896862296E-2</v>
          </cell>
          <cell r="S22">
            <v>6.6933566027365665E-2</v>
          </cell>
          <cell r="T22">
            <v>5.0029565143448806E-2</v>
          </cell>
          <cell r="U22">
            <v>3.402486521893211E-2</v>
          </cell>
          <cell r="V22">
            <v>2.0846059340774659E-2</v>
          </cell>
          <cell r="W22">
            <v>0.01</v>
          </cell>
        </row>
        <row r="23">
          <cell r="A23" t="str">
            <v>Irrigation</v>
          </cell>
          <cell r="B23" t="str">
            <v>Irrigation Pressure - Retro</v>
          </cell>
          <cell r="C23" t="str">
            <v>Retro1Slow</v>
          </cell>
          <cell r="D23">
            <v>2.5643970768378654E-3</v>
          </cell>
          <cell r="E23">
            <v>5.1260615529385989E-3</v>
          </cell>
          <cell r="F23">
            <v>9.1015544176433795E-3</v>
          </cell>
          <cell r="G23">
            <v>1.4804925730045659E-2</v>
          </cell>
          <cell r="H23">
            <v>2.2471809420486211E-2</v>
          </cell>
          <cell r="I23">
            <v>3.2184432813882391E-2</v>
          </cell>
          <cell r="J23">
            <v>4.3779667172004086E-2</v>
          </cell>
          <cell r="K23">
            <v>5.675426075474499E-2</v>
          </cell>
          <cell r="L23">
            <v>7.0195239068707532E-2</v>
          </cell>
          <cell r="M23">
            <v>8.2776861842756788E-2</v>
          </cell>
          <cell r="N23">
            <v>9.2870259507494834E-2</v>
          </cell>
          <cell r="O23">
            <v>9.8796470678915727E-2</v>
          </cell>
          <cell r="P23">
            <v>9.9208932889988999E-2</v>
          </cell>
          <cell r="Q23">
            <v>9.3521150494244254E-2</v>
          </cell>
          <cell r="R23">
            <v>8.2226007896862296E-2</v>
          </cell>
          <cell r="S23">
            <v>6.6933566027365665E-2</v>
          </cell>
          <cell r="T23">
            <v>5.0029565143448806E-2</v>
          </cell>
          <cell r="U23">
            <v>3.402486521893211E-2</v>
          </cell>
          <cell r="V23">
            <v>2.0846059340774659E-2</v>
          </cell>
          <cell r="W23">
            <v>0.01</v>
          </cell>
        </row>
        <row r="24">
          <cell r="A24" t="str">
            <v>Motors/Drives</v>
          </cell>
          <cell r="B24" t="str">
            <v>Irrigation Motor - Retro</v>
          </cell>
          <cell r="C24" t="str">
            <v>Retro12Med</v>
          </cell>
          <cell r="D24">
            <v>0.10937459468255628</v>
          </cell>
          <cell r="E24">
            <v>0.10937459468255628</v>
          </cell>
          <cell r="F24">
            <v>0.10937459468255628</v>
          </cell>
          <cell r="G24">
            <v>0.10937459468255628</v>
          </cell>
          <cell r="H24">
            <v>0.10937459468255628</v>
          </cell>
          <cell r="I24">
            <v>9.8437135214300656E-2</v>
          </cell>
          <cell r="J24">
            <v>7.874970817144053E-2</v>
          </cell>
          <cell r="K24">
            <v>6.2999766537152418E-2</v>
          </cell>
          <cell r="L24">
            <v>5.0399813229721938E-2</v>
          </cell>
          <cell r="M24">
            <v>4.0319850583777551E-2</v>
          </cell>
          <cell r="N24">
            <v>3.225588046702204E-2</v>
          </cell>
          <cell r="O24">
            <v>2.5804704373617631E-2</v>
          </cell>
          <cell r="P24">
            <v>2.0643763498894106E-2</v>
          </cell>
          <cell r="Q24">
            <v>1.6515010799115284E-2</v>
          </cell>
          <cell r="R24">
            <v>1.3212008639292228E-2</v>
          </cell>
          <cell r="S24">
            <v>1.0569606911433781E-2</v>
          </cell>
          <cell r="T24">
            <v>7.2092823794611682E-5</v>
          </cell>
          <cell r="U24">
            <v>2.5747437069512102E-5</v>
          </cell>
          <cell r="V24">
            <v>8.7775353646568632E-6</v>
          </cell>
          <cell r="W24">
            <v>2.8622397928446119E-6</v>
          </cell>
        </row>
        <row r="25">
          <cell r="A25" t="str">
            <v>Irrigation</v>
          </cell>
          <cell r="B25" t="str">
            <v>Irrigation Water Mgmt - NR</v>
          </cell>
          <cell r="C25" t="str">
            <v>LO12Med</v>
          </cell>
          <cell r="D25">
            <v>0.10937459468255628</v>
          </cell>
          <cell r="E25">
            <v>0.21874918936511256</v>
          </cell>
          <cell r="F25">
            <v>0.32812378404766884</v>
          </cell>
          <cell r="G25">
            <v>0.43749837873022512</v>
          </cell>
          <cell r="H25">
            <v>0.5468729734127814</v>
          </cell>
          <cell r="I25">
            <v>0.64531010862708205</v>
          </cell>
          <cell r="J25">
            <v>0.7240598167985226</v>
          </cell>
          <cell r="K25">
            <v>0.78705958333567505</v>
          </cell>
          <cell r="L25">
            <v>0.83745939656539703</v>
          </cell>
          <cell r="M25">
            <v>0.87777924714917455</v>
          </cell>
          <cell r="N25">
            <v>0.91003512761619654</v>
          </cell>
          <cell r="O25">
            <v>0.93583983198981413</v>
          </cell>
          <cell r="P25">
            <v>0.9564835954887082</v>
          </cell>
          <cell r="Q25">
            <v>0.97299860628782353</v>
          </cell>
          <cell r="R25">
            <v>0.9862106149271157</v>
          </cell>
          <cell r="S25">
            <v>0.99678022183854953</v>
          </cell>
          <cell r="T25">
            <v>0.99685231466234414</v>
          </cell>
          <cell r="U25">
            <v>0.99687806209941365</v>
          </cell>
          <cell r="V25">
            <v>0.99688683963477831</v>
          </cell>
          <cell r="W25">
            <v>0.99688970187457115</v>
          </cell>
        </row>
      </sheetData>
      <sheetData sheetId="10"/>
      <sheetData sheetId="11">
        <row r="10">
          <cell r="C10" t="str">
            <v>Idaho</v>
          </cell>
          <cell r="D10" t="str">
            <v>Montana</v>
          </cell>
          <cell r="E10" t="str">
            <v>Oregon</v>
          </cell>
          <cell r="F10" t="str">
            <v>Washington</v>
          </cell>
        </row>
        <row r="11">
          <cell r="B11" t="str">
            <v>Acres w Sprinklers</v>
          </cell>
          <cell r="C11">
            <v>3088161</v>
          </cell>
          <cell r="D11">
            <v>153442.8128463247</v>
          </cell>
          <cell r="E11">
            <v>1141042</v>
          </cell>
          <cell r="F11">
            <v>1420224</v>
          </cell>
        </row>
        <row r="12">
          <cell r="B12" t="str">
            <v>CenterPivot</v>
          </cell>
          <cell r="C12">
            <v>2229589</v>
          </cell>
          <cell r="D12">
            <v>107601.03811364993</v>
          </cell>
          <cell r="E12">
            <v>543142</v>
          </cell>
          <cell r="F12">
            <v>990074</v>
          </cell>
        </row>
        <row r="13">
          <cell r="B13" t="str">
            <v>CenterPivot High P</v>
          </cell>
          <cell r="C13">
            <v>230707</v>
          </cell>
          <cell r="D13">
            <v>10521.809398644995</v>
          </cell>
          <cell r="E13">
            <v>73681</v>
          </cell>
          <cell r="F13">
            <v>114933</v>
          </cell>
        </row>
        <row r="14">
          <cell r="B14" t="str">
            <v>CenterPivot Med P</v>
          </cell>
          <cell r="C14">
            <v>1285602</v>
          </cell>
          <cell r="D14">
            <v>55997.38035983876</v>
          </cell>
          <cell r="E14">
            <v>267691</v>
          </cell>
          <cell r="F14">
            <v>426619</v>
          </cell>
        </row>
        <row r="15">
          <cell r="B15" t="str">
            <v>Acres Center Pivot</v>
          </cell>
          <cell r="C15">
            <v>2229589</v>
          </cell>
          <cell r="D15">
            <v>107601.03811364993</v>
          </cell>
          <cell r="E15">
            <v>543142</v>
          </cell>
          <cell r="F15">
            <v>990074</v>
          </cell>
        </row>
        <row r="16">
          <cell r="B16" t="str">
            <v>Wheel/hand line</v>
          </cell>
          <cell r="C16">
            <v>589417</v>
          </cell>
          <cell r="D16">
            <v>33761.024858396049</v>
          </cell>
          <cell r="E16">
            <v>373405</v>
          </cell>
          <cell r="F16">
            <v>167947</v>
          </cell>
        </row>
        <row r="17">
          <cell r="B17" t="str">
            <v>Wheel line</v>
          </cell>
          <cell r="C17">
            <v>124792</v>
          </cell>
          <cell r="D17">
            <v>2541.3855221624167</v>
          </cell>
          <cell r="E17">
            <v>60204</v>
          </cell>
          <cell r="F17">
            <v>19620</v>
          </cell>
        </row>
        <row r="18">
          <cell r="B18" t="str">
            <v>Alfalfa Wheel line</v>
          </cell>
          <cell r="C18">
            <v>547765.83639704715</v>
          </cell>
          <cell r="D18">
            <v>48863.187593415983</v>
          </cell>
          <cell r="E18">
            <v>192608.28800850257</v>
          </cell>
          <cell r="F18">
            <v>202062.53498854444</v>
          </cell>
        </row>
        <row r="19">
          <cell r="B19" t="str">
            <v>Alfalfa Hand line</v>
          </cell>
          <cell r="C19">
            <v>185549.16360295285</v>
          </cell>
          <cell r="D19">
            <v>11705.326375703606</v>
          </cell>
          <cell r="E19">
            <v>62673.711991497425</v>
          </cell>
          <cell r="F19">
            <v>55251.465011455555</v>
          </cell>
        </row>
        <row r="20">
          <cell r="B20" t="str">
            <v>Pumped Acres</v>
          </cell>
          <cell r="C20">
            <v>1437386</v>
          </cell>
          <cell r="D20">
            <v>9908.0974047027375</v>
          </cell>
          <cell r="E20">
            <v>511998</v>
          </cell>
          <cell r="F20">
            <v>522575</v>
          </cell>
        </row>
        <row r="21">
          <cell r="B21" t="str">
            <v>Center Pivot, LEPA crops</v>
          </cell>
          <cell r="C21">
            <v>598158</v>
          </cell>
          <cell r="D21">
            <v>7796.5090075296148</v>
          </cell>
          <cell r="E21">
            <v>124214</v>
          </cell>
          <cell r="F21">
            <v>345808</v>
          </cell>
        </row>
        <row r="22">
          <cell r="B22" t="str">
            <v>Center Pivot, SIS crops</v>
          </cell>
        </row>
      </sheetData>
      <sheetData sheetId="12"/>
      <sheetData sheetId="13"/>
      <sheetData sheetId="14">
        <row r="23">
          <cell r="D23">
            <v>0.94843741185761832</v>
          </cell>
        </row>
        <row r="24">
          <cell r="D24">
            <v>0.58521815422977874</v>
          </cell>
        </row>
        <row r="25">
          <cell r="D25">
            <v>0.63712816182663956</v>
          </cell>
        </row>
        <row r="33">
          <cell r="B33">
            <v>7334</v>
          </cell>
          <cell r="C33">
            <v>24145</v>
          </cell>
          <cell r="D33">
            <v>2987983</v>
          </cell>
          <cell r="F33">
            <v>180959</v>
          </cell>
          <cell r="G33">
            <v>60.562258888353782</v>
          </cell>
          <cell r="H33">
            <v>277.23973289112047</v>
          </cell>
          <cell r="I33">
            <v>1.6</v>
          </cell>
          <cell r="J33">
            <v>812.79580912147605</v>
          </cell>
          <cell r="K33">
            <v>507.99738070092252</v>
          </cell>
        </row>
        <row r="34">
          <cell r="B34">
            <v>3427</v>
          </cell>
          <cell r="C34">
            <v>8031</v>
          </cell>
          <cell r="D34">
            <v>1063620</v>
          </cell>
          <cell r="F34">
            <v>19138</v>
          </cell>
          <cell r="G34">
            <v>17.993268272503339</v>
          </cell>
          <cell r="H34">
            <v>151.24411131189621</v>
          </cell>
          <cell r="I34">
            <v>1.1000000000000001</v>
          </cell>
          <cell r="J34">
            <v>1245.6501523967308</v>
          </cell>
          <cell r="K34">
            <v>1132.4092294515733</v>
          </cell>
        </row>
        <row r="35">
          <cell r="B35">
            <v>8329</v>
          </cell>
          <cell r="C35">
            <v>20122</v>
          </cell>
          <cell r="D35">
            <v>1234379</v>
          </cell>
          <cell r="F35">
            <v>53003</v>
          </cell>
          <cell r="G35">
            <v>42.939000096404747</v>
          </cell>
          <cell r="H35">
            <v>288.38150505266827</v>
          </cell>
          <cell r="I35">
            <v>1.5</v>
          </cell>
          <cell r="J35">
            <v>2046.5529503186413</v>
          </cell>
          <cell r="K35">
            <v>1364.3686335457608</v>
          </cell>
        </row>
        <row r="36">
          <cell r="B36">
            <v>7727</v>
          </cell>
          <cell r="C36">
            <v>17898</v>
          </cell>
          <cell r="D36">
            <v>1440109</v>
          </cell>
          <cell r="F36">
            <v>93964</v>
          </cell>
          <cell r="G36">
            <v>65.247838878862638</v>
          </cell>
          <cell r="H36">
            <v>22.963835045243886</v>
          </cell>
          <cell r="I36">
            <v>2</v>
          </cell>
          <cell r="J36">
            <v>139.68608973094149</v>
          </cell>
          <cell r="K36">
            <v>69.843044865470745</v>
          </cell>
        </row>
      </sheetData>
      <sheetData sheetId="15">
        <row r="23">
          <cell r="D23">
            <v>24</v>
          </cell>
          <cell r="E23">
            <v>45</v>
          </cell>
        </row>
        <row r="24">
          <cell r="C24">
            <v>8995</v>
          </cell>
          <cell r="D24">
            <v>36</v>
          </cell>
          <cell r="E24">
            <v>60</v>
          </cell>
        </row>
        <row r="25">
          <cell r="C25">
            <v>8101</v>
          </cell>
          <cell r="D25">
            <v>20</v>
          </cell>
          <cell r="E25">
            <v>60</v>
          </cell>
        </row>
        <row r="34">
          <cell r="E34">
            <v>43</v>
          </cell>
          <cell r="H34">
            <v>62</v>
          </cell>
          <cell r="J34">
            <v>419</v>
          </cell>
        </row>
        <row r="35">
          <cell r="C35">
            <v>8601</v>
          </cell>
          <cell r="E35">
            <v>71</v>
          </cell>
          <cell r="H35">
            <v>63</v>
          </cell>
        </row>
        <row r="36">
          <cell r="C36">
            <v>6771</v>
          </cell>
          <cell r="E36">
            <v>110</v>
          </cell>
          <cell r="H36">
            <v>64</v>
          </cell>
        </row>
      </sheetData>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LOG"/>
      <sheetName val="Forecast Switchboard"/>
      <sheetName val="Lists&amp;Tables"/>
      <sheetName val="Res Forecast (Low)"/>
      <sheetName val="Res Forecast (Base Case)"/>
      <sheetName val="Res Forecast (High)"/>
      <sheetName val="Com Forecast (Low)"/>
      <sheetName val="Com Forecast (Base Case)"/>
      <sheetName val="Com Forecast (High)"/>
      <sheetName val="Ind Forecast (Low)"/>
      <sheetName val="Ind Forecast (Base Case)"/>
      <sheetName val="Ind Forecast (High)"/>
      <sheetName val="Ag Forecast (Low)"/>
      <sheetName val="Ag Forecast (Base Case)"/>
      <sheetName val="Ag Forecast (High)"/>
      <sheetName val="Pop Forecast (High)"/>
      <sheetName val="Pop Forecast (Base Case)"/>
      <sheetName val="Pop Forecast (Low)"/>
      <sheetName val="DEI (Base Case)"/>
      <sheetName val="Dairy Forecast (Base Case)"/>
      <sheetName val="Dairy Forecast (Low)"/>
      <sheetName val="Dairy Forecast (High)"/>
      <sheetName val="EV Forecast (Base Case)"/>
      <sheetName val="EV Forecast (Low)"/>
      <sheetName val="EV Forecast (High)"/>
      <sheetName val="Pop Forecast (High Case)"/>
      <sheetName val="Pop Forecast (Low Case)"/>
      <sheetName val="7P Forecasts D2"/>
    </sheetNames>
    <definedNames>
      <definedName name="rng_ForecastColumnLookup" refersTo="='Forecast Switchboard'!$H$20:$AE$20"/>
      <definedName name="rng_ForecastRowLookup" refersTo="='Forecast Switchboard'!$G$21:$G$501"/>
      <definedName name="switch_ForecastScenario" refersTo="='Forecast Switchboard'!$H$3"/>
      <definedName name="tbl_Forecast" refersTo="='Forecast Switchboard'!$H$21:$AE$501"/>
    </definedNames>
    <sheetDataSet>
      <sheetData sheetId="0"/>
      <sheetData sheetId="1">
        <row r="3">
          <cell r="H3" t="str">
            <v>Base</v>
          </cell>
        </row>
        <row r="20">
          <cell r="H20" t="str">
            <v>Sector</v>
          </cell>
          <cell r="I20" t="str">
            <v>Building/Industry Type</v>
          </cell>
          <cell r="J20" t="str">
            <v>Vintage / Subcategory</v>
          </cell>
          <cell r="K20" t="str">
            <v>Forecast Units</v>
          </cell>
          <cell r="L20">
            <v>2016</v>
          </cell>
          <cell r="M20">
            <v>2017</v>
          </cell>
          <cell r="N20">
            <v>2018</v>
          </cell>
          <cell r="O20">
            <v>2019</v>
          </cell>
          <cell r="P20">
            <v>2020</v>
          </cell>
          <cell r="Q20">
            <v>2021</v>
          </cell>
          <cell r="R20">
            <v>2022</v>
          </cell>
          <cell r="S20">
            <v>2023</v>
          </cell>
          <cell r="T20">
            <v>2024</v>
          </cell>
          <cell r="U20">
            <v>2025</v>
          </cell>
          <cell r="V20">
            <v>2026</v>
          </cell>
          <cell r="W20">
            <v>2027</v>
          </cell>
          <cell r="X20">
            <v>2028</v>
          </cell>
          <cell r="Y20">
            <v>2029</v>
          </cell>
          <cell r="Z20">
            <v>2030</v>
          </cell>
          <cell r="AA20">
            <v>2031</v>
          </cell>
          <cell r="AB20">
            <v>2032</v>
          </cell>
          <cell r="AC20">
            <v>2033</v>
          </cell>
          <cell r="AD20">
            <v>2034</v>
          </cell>
          <cell r="AE20">
            <v>2035</v>
          </cell>
        </row>
        <row r="21">
          <cell r="G21" t="str">
            <v>RegionSingle FamilyNew</v>
          </cell>
          <cell r="H21" t="str">
            <v>Res</v>
          </cell>
          <cell r="I21" t="str">
            <v>Single Family</v>
          </cell>
          <cell r="J21" t="str">
            <v>New</v>
          </cell>
          <cell r="K21" t="str">
            <v>Buildings</v>
          </cell>
          <cell r="L21">
            <v>62685.758999999998</v>
          </cell>
          <cell r="M21">
            <v>59961.781000000003</v>
          </cell>
          <cell r="N21">
            <v>56834.012000000002</v>
          </cell>
          <cell r="O21">
            <v>54985.192999999999</v>
          </cell>
          <cell r="P21">
            <v>53507.474000000002</v>
          </cell>
          <cell r="Q21">
            <v>50982.05</v>
          </cell>
          <cell r="R21">
            <v>49561.669000000002</v>
          </cell>
          <cell r="S21">
            <v>49324.517999999996</v>
          </cell>
          <cell r="T21">
            <v>48815.77</v>
          </cell>
          <cell r="U21">
            <v>49683.252</v>
          </cell>
          <cell r="V21">
            <v>50030.137000000002</v>
          </cell>
          <cell r="W21">
            <v>49387.762999999999</v>
          </cell>
          <cell r="X21">
            <v>48079.345999999998</v>
          </cell>
          <cell r="Y21">
            <v>48129.050999999999</v>
          </cell>
          <cell r="Z21">
            <v>48690.569000000003</v>
          </cell>
          <cell r="AA21">
            <v>48482.864000000001</v>
          </cell>
          <cell r="AB21">
            <v>46879.000999999997</v>
          </cell>
          <cell r="AC21">
            <v>46798.777999999998</v>
          </cell>
          <cell r="AD21">
            <v>46917.627</v>
          </cell>
          <cell r="AE21">
            <v>47236.144999999997</v>
          </cell>
        </row>
        <row r="22">
          <cell r="G22" t="str">
            <v>RegionMultifamily - Low RiseNew</v>
          </cell>
          <cell r="H22" t="str">
            <v>Res</v>
          </cell>
          <cell r="I22" t="str">
            <v>Multifamily - Low Rise</v>
          </cell>
          <cell r="J22" t="str">
            <v>New</v>
          </cell>
          <cell r="K22" t="str">
            <v>Buildings</v>
          </cell>
          <cell r="L22">
            <v>23280.347100904564</v>
          </cell>
          <cell r="M22">
            <v>23017.418106038647</v>
          </cell>
          <cell r="N22">
            <v>22811.60852767331</v>
          </cell>
          <cell r="O22">
            <v>22085.916378202593</v>
          </cell>
          <cell r="P22">
            <v>20817.853908138593</v>
          </cell>
          <cell r="Q22">
            <v>20070.279329962508</v>
          </cell>
          <cell r="R22">
            <v>19887.831284331631</v>
          </cell>
          <cell r="S22">
            <v>20257.583209811291</v>
          </cell>
          <cell r="T22">
            <v>20750.368029493613</v>
          </cell>
          <cell r="U22">
            <v>21314.334279744231</v>
          </cell>
          <cell r="V22">
            <v>21403.286239774712</v>
          </cell>
          <cell r="W22">
            <v>21409.137516518917</v>
          </cell>
          <cell r="X22">
            <v>21443.358292282628</v>
          </cell>
          <cell r="Y22">
            <v>21209.865626522758</v>
          </cell>
          <cell r="Z22">
            <v>20954.17798283829</v>
          </cell>
          <cell r="AA22">
            <v>20525.44023202754</v>
          </cell>
          <cell r="AB22">
            <v>20175.505597554071</v>
          </cell>
          <cell r="AC22">
            <v>19919.723927484571</v>
          </cell>
          <cell r="AD22">
            <v>19536.194066416414</v>
          </cell>
          <cell r="AE22">
            <v>19462.287131015248</v>
          </cell>
        </row>
        <row r="23">
          <cell r="G23" t="str">
            <v>RegionMultifamily - High RiseNew</v>
          </cell>
          <cell r="H23" t="str">
            <v>Res</v>
          </cell>
          <cell r="I23" t="str">
            <v>Multifamily - High Rise</v>
          </cell>
          <cell r="J23" t="str">
            <v>New</v>
          </cell>
          <cell r="K23" t="str">
            <v>Buildings</v>
          </cell>
          <cell r="L23">
            <v>5226.2387411561367</v>
          </cell>
          <cell r="M23">
            <v>5239.95312759432</v>
          </cell>
          <cell r="N23">
            <v>5271.2612760989568</v>
          </cell>
          <cell r="O23">
            <v>4985.883552972361</v>
          </cell>
          <cell r="P23">
            <v>4608.5912035798974</v>
          </cell>
          <cell r="Q23">
            <v>4509.6375960361838</v>
          </cell>
          <cell r="R23">
            <v>4481.760351096189</v>
          </cell>
          <cell r="S23">
            <v>4621.8312800578688</v>
          </cell>
          <cell r="T23">
            <v>4700.9782942419988</v>
          </cell>
          <cell r="U23">
            <v>4828.2391631488581</v>
          </cell>
          <cell r="V23">
            <v>4790.0249139778334</v>
          </cell>
          <cell r="W23">
            <v>4782.0649962402858</v>
          </cell>
          <cell r="X23">
            <v>4748.3908346265653</v>
          </cell>
          <cell r="Y23">
            <v>4733.4823682495089</v>
          </cell>
          <cell r="Z23">
            <v>4698.697177079107</v>
          </cell>
          <cell r="AA23">
            <v>4599.2987885998937</v>
          </cell>
          <cell r="AB23">
            <v>4526.3104216428001</v>
          </cell>
          <cell r="AC23">
            <v>4422.0600452822764</v>
          </cell>
          <cell r="AD23">
            <v>4405.182362066379</v>
          </cell>
          <cell r="AE23">
            <v>4385.1136986120664</v>
          </cell>
        </row>
        <row r="24">
          <cell r="G24" t="str">
            <v>RegionManufacturedNew</v>
          </cell>
          <cell r="H24" t="str">
            <v>Res</v>
          </cell>
          <cell r="I24" t="str">
            <v>Manufactured</v>
          </cell>
          <cell r="J24" t="str">
            <v>New</v>
          </cell>
          <cell r="K24" t="str">
            <v>Buildings</v>
          </cell>
          <cell r="L24">
            <v>1869.5754050925925</v>
          </cell>
          <cell r="M24">
            <v>1881.796305941358</v>
          </cell>
          <cell r="N24">
            <v>1949.1340235982509</v>
          </cell>
          <cell r="O24">
            <v>2021.1963608646258</v>
          </cell>
          <cell r="P24">
            <v>1959.5061710087307</v>
          </cell>
          <cell r="Q24">
            <v>1928.5764356212967</v>
          </cell>
          <cell r="R24">
            <v>1934.9641170211423</v>
          </cell>
          <cell r="S24">
            <v>1945.862235675901</v>
          </cell>
          <cell r="T24">
            <v>1956.539890631658</v>
          </cell>
          <cell r="U24">
            <v>1957.7742018038925</v>
          </cell>
          <cell r="V24">
            <v>1947.2038419604366</v>
          </cell>
          <cell r="W24">
            <v>1945.153453785721</v>
          </cell>
          <cell r="X24">
            <v>1947.9162901464586</v>
          </cell>
          <cell r="Y24">
            <v>1950.0749856673444</v>
          </cell>
          <cell r="Z24">
            <v>1950.7771106659191</v>
          </cell>
          <cell r="AA24">
            <v>1949.8166473382953</v>
          </cell>
          <cell r="AB24">
            <v>1948.4903882606959</v>
          </cell>
          <cell r="AC24">
            <v>1948.7048126440727</v>
          </cell>
          <cell r="AD24">
            <v>1949.296705787131</v>
          </cell>
          <cell r="AE24">
            <v>1949.5267750605763</v>
          </cell>
        </row>
        <row r="25">
          <cell r="G25" t="str">
            <v>RegionSingle FamilyExisting</v>
          </cell>
          <cell r="H25" t="str">
            <v>Res</v>
          </cell>
          <cell r="I25" t="str">
            <v>Single Family</v>
          </cell>
          <cell r="J25" t="str">
            <v>Existing</v>
          </cell>
          <cell r="K25" t="str">
            <v>Buildings</v>
          </cell>
          <cell r="L25">
            <v>4203528.2719999999</v>
          </cell>
          <cell r="M25">
            <v>4193982.9785983553</v>
          </cell>
          <cell r="N25">
            <v>4184459.3604704877</v>
          </cell>
          <cell r="O25">
            <v>4174957.36839659</v>
          </cell>
          <cell r="P25">
            <v>4165476.9532686244</v>
          </cell>
          <cell r="Q25">
            <v>4156018.0660900641</v>
          </cell>
          <cell r="R25">
            <v>4146580.6579756448</v>
          </cell>
          <cell r="S25">
            <v>4137164.6801511091</v>
          </cell>
          <cell r="T25">
            <v>4127770.0839529554</v>
          </cell>
          <cell r="U25">
            <v>4118396.8208281873</v>
          </cell>
          <cell r="V25">
            <v>4109044.8423340586</v>
          </cell>
          <cell r="W25">
            <v>4099714.1001378288</v>
          </cell>
          <cell r="X25">
            <v>4090404.5460165106</v>
          </cell>
          <cell r="Y25">
            <v>4081116.1318566194</v>
          </cell>
          <cell r="Z25">
            <v>4071848.8096539262</v>
          </cell>
          <cell r="AA25">
            <v>4062602.5315132081</v>
          </cell>
          <cell r="AB25">
            <v>4053377.2496480034</v>
          </cell>
          <cell r="AC25">
            <v>4044172.9163803621</v>
          </cell>
          <cell r="AD25">
            <v>4034989.4841406001</v>
          </cell>
          <cell r="AE25">
            <v>4025826.9054670548</v>
          </cell>
        </row>
        <row r="26">
          <cell r="G26" t="str">
            <v>RegionMultifamily - Low RiseExisting</v>
          </cell>
          <cell r="H26" t="str">
            <v>Res</v>
          </cell>
          <cell r="I26" t="str">
            <v>Multifamily - Low Rise</v>
          </cell>
          <cell r="J26" t="str">
            <v>Existing</v>
          </cell>
          <cell r="K26" t="str">
            <v>Buildings</v>
          </cell>
          <cell r="L26">
            <v>926243.25609262148</v>
          </cell>
          <cell r="M26">
            <v>924139.92640956037</v>
          </cell>
          <cell r="N26">
            <v>922041.3730050053</v>
          </cell>
          <cell r="O26">
            <v>919947.58503289847</v>
          </cell>
          <cell r="P26">
            <v>917858.55167181045</v>
          </cell>
          <cell r="Q26">
            <v>915774.26212488639</v>
          </cell>
          <cell r="R26">
            <v>913694.70561978838</v>
          </cell>
          <cell r="S26">
            <v>911619.87140864041</v>
          </cell>
          <cell r="T26">
            <v>909549.74876797362</v>
          </cell>
          <cell r="U26">
            <v>907484.32699866977</v>
          </cell>
          <cell r="V26">
            <v>905423.59542590659</v>
          </cell>
          <cell r="W26">
            <v>903367.54339910217</v>
          </cell>
          <cell r="X26">
            <v>901316.16029185988</v>
          </cell>
          <cell r="Y26">
            <v>899269.43550191447</v>
          </cell>
          <cell r="Z26">
            <v>897227.35845107585</v>
          </cell>
          <cell r="AA26">
            <v>895189.9185851753</v>
          </cell>
          <cell r="AB26">
            <v>893157.10537401051</v>
          </cell>
          <cell r="AC26">
            <v>891128.90831129183</v>
          </cell>
          <cell r="AD26">
            <v>889105.31691458682</v>
          </cell>
          <cell r="AE26">
            <v>887086.32072526717</v>
          </cell>
        </row>
        <row r="27">
          <cell r="G27" t="str">
            <v>RegionMultifamily - High RiseExisting</v>
          </cell>
          <cell r="H27" t="str">
            <v>Res</v>
          </cell>
          <cell r="I27" t="str">
            <v>Multifamily - High Rise</v>
          </cell>
          <cell r="J27" t="str">
            <v>Existing</v>
          </cell>
          <cell r="K27" t="str">
            <v>Buildings</v>
          </cell>
          <cell r="L27">
            <v>211180.07985625503</v>
          </cell>
          <cell r="M27">
            <v>210700.52836963299</v>
          </cell>
          <cell r="N27">
            <v>210222.06585706791</v>
          </cell>
          <cell r="O27">
            <v>209744.68984569819</v>
          </cell>
          <cell r="P27">
            <v>209268.39786827751</v>
          </cell>
          <cell r="Q27">
            <v>208793.18746316229</v>
          </cell>
          <cell r="R27">
            <v>208319.05617429892</v>
          </cell>
          <cell r="S27">
            <v>207846.00155121088</v>
          </cell>
          <cell r="T27">
            <v>207374.0211489865</v>
          </cell>
          <cell r="U27">
            <v>206903.11252826577</v>
          </cell>
          <cell r="V27">
            <v>206433.27325522827</v>
          </cell>
          <cell r="W27">
            <v>205964.50090158021</v>
          </cell>
          <cell r="X27">
            <v>205496.79304454199</v>
          </cell>
          <cell r="Y27">
            <v>205030.14726683579</v>
          </cell>
          <cell r="Z27">
            <v>204564.56115667295</v>
          </cell>
          <cell r="AA27">
            <v>204100.03230774152</v>
          </cell>
          <cell r="AB27">
            <v>203636.55831919383</v>
          </cell>
          <cell r="AC27">
            <v>203174.13679563423</v>
          </cell>
          <cell r="AD27">
            <v>202712.76534710638</v>
          </cell>
          <cell r="AE27">
            <v>202252.44158908122</v>
          </cell>
        </row>
        <row r="28">
          <cell r="G28" t="str">
            <v>RegionManufacturedExisting</v>
          </cell>
          <cell r="H28" t="str">
            <v>Res</v>
          </cell>
          <cell r="I28" t="str">
            <v>Manufactured</v>
          </cell>
          <cell r="J28" t="str">
            <v>Existing</v>
          </cell>
          <cell r="K28" t="str">
            <v>Buildings</v>
          </cell>
          <cell r="L28">
            <v>572006.3278356482</v>
          </cell>
          <cell r="M28">
            <v>565893.30394507048</v>
          </cell>
          <cell r="N28">
            <v>559845.60985814757</v>
          </cell>
          <cell r="O28">
            <v>553862.54739615123</v>
          </cell>
          <cell r="P28">
            <v>547943.42584177968</v>
          </cell>
          <cell r="Q28">
            <v>542087.56185941794</v>
          </cell>
          <cell r="R28">
            <v>536294.27941624937</v>
          </cell>
          <cell r="S28">
            <v>530562.90970421082</v>
          </cell>
          <cell r="T28">
            <v>524892.79106278194</v>
          </cell>
          <cell r="U28">
            <v>519283.26890259917</v>
          </cell>
          <cell r="V28">
            <v>513733.69562988722</v>
          </cell>
          <cell r="W28">
            <v>508243.4305716962</v>
          </cell>
          <cell r="X28">
            <v>502811.8399019395</v>
          </cell>
          <cell r="Y28">
            <v>497438.2965682213</v>
          </cell>
          <cell r="Z28">
            <v>492122.18021944637</v>
          </cell>
          <cell r="AA28">
            <v>486862.87713420321</v>
          </cell>
          <cell r="AB28">
            <v>481659.78014991269</v>
          </cell>
          <cell r="AC28">
            <v>476512.28859273402</v>
          </cell>
          <cell r="AD28">
            <v>471419.80820821953</v>
          </cell>
          <cell r="AE28">
            <v>466381.75109271082</v>
          </cell>
        </row>
        <row r="29">
          <cell r="G29" t="str">
            <v>RegionLarge OffNew</v>
          </cell>
          <cell r="H29" t="str">
            <v>Com</v>
          </cell>
          <cell r="I29" t="str">
            <v>Large Off</v>
          </cell>
          <cell r="J29" t="str">
            <v>New</v>
          </cell>
          <cell r="K29" t="str">
            <v>Millions SqFt</v>
          </cell>
          <cell r="L29">
            <v>7.8066550111953834</v>
          </cell>
          <cell r="M29">
            <v>5.9496992573140863</v>
          </cell>
          <cell r="N29">
            <v>5.890903545908837</v>
          </cell>
          <cell r="O29">
            <v>6.8915688291332424</v>
          </cell>
          <cell r="P29">
            <v>6.6410191533148355</v>
          </cell>
          <cell r="Q29">
            <v>5.4382226791221893</v>
          </cell>
          <cell r="R29">
            <v>6.9236851515846078</v>
          </cell>
          <cell r="S29">
            <v>6.040566884985755</v>
          </cell>
          <cell r="T29">
            <v>5.8620040343764588</v>
          </cell>
          <cell r="U29">
            <v>6.6048352977963205</v>
          </cell>
          <cell r="V29">
            <v>6.6081856774849808</v>
          </cell>
          <cell r="W29">
            <v>7.2276230030590352</v>
          </cell>
          <cell r="X29">
            <v>7.9321378463678132</v>
          </cell>
          <cell r="Y29">
            <v>7.2590370336019197</v>
          </cell>
          <cell r="Z29">
            <v>7.9122271387396417</v>
          </cell>
          <cell r="AA29">
            <v>7.7623340380974311</v>
          </cell>
          <cell r="AB29">
            <v>7.6402299023279152</v>
          </cell>
          <cell r="AC29">
            <v>7.1724831299946894</v>
          </cell>
          <cell r="AD29">
            <v>7.0810470955732994</v>
          </cell>
          <cell r="AE29">
            <v>7.4281005850341701</v>
          </cell>
        </row>
        <row r="30">
          <cell r="G30" t="str">
            <v>RegionMedium OffNew</v>
          </cell>
          <cell r="H30" t="str">
            <v>Com</v>
          </cell>
          <cell r="I30" t="str">
            <v>Medium Off</v>
          </cell>
          <cell r="J30" t="str">
            <v>New</v>
          </cell>
          <cell r="K30" t="str">
            <v>Millions SqFt</v>
          </cell>
          <cell r="L30">
            <v>6.3306892326899415</v>
          </cell>
          <cell r="M30">
            <v>4.6245517962703104</v>
          </cell>
          <cell r="N30">
            <v>4.6954401235311058</v>
          </cell>
          <cell r="O30">
            <v>5.5561738496820645</v>
          </cell>
          <cell r="P30">
            <v>5.2903315868283292</v>
          </cell>
          <cell r="Q30">
            <v>4.0954748538564614</v>
          </cell>
          <cell r="R30">
            <v>5.6166455086822502</v>
          </cell>
          <cell r="S30">
            <v>4.8928421056079552</v>
          </cell>
          <cell r="T30">
            <v>4.6489885594062974</v>
          </cell>
          <cell r="U30">
            <v>5.3600762751998365</v>
          </cell>
          <cell r="V30">
            <v>5.3451061612370649</v>
          </cell>
          <cell r="W30">
            <v>5.7169042762389006</v>
          </cell>
          <cell r="X30">
            <v>6.1644080859749115</v>
          </cell>
          <cell r="Y30">
            <v>5.8003829082546376</v>
          </cell>
          <cell r="Z30">
            <v>6.4331999103991837</v>
          </cell>
          <cell r="AA30">
            <v>6.1077443299386847</v>
          </cell>
          <cell r="AB30">
            <v>6.3133258324543373</v>
          </cell>
          <cell r="AC30">
            <v>5.5403053352108875</v>
          </cell>
          <cell r="AD30">
            <v>5.5266028757425794</v>
          </cell>
          <cell r="AE30">
            <v>5.9833355534459063</v>
          </cell>
        </row>
        <row r="31">
          <cell r="G31" t="str">
            <v>RegionSmall OffNew</v>
          </cell>
          <cell r="H31" t="str">
            <v>Com</v>
          </cell>
          <cell r="I31" t="str">
            <v>Small Off</v>
          </cell>
          <cell r="J31" t="str">
            <v>New</v>
          </cell>
          <cell r="K31" t="str">
            <v>Millions SqFt</v>
          </cell>
          <cell r="L31">
            <v>1.6621196768024407</v>
          </cell>
          <cell r="M31">
            <v>1.2170657423442173</v>
          </cell>
          <cell r="N31">
            <v>1.2444333527444498</v>
          </cell>
          <cell r="O31">
            <v>1.4586094503549032</v>
          </cell>
          <cell r="P31">
            <v>1.4004070058555529</v>
          </cell>
          <cell r="Q31">
            <v>1.0787722980410579</v>
          </cell>
          <cell r="R31">
            <v>1.4747976167420549</v>
          </cell>
          <cell r="S31">
            <v>1.2896357804774434</v>
          </cell>
          <cell r="T31">
            <v>1.2239291307589197</v>
          </cell>
          <cell r="U31">
            <v>1.4012443744673324</v>
          </cell>
          <cell r="V31">
            <v>1.3991315932028052</v>
          </cell>
          <cell r="W31">
            <v>1.4996248899933684</v>
          </cell>
          <cell r="X31">
            <v>1.6197763904689295</v>
          </cell>
          <cell r="Y31">
            <v>1.5187400891362097</v>
          </cell>
          <cell r="Z31">
            <v>1.6890757136254622</v>
          </cell>
          <cell r="AA31">
            <v>1.5972356158259797</v>
          </cell>
          <cell r="AB31">
            <v>1.640465747141107</v>
          </cell>
          <cell r="AC31">
            <v>1.4565955217811706</v>
          </cell>
          <cell r="AD31">
            <v>1.4531741906643101</v>
          </cell>
          <cell r="AE31">
            <v>1.5648660344158036</v>
          </cell>
        </row>
        <row r="32">
          <cell r="G32" t="str">
            <v>RegionXLarge RetNew</v>
          </cell>
          <cell r="H32" t="str">
            <v>Com</v>
          </cell>
          <cell r="I32" t="str">
            <v>XLarge Ret</v>
          </cell>
          <cell r="J32" t="str">
            <v>New</v>
          </cell>
          <cell r="K32" t="str">
            <v>Millions SqFt</v>
          </cell>
          <cell r="L32">
            <v>1.799418169017593</v>
          </cell>
          <cell r="M32">
            <v>1.485755176968429</v>
          </cell>
          <cell r="N32">
            <v>0.89794362681754358</v>
          </cell>
          <cell r="O32">
            <v>0.91201694404352718</v>
          </cell>
          <cell r="P32">
            <v>0.85125423267540556</v>
          </cell>
          <cell r="Q32">
            <v>0.73204497427617965</v>
          </cell>
          <cell r="R32">
            <v>0.73428349109996394</v>
          </cell>
          <cell r="S32">
            <v>0.71341173425108251</v>
          </cell>
          <cell r="T32">
            <v>0.89455902577447755</v>
          </cell>
          <cell r="U32">
            <v>1.032083805968905</v>
          </cell>
          <cell r="V32">
            <v>1.0963398187475875</v>
          </cell>
          <cell r="W32">
            <v>1.617287860192538</v>
          </cell>
          <cell r="X32">
            <v>1.8239074921539626</v>
          </cell>
          <cell r="Y32">
            <v>1.6267354909009817</v>
          </cell>
          <cell r="Z32">
            <v>1.5970323938843554</v>
          </cell>
          <cell r="AA32">
            <v>1.5393396581386409</v>
          </cell>
          <cell r="AB32">
            <v>1.2960530677092543</v>
          </cell>
          <cell r="AC32">
            <v>1.3176455108269955</v>
          </cell>
          <cell r="AD32">
            <v>1.2469979474733393</v>
          </cell>
          <cell r="AE32">
            <v>1.3540449607593745</v>
          </cell>
        </row>
        <row r="33">
          <cell r="G33" t="str">
            <v>RegionLarge RetNew</v>
          </cell>
          <cell r="H33" t="str">
            <v>Com</v>
          </cell>
          <cell r="I33" t="str">
            <v>Large Ret</v>
          </cell>
          <cell r="J33" t="str">
            <v>New</v>
          </cell>
          <cell r="K33" t="str">
            <v>Millions SqFt</v>
          </cell>
          <cell r="L33">
            <v>0.71960427219664069</v>
          </cell>
          <cell r="M33">
            <v>0.59647847099566831</v>
          </cell>
          <cell r="N33">
            <v>0.36611838042447359</v>
          </cell>
          <cell r="O33">
            <v>0.3731768350638246</v>
          </cell>
          <cell r="P33">
            <v>0.34504559304633386</v>
          </cell>
          <cell r="Q33">
            <v>0.2928623587115301</v>
          </cell>
          <cell r="R33">
            <v>0.29376294298921468</v>
          </cell>
          <cell r="S33">
            <v>0.28416308329236456</v>
          </cell>
          <cell r="T33">
            <v>0.36455471421578001</v>
          </cell>
          <cell r="U33">
            <v>0.42646627810709853</v>
          </cell>
          <cell r="V33">
            <v>0.44956380488737768</v>
          </cell>
          <cell r="W33">
            <v>0.65213839834683018</v>
          </cell>
          <cell r="X33">
            <v>0.73353807331773047</v>
          </cell>
          <cell r="Y33">
            <v>0.65560780242911365</v>
          </cell>
          <cell r="Z33">
            <v>0.64604928436358278</v>
          </cell>
          <cell r="AA33">
            <v>0.62178261445398098</v>
          </cell>
          <cell r="AB33">
            <v>0.52554853465709617</v>
          </cell>
          <cell r="AC33">
            <v>0.53266253778165396</v>
          </cell>
          <cell r="AD33">
            <v>0.50454130308386236</v>
          </cell>
          <cell r="AE33">
            <v>0.54553111610891503</v>
          </cell>
        </row>
        <row r="34">
          <cell r="G34" t="str">
            <v>RegionMedium RetNew</v>
          </cell>
          <cell r="H34" t="str">
            <v>Com</v>
          </cell>
          <cell r="I34" t="str">
            <v>Medium Ret</v>
          </cell>
          <cell r="J34" t="str">
            <v>New</v>
          </cell>
          <cell r="K34" t="str">
            <v>Millions SqFt</v>
          </cell>
          <cell r="L34">
            <v>2.7275899469990224</v>
          </cell>
          <cell r="M34">
            <v>2.2451802625726844</v>
          </cell>
          <cell r="N34">
            <v>1.3846551620328988</v>
          </cell>
          <cell r="O34">
            <v>1.414332931216091</v>
          </cell>
          <cell r="P34">
            <v>1.3048976182463843</v>
          </cell>
          <cell r="Q34">
            <v>1.1035456427042536</v>
          </cell>
          <cell r="R34">
            <v>1.0932193385059683</v>
          </cell>
          <cell r="S34">
            <v>1.0602010304011045</v>
          </cell>
          <cell r="T34">
            <v>1.3687417218066935</v>
          </cell>
          <cell r="U34">
            <v>1.6102119957699914</v>
          </cell>
          <cell r="V34">
            <v>1.7014476793012303</v>
          </cell>
          <cell r="W34">
            <v>2.4475448442766612</v>
          </cell>
          <cell r="X34">
            <v>2.7642584104961641</v>
          </cell>
          <cell r="Y34">
            <v>2.4645092385842489</v>
          </cell>
          <cell r="Z34">
            <v>2.435211674558635</v>
          </cell>
          <cell r="AA34">
            <v>2.3436666024455817</v>
          </cell>
          <cell r="AB34">
            <v>1.9970991421399598</v>
          </cell>
          <cell r="AC34">
            <v>2.0220850932468024</v>
          </cell>
          <cell r="AD34">
            <v>1.9074632582746243</v>
          </cell>
          <cell r="AE34">
            <v>2.0633846520749657</v>
          </cell>
        </row>
        <row r="35">
          <cell r="G35" t="str">
            <v>RegionSmall RetNew</v>
          </cell>
          <cell r="H35" t="str">
            <v>Com</v>
          </cell>
          <cell r="I35" t="str">
            <v>Small Ret</v>
          </cell>
          <cell r="J35" t="str">
            <v>New</v>
          </cell>
          <cell r="K35" t="str">
            <v>Millions SqFt</v>
          </cell>
          <cell r="L35">
            <v>0.86249938561661099</v>
          </cell>
          <cell r="M35">
            <v>0.71243811393533818</v>
          </cell>
          <cell r="N35">
            <v>0.43988135050703958</v>
          </cell>
          <cell r="O35">
            <v>0.44879648252082133</v>
          </cell>
          <cell r="P35">
            <v>0.41374173801952452</v>
          </cell>
          <cell r="Q35">
            <v>0.34301620014224921</v>
          </cell>
          <cell r="R35">
            <v>0.33946657261656726</v>
          </cell>
          <cell r="S35">
            <v>0.32965754978673117</v>
          </cell>
          <cell r="T35">
            <v>0.43689232903555525</v>
          </cell>
          <cell r="U35">
            <v>0.51886957722704219</v>
          </cell>
          <cell r="V35">
            <v>0.54817313334918127</v>
          </cell>
          <cell r="W35">
            <v>0.77969532117377649</v>
          </cell>
          <cell r="X35">
            <v>0.87858644381951334</v>
          </cell>
          <cell r="Y35">
            <v>0.78420074698109388</v>
          </cell>
          <cell r="Z35">
            <v>0.77728841592354081</v>
          </cell>
          <cell r="AA35">
            <v>0.74886674252534069</v>
          </cell>
          <cell r="AB35">
            <v>0.63964179951326661</v>
          </cell>
          <cell r="AC35">
            <v>0.64714740319049269</v>
          </cell>
          <cell r="AD35">
            <v>0.61166389038687663</v>
          </cell>
          <cell r="AE35">
            <v>0.66242443593788758</v>
          </cell>
        </row>
        <row r="36">
          <cell r="G36" t="str">
            <v>RegionSchool K-12New</v>
          </cell>
          <cell r="H36" t="str">
            <v>Com</v>
          </cell>
          <cell r="I36" t="str">
            <v>School K-12</v>
          </cell>
          <cell r="J36" t="str">
            <v>New</v>
          </cell>
          <cell r="K36" t="str">
            <v>Millions SqFt</v>
          </cell>
          <cell r="L36">
            <v>0.49337113702797691</v>
          </cell>
          <cell r="M36">
            <v>1.1029723159217257</v>
          </cell>
          <cell r="N36">
            <v>0.94992456965043459</v>
          </cell>
          <cell r="O36">
            <v>0.71720701164062661</v>
          </cell>
          <cell r="P36">
            <v>0.7442281187428561</v>
          </cell>
          <cell r="Q36">
            <v>0.85140099810585501</v>
          </cell>
          <cell r="R36">
            <v>0.99139466996200198</v>
          </cell>
          <cell r="S36">
            <v>1.5014629353162949</v>
          </cell>
          <cell r="T36">
            <v>1.8697826256608596</v>
          </cell>
          <cell r="U36">
            <v>1.6452707482432332</v>
          </cell>
          <cell r="V36">
            <v>1.6753181172445872</v>
          </cell>
          <cell r="W36">
            <v>1.7943041099264481</v>
          </cell>
          <cell r="X36">
            <v>1.8624299937819393</v>
          </cell>
          <cell r="Y36">
            <v>1.7489264522150836</v>
          </cell>
          <cell r="Z36">
            <v>1.7975598556031414</v>
          </cell>
          <cell r="AA36">
            <v>1.6195220459723754</v>
          </cell>
          <cell r="AB36">
            <v>1.8221433074925411</v>
          </cell>
          <cell r="AC36">
            <v>1.6336676691608698</v>
          </cell>
          <cell r="AD36">
            <v>1.7826242149357872</v>
          </cell>
          <cell r="AE36">
            <v>1.6891002859244486</v>
          </cell>
        </row>
        <row r="37">
          <cell r="G37" t="str">
            <v>RegionUniversityNew</v>
          </cell>
          <cell r="H37" t="str">
            <v>Com</v>
          </cell>
          <cell r="I37" t="str">
            <v>University</v>
          </cell>
          <cell r="J37" t="str">
            <v>New</v>
          </cell>
          <cell r="K37" t="str">
            <v>Millions SqFt</v>
          </cell>
          <cell r="L37">
            <v>0.2800209986196866</v>
          </cell>
          <cell r="M37">
            <v>0.29719871383536939</v>
          </cell>
          <cell r="N37">
            <v>0.58203115602335975</v>
          </cell>
          <cell r="O37">
            <v>0.83189457735737737</v>
          </cell>
          <cell r="P37">
            <v>0.66610454718876777</v>
          </cell>
          <cell r="Q37">
            <v>0.73648247778559484</v>
          </cell>
          <cell r="R37">
            <v>0.64334185638367225</v>
          </cell>
          <cell r="S37">
            <v>0.97289424291238524</v>
          </cell>
          <cell r="T37">
            <v>1.1820978013224126</v>
          </cell>
          <cell r="U37">
            <v>1.1785313924254113</v>
          </cell>
          <cell r="V37">
            <v>1.2952038876416079</v>
          </cell>
          <cell r="W37">
            <v>1.3229243736280945</v>
          </cell>
          <cell r="X37">
            <v>1.422909455419719</v>
          </cell>
          <cell r="Y37">
            <v>1.4430187909981058</v>
          </cell>
          <cell r="Z37">
            <v>1.2923971403480323</v>
          </cell>
          <cell r="AA37">
            <v>1.1785050733908478</v>
          </cell>
          <cell r="AB37">
            <v>1.3433889489273994</v>
          </cell>
          <cell r="AC37">
            <v>1.2265545990556588</v>
          </cell>
          <cell r="AD37">
            <v>1.2571458643971927</v>
          </cell>
          <cell r="AE37">
            <v>1.2979913333963795</v>
          </cell>
        </row>
        <row r="38">
          <cell r="G38" t="str">
            <v>RegionWarehouseNew</v>
          </cell>
          <cell r="H38" t="str">
            <v>Com</v>
          </cell>
          <cell r="I38" t="str">
            <v>Warehouse</v>
          </cell>
          <cell r="J38" t="str">
            <v>New</v>
          </cell>
          <cell r="K38" t="str">
            <v>Millions SqFt</v>
          </cell>
          <cell r="L38">
            <v>7.6586609772993617</v>
          </cell>
          <cell r="M38">
            <v>7.5774552212762423</v>
          </cell>
          <cell r="N38">
            <v>5.6453939930651131</v>
          </cell>
          <cell r="O38">
            <v>4.800793231843981</v>
          </cell>
          <cell r="P38">
            <v>3.5881391412601156</v>
          </cell>
          <cell r="Q38">
            <v>3.1529819033971824</v>
          </cell>
          <cell r="R38">
            <v>4.0691744688008198</v>
          </cell>
          <cell r="S38">
            <v>4.5400289951106014</v>
          </cell>
          <cell r="T38">
            <v>4.8555474587969272</v>
          </cell>
          <cell r="U38">
            <v>4.6966359797376018</v>
          </cell>
          <cell r="V38">
            <v>4.8557170740974245</v>
          </cell>
          <cell r="W38">
            <v>4.451750056135543</v>
          </cell>
          <cell r="X38">
            <v>3.8657972013430704</v>
          </cell>
          <cell r="Y38">
            <v>3.9817445148405937</v>
          </cell>
          <cell r="Z38">
            <v>3.9951806948216846</v>
          </cell>
          <cell r="AA38">
            <v>4.4738164673360306</v>
          </cell>
          <cell r="AB38">
            <v>4.2737219736102183</v>
          </cell>
          <cell r="AC38">
            <v>4.0870251812551333</v>
          </cell>
          <cell r="AD38">
            <v>4.137725578117939</v>
          </cell>
          <cell r="AE38">
            <v>3.6922064696454697</v>
          </cell>
        </row>
        <row r="39">
          <cell r="G39" t="str">
            <v>RegionSupermarketNew</v>
          </cell>
          <cell r="H39" t="str">
            <v>Com</v>
          </cell>
          <cell r="I39" t="str">
            <v>Supermarket</v>
          </cell>
          <cell r="J39" t="str">
            <v>New</v>
          </cell>
          <cell r="K39" t="str">
            <v>Millions SqFt</v>
          </cell>
          <cell r="L39">
            <v>0.38924897939746522</v>
          </cell>
          <cell r="M39">
            <v>0.34341311895347121</v>
          </cell>
          <cell r="N39">
            <v>0.29927348040561341</v>
          </cell>
          <cell r="O39">
            <v>0.29688874456634085</v>
          </cell>
          <cell r="P39">
            <v>0.29379933994281465</v>
          </cell>
          <cell r="Q39">
            <v>0.29041766271303127</v>
          </cell>
          <cell r="R39">
            <v>0.28614144770449462</v>
          </cell>
          <cell r="S39">
            <v>0.28163861967746157</v>
          </cell>
          <cell r="T39">
            <v>0.27688800876616482</v>
          </cell>
          <cell r="U39">
            <v>0.27357754310134663</v>
          </cell>
          <cell r="V39">
            <v>0.27063184585003941</v>
          </cell>
          <cell r="W39">
            <v>0.26801411864303953</v>
          </cell>
          <cell r="X39">
            <v>0.26660240614409092</v>
          </cell>
          <cell r="Y39">
            <v>0.25138198684402913</v>
          </cell>
          <cell r="Z39">
            <v>0.26455339135243683</v>
          </cell>
          <cell r="AA39">
            <v>0.26299167309250365</v>
          </cell>
          <cell r="AB39">
            <v>0.26140909607327911</v>
          </cell>
          <cell r="AC39">
            <v>0.25947687815142023</v>
          </cell>
          <cell r="AD39">
            <v>0.25750619496776178</v>
          </cell>
          <cell r="AE39">
            <v>0.25562560804995926</v>
          </cell>
        </row>
        <row r="40">
          <cell r="G40" t="str">
            <v>RegionMiniMartNew</v>
          </cell>
          <cell r="H40" t="str">
            <v>Com</v>
          </cell>
          <cell r="I40" t="str">
            <v>MiniMart</v>
          </cell>
          <cell r="J40" t="str">
            <v>New</v>
          </cell>
          <cell r="K40" t="str">
            <v>Millions SqFt</v>
          </cell>
          <cell r="L40">
            <v>0.19765540078516197</v>
          </cell>
          <cell r="M40">
            <v>0.18600542935034625</v>
          </cell>
          <cell r="N40">
            <v>9.5760802585072302E-2</v>
          </cell>
          <cell r="O40">
            <v>0.10062051473914659</v>
          </cell>
          <cell r="P40">
            <v>8.5646792534183808E-2</v>
          </cell>
          <cell r="Q40">
            <v>6.5415041923045286E-2</v>
          </cell>
          <cell r="R40">
            <v>5.7242996146950373E-2</v>
          </cell>
          <cell r="S40">
            <v>5.5087150941189433E-2</v>
          </cell>
          <cell r="T40">
            <v>7.3916214299540497E-2</v>
          </cell>
          <cell r="U40">
            <v>9.2056169088318471E-2</v>
          </cell>
          <cell r="V40">
            <v>0.10393709432109566</v>
          </cell>
          <cell r="W40">
            <v>0.15172170448022598</v>
          </cell>
          <cell r="X40">
            <v>0.15706997726929292</v>
          </cell>
          <cell r="Y40">
            <v>0.14510580631504899</v>
          </cell>
          <cell r="Z40">
            <v>0.15272706829792246</v>
          </cell>
          <cell r="AA40">
            <v>0.14104647748606622</v>
          </cell>
          <cell r="AB40">
            <v>0.11700741064540764</v>
          </cell>
          <cell r="AC40">
            <v>0.1200067315077773</v>
          </cell>
          <cell r="AD40">
            <v>0.11457442878633581</v>
          </cell>
          <cell r="AE40">
            <v>0.1211768182439132</v>
          </cell>
        </row>
        <row r="41">
          <cell r="G41" t="str">
            <v>RegionRestaurantNew</v>
          </cell>
          <cell r="H41" t="str">
            <v>Com</v>
          </cell>
          <cell r="I41" t="str">
            <v>Restaurant</v>
          </cell>
          <cell r="J41" t="str">
            <v>New</v>
          </cell>
          <cell r="K41" t="str">
            <v>Millions SqFt</v>
          </cell>
          <cell r="L41">
            <v>0.46894871790011039</v>
          </cell>
          <cell r="M41">
            <v>0.47387410836125871</v>
          </cell>
          <cell r="N41">
            <v>0.45144590813821411</v>
          </cell>
          <cell r="O41">
            <v>0.4505136151455652</v>
          </cell>
          <cell r="P41">
            <v>0.44778046039172248</v>
          </cell>
          <cell r="Q41">
            <v>0.44523396067124349</v>
          </cell>
          <cell r="R41">
            <v>0.44273536313864043</v>
          </cell>
          <cell r="S41">
            <v>0.4399078135546039</v>
          </cell>
          <cell r="T41">
            <v>0.43708606600163591</v>
          </cell>
          <cell r="U41">
            <v>0.43513915585550955</v>
          </cell>
          <cell r="V41">
            <v>0.43580404899906589</v>
          </cell>
          <cell r="W41">
            <v>0.59161866303702282</v>
          </cell>
          <cell r="X41">
            <v>0.66467702134516005</v>
          </cell>
          <cell r="Y41">
            <v>0.65353995366480533</v>
          </cell>
          <cell r="Z41">
            <v>0.676060915960916</v>
          </cell>
          <cell r="AA41">
            <v>0.70559825286541389</v>
          </cell>
          <cell r="AB41">
            <v>0.63206878506691044</v>
          </cell>
          <cell r="AC41">
            <v>0.63726309269471215</v>
          </cell>
          <cell r="AD41">
            <v>0.5828366650853003</v>
          </cell>
          <cell r="AE41">
            <v>0.63928201324113043</v>
          </cell>
        </row>
        <row r="42">
          <cell r="G42" t="str">
            <v>RegionLodgingNew</v>
          </cell>
          <cell r="H42" t="str">
            <v>Com</v>
          </cell>
          <cell r="I42" t="str">
            <v>Lodging</v>
          </cell>
          <cell r="J42" t="str">
            <v>New</v>
          </cell>
          <cell r="K42" t="str">
            <v>Millions SqFt</v>
          </cell>
          <cell r="L42">
            <v>1.0326774321313152</v>
          </cell>
          <cell r="M42">
            <v>1.0158776160943388</v>
          </cell>
          <cell r="N42">
            <v>0.74304915446037911</v>
          </cell>
          <cell r="O42">
            <v>0.76054102414226543</v>
          </cell>
          <cell r="P42">
            <v>0.65616402459427536</v>
          </cell>
          <cell r="Q42">
            <v>0.62755023267601961</v>
          </cell>
          <cell r="R42">
            <v>0.61023293273354484</v>
          </cell>
          <cell r="S42">
            <v>0.60571699788717037</v>
          </cell>
          <cell r="T42">
            <v>0.65097903457434547</v>
          </cell>
          <cell r="U42">
            <v>0.69319811486407867</v>
          </cell>
          <cell r="V42">
            <v>0.78843795894088464</v>
          </cell>
          <cell r="W42">
            <v>1.3645659476947984</v>
          </cell>
          <cell r="X42">
            <v>1.6032227373726178</v>
          </cell>
          <cell r="Y42">
            <v>1.6412696995684901</v>
          </cell>
          <cell r="Z42">
            <v>1.670283030615213</v>
          </cell>
          <cell r="AA42">
            <v>1.755661848186447</v>
          </cell>
          <cell r="AB42">
            <v>1.4871375295645746</v>
          </cell>
          <cell r="AC42">
            <v>1.4400033906080374</v>
          </cell>
          <cell r="AD42">
            <v>1.3499648074414823</v>
          </cell>
          <cell r="AE42">
            <v>1.4487057151095009</v>
          </cell>
        </row>
        <row r="43">
          <cell r="G43" t="str">
            <v>RegionHospitalNew</v>
          </cell>
          <cell r="H43" t="str">
            <v>Com</v>
          </cell>
          <cell r="I43" t="str">
            <v>Hospital</v>
          </cell>
          <cell r="J43" t="str">
            <v>New</v>
          </cell>
          <cell r="K43" t="str">
            <v>Millions SqFt</v>
          </cell>
          <cell r="L43">
            <v>4.1336070304911159</v>
          </cell>
          <cell r="M43">
            <v>3.5601449453189118</v>
          </cell>
          <cell r="N43">
            <v>3.2007770264658664</v>
          </cell>
          <cell r="O43">
            <v>2.6531465767673241</v>
          </cell>
          <cell r="P43">
            <v>1.8730082465149496</v>
          </cell>
          <cell r="Q43">
            <v>1.6467285324389391</v>
          </cell>
          <cell r="R43">
            <v>1.5196240263467067</v>
          </cell>
          <cell r="S43">
            <v>1.3328145698119136</v>
          </cell>
          <cell r="T43">
            <v>1.3372342578617185</v>
          </cell>
          <cell r="U43">
            <v>1.4086686461757902</v>
          </cell>
          <cell r="V43">
            <v>1.6725933548501446</v>
          </cell>
          <cell r="W43">
            <v>2.0158466086985318</v>
          </cell>
          <cell r="X43">
            <v>2.3033709594417431</v>
          </cell>
          <cell r="Y43">
            <v>2.063930246052466</v>
          </cell>
          <cell r="Z43">
            <v>1.9880083370090949</v>
          </cell>
          <cell r="AA43">
            <v>1.9342270452860566</v>
          </cell>
          <cell r="AB43">
            <v>1.774507966199161</v>
          </cell>
          <cell r="AC43">
            <v>1.6723841845019074</v>
          </cell>
          <cell r="AD43">
            <v>1.5414284807799123</v>
          </cell>
          <cell r="AE43">
            <v>1.5563040522680198</v>
          </cell>
        </row>
        <row r="44">
          <cell r="G44" t="str">
            <v>RegionResidential CareNew</v>
          </cell>
          <cell r="H44" t="str">
            <v>Com</v>
          </cell>
          <cell r="I44" t="str">
            <v>Residential Care</v>
          </cell>
          <cell r="J44" t="str">
            <v>New</v>
          </cell>
          <cell r="K44" t="str">
            <v>Millions SqFt</v>
          </cell>
          <cell r="L44">
            <v>4.5029406937179912</v>
          </cell>
          <cell r="M44">
            <v>4.0786070344439063</v>
          </cell>
          <cell r="N44">
            <v>3.5919834720533679</v>
          </cell>
          <cell r="O44">
            <v>3.0400934926407626</v>
          </cell>
          <cell r="P44">
            <v>2.3018670718031324</v>
          </cell>
          <cell r="Q44">
            <v>2.1321468422073435</v>
          </cell>
          <cell r="R44">
            <v>1.9771504564110642</v>
          </cell>
          <cell r="S44">
            <v>1.8096072137015302</v>
          </cell>
          <cell r="T44">
            <v>1.9023478055732992</v>
          </cell>
          <cell r="U44">
            <v>2.0129777404511922</v>
          </cell>
          <cell r="V44">
            <v>2.304026079874093</v>
          </cell>
          <cell r="W44">
            <v>2.7992417645016405</v>
          </cell>
          <cell r="X44">
            <v>3.0682339807477179</v>
          </cell>
          <cell r="Y44">
            <v>2.7441690138981158</v>
          </cell>
          <cell r="Z44">
            <v>2.8046561391012603</v>
          </cell>
          <cell r="AA44">
            <v>2.7282838662201567</v>
          </cell>
          <cell r="AB44">
            <v>2.4959637785038216</v>
          </cell>
          <cell r="AC44">
            <v>2.4392052334479857</v>
          </cell>
          <cell r="AD44">
            <v>2.3386950979959957</v>
          </cell>
          <cell r="AE44">
            <v>2.3103955399373803</v>
          </cell>
        </row>
        <row r="45">
          <cell r="G45" t="str">
            <v>RegionAssemblyNew</v>
          </cell>
          <cell r="H45" t="str">
            <v>Com</v>
          </cell>
          <cell r="I45" t="str">
            <v>Assembly</v>
          </cell>
          <cell r="J45" t="str">
            <v>New</v>
          </cell>
          <cell r="K45" t="str">
            <v>Millions SqFt</v>
          </cell>
          <cell r="L45">
            <v>3.1854829351393543</v>
          </cell>
          <cell r="M45">
            <v>3.1699057451518957</v>
          </cell>
          <cell r="N45">
            <v>2.2628528186826316</v>
          </cell>
          <cell r="O45">
            <v>2.6023617076700645</v>
          </cell>
          <cell r="P45">
            <v>2.2919684786454506</v>
          </cell>
          <cell r="Q45">
            <v>2.1556450092355899</v>
          </cell>
          <cell r="R45">
            <v>1.4820394508668711</v>
          </cell>
          <cell r="S45">
            <v>1.5603361472368396</v>
          </cell>
          <cell r="T45">
            <v>2.3546097038898557</v>
          </cell>
          <cell r="U45">
            <v>3.2740386396924066</v>
          </cell>
          <cell r="V45">
            <v>3.6241751874536021</v>
          </cell>
          <cell r="W45">
            <v>4.4420137300219826</v>
          </cell>
          <cell r="X45">
            <v>5.8224273473135861</v>
          </cell>
          <cell r="Y45">
            <v>6.4604400946422142</v>
          </cell>
          <cell r="Z45">
            <v>6.9014803298142597</v>
          </cell>
          <cell r="AA45">
            <v>6.748515751490312</v>
          </cell>
          <cell r="AB45">
            <v>6.4364694734288266</v>
          </cell>
          <cell r="AC45">
            <v>6.3053235195290611</v>
          </cell>
          <cell r="AD45">
            <v>6.2236620394663484</v>
          </cell>
          <cell r="AE45">
            <v>6.0386522880717726</v>
          </cell>
        </row>
        <row r="46">
          <cell r="G46" t="str">
            <v>RegionOtherNew</v>
          </cell>
          <cell r="H46" t="str">
            <v>Com</v>
          </cell>
          <cell r="I46" t="str">
            <v>Other</v>
          </cell>
          <cell r="J46" t="str">
            <v>New</v>
          </cell>
          <cell r="K46" t="str">
            <v>Millions SqFt</v>
          </cell>
          <cell r="L46">
            <v>12.863107129152304</v>
          </cell>
          <cell r="M46">
            <v>10.7220378193485</v>
          </cell>
          <cell r="N46">
            <v>10.142128438066296</v>
          </cell>
          <cell r="O46">
            <v>9.4611923499879236</v>
          </cell>
          <cell r="P46">
            <v>7.3638556881373223</v>
          </cell>
          <cell r="Q46">
            <v>8.1591439254269407</v>
          </cell>
          <cell r="R46">
            <v>7.9603673258815011</v>
          </cell>
          <cell r="S46">
            <v>8.6026166911432824</v>
          </cell>
          <cell r="T46">
            <v>9.3207800366095146</v>
          </cell>
          <cell r="U46">
            <v>9.0572786632714859</v>
          </cell>
          <cell r="V46">
            <v>10.184423730877143</v>
          </cell>
          <cell r="W46">
            <v>10.787657533789663</v>
          </cell>
          <cell r="X46">
            <v>11.005378574708409</v>
          </cell>
          <cell r="Y46">
            <v>10.267063981307951</v>
          </cell>
          <cell r="Z46">
            <v>11.027475862918971</v>
          </cell>
          <cell r="AA46">
            <v>9.9609233822623686</v>
          </cell>
          <cell r="AB46">
            <v>10.340047869658916</v>
          </cell>
          <cell r="AC46">
            <v>9.8383849729989699</v>
          </cell>
          <cell r="AD46">
            <v>9.3282989614436094</v>
          </cell>
          <cell r="AE46">
            <v>9.0355729282982153</v>
          </cell>
        </row>
        <row r="47">
          <cell r="G47" t="str">
            <v>RegionLarge OffStock 2016</v>
          </cell>
          <cell r="H47" t="str">
            <v>Com</v>
          </cell>
          <cell r="I47" t="str">
            <v>Large Off</v>
          </cell>
          <cell r="J47" t="str">
            <v>Stock 2016</v>
          </cell>
          <cell r="K47" t="str">
            <v>Millions SqFt</v>
          </cell>
          <cell r="L47">
            <v>380.08828477966154</v>
          </cell>
          <cell r="M47">
            <v>378.94801992532251</v>
          </cell>
          <cell r="N47">
            <v>377.81117586554655</v>
          </cell>
          <cell r="O47">
            <v>376.67774233794995</v>
          </cell>
          <cell r="P47">
            <v>375.54770911093607</v>
          </cell>
          <cell r="Q47">
            <v>374.42106598360328</v>
          </cell>
          <cell r="R47">
            <v>373.29780278565244</v>
          </cell>
          <cell r="S47">
            <v>372.17790937729552</v>
          </cell>
          <cell r="T47">
            <v>371.06137564916361</v>
          </cell>
          <cell r="U47">
            <v>369.94819152221612</v>
          </cell>
          <cell r="V47">
            <v>368.83834694764948</v>
          </cell>
          <cell r="W47">
            <v>367.73183190680658</v>
          </cell>
          <cell r="X47">
            <v>366.62863641108612</v>
          </cell>
          <cell r="Y47">
            <v>365.52875050185287</v>
          </cell>
          <cell r="Z47">
            <v>364.43216425034728</v>
          </cell>
          <cell r="AA47">
            <v>363.33886775759629</v>
          </cell>
          <cell r="AB47">
            <v>362.24885115432346</v>
          </cell>
          <cell r="AC47">
            <v>361.16210460086046</v>
          </cell>
          <cell r="AD47">
            <v>360.07861828705791</v>
          </cell>
          <cell r="AE47">
            <v>358.99838243219671</v>
          </cell>
        </row>
        <row r="48">
          <cell r="G48" t="str">
            <v>RegionMedium OffStock 2016</v>
          </cell>
          <cell r="H48" t="str">
            <v>Com</v>
          </cell>
          <cell r="I48" t="str">
            <v>Medium Off</v>
          </cell>
          <cell r="J48" t="str">
            <v>Stock 2016</v>
          </cell>
          <cell r="K48" t="str">
            <v>Millions SqFt</v>
          </cell>
          <cell r="L48">
            <v>190.73687138333023</v>
          </cell>
          <cell r="M48">
            <v>190.16466076918024</v>
          </cell>
          <cell r="N48">
            <v>189.59416678687271</v>
          </cell>
          <cell r="O48">
            <v>189.02538428651209</v>
          </cell>
          <cell r="P48">
            <v>188.45830813365254</v>
          </cell>
          <cell r="Q48">
            <v>187.89293320925157</v>
          </cell>
          <cell r="R48">
            <v>187.32925440962381</v>
          </cell>
          <cell r="S48">
            <v>186.76726664639497</v>
          </cell>
          <cell r="T48">
            <v>186.20696484645578</v>
          </cell>
          <cell r="U48">
            <v>185.64834395191642</v>
          </cell>
          <cell r="V48">
            <v>185.09139892006067</v>
          </cell>
          <cell r="W48">
            <v>184.5361247233005</v>
          </cell>
          <cell r="X48">
            <v>183.98251634913058</v>
          </cell>
          <cell r="Y48">
            <v>183.43056880008319</v>
          </cell>
          <cell r="Z48">
            <v>182.88027709368296</v>
          </cell>
          <cell r="AA48">
            <v>182.33163626240187</v>
          </cell>
          <cell r="AB48">
            <v>181.78464135361469</v>
          </cell>
          <cell r="AC48">
            <v>181.23928742955383</v>
          </cell>
          <cell r="AD48">
            <v>180.69556956726515</v>
          </cell>
          <cell r="AE48">
            <v>180.15348285856339</v>
          </cell>
        </row>
        <row r="49">
          <cell r="G49" t="str">
            <v>RegionSmall OffStock 2016</v>
          </cell>
          <cell r="H49" t="str">
            <v>Com</v>
          </cell>
          <cell r="I49" t="str">
            <v>Small Off</v>
          </cell>
          <cell r="J49" t="str">
            <v>Stock 2016</v>
          </cell>
          <cell r="K49" t="str">
            <v>Millions SqFt</v>
          </cell>
          <cell r="L49">
            <v>184.0913556049378</v>
          </cell>
          <cell r="M49">
            <v>183.53908153812301</v>
          </cell>
          <cell r="N49">
            <v>182.98846429350866</v>
          </cell>
          <cell r="O49">
            <v>182.43949890062811</v>
          </cell>
          <cell r="P49">
            <v>181.89218040392623</v>
          </cell>
          <cell r="Q49">
            <v>181.34650386271446</v>
          </cell>
          <cell r="R49">
            <v>180.80246435112633</v>
          </cell>
          <cell r="S49">
            <v>180.26005695807294</v>
          </cell>
          <cell r="T49">
            <v>179.71927678719871</v>
          </cell>
          <cell r="U49">
            <v>179.18011895683713</v>
          </cell>
          <cell r="V49">
            <v>178.64257859996661</v>
          </cell>
          <cell r="W49">
            <v>178.10665086416668</v>
          </cell>
          <cell r="X49">
            <v>177.57233091157423</v>
          </cell>
          <cell r="Y49">
            <v>177.03961391883951</v>
          </cell>
          <cell r="Z49">
            <v>176.50849507708296</v>
          </cell>
          <cell r="AA49">
            <v>175.97896959185172</v>
          </cell>
          <cell r="AB49">
            <v>175.45103268307616</v>
          </cell>
          <cell r="AC49">
            <v>174.92467958502692</v>
          </cell>
          <cell r="AD49">
            <v>174.39990554627184</v>
          </cell>
          <cell r="AE49">
            <v>173.87670582963304</v>
          </cell>
        </row>
        <row r="50">
          <cell r="G50" t="str">
            <v>RegionXLarge RetStock 2016</v>
          </cell>
          <cell r="H50" t="str">
            <v>Com</v>
          </cell>
          <cell r="I50" t="str">
            <v>XLarge Ret</v>
          </cell>
          <cell r="J50" t="str">
            <v>Stock 2016</v>
          </cell>
          <cell r="K50" t="str">
            <v>Millions SqFt</v>
          </cell>
          <cell r="L50">
            <v>138.35734062238015</v>
          </cell>
          <cell r="M50">
            <v>137.7208968555172</v>
          </cell>
          <cell r="N50">
            <v>137.08738072998179</v>
          </cell>
          <cell r="O50">
            <v>136.45677877862389</v>
          </cell>
          <cell r="P50">
            <v>135.8290775962422</v>
          </cell>
          <cell r="Q50">
            <v>135.20426383929947</v>
          </cell>
          <cell r="R50">
            <v>134.5823242256387</v>
          </cell>
          <cell r="S50">
            <v>133.96324553420075</v>
          </cell>
          <cell r="T50">
            <v>133.34701460474344</v>
          </cell>
          <cell r="U50">
            <v>132.73361833756161</v>
          </cell>
          <cell r="V50">
            <v>132.12304369320884</v>
          </cell>
          <cell r="W50">
            <v>131.51527769222005</v>
          </cell>
          <cell r="X50">
            <v>130.91030741483584</v>
          </cell>
          <cell r="Y50">
            <v>130.3081200007276</v>
          </cell>
          <cell r="Z50">
            <v>129.70870264872423</v>
          </cell>
          <cell r="AA50">
            <v>129.11204261654012</v>
          </cell>
          <cell r="AB50">
            <v>128.51812722050403</v>
          </cell>
          <cell r="AC50">
            <v>127.92694383528971</v>
          </cell>
          <cell r="AD50">
            <v>127.33847989364737</v>
          </cell>
          <cell r="AE50">
            <v>126.75272288613657</v>
          </cell>
        </row>
        <row r="51">
          <cell r="G51" t="str">
            <v>RegionLarge RetStock 2016</v>
          </cell>
          <cell r="H51" t="str">
            <v>Com</v>
          </cell>
          <cell r="I51" t="str">
            <v>Large Ret</v>
          </cell>
          <cell r="J51" t="str">
            <v>Stock 2016</v>
          </cell>
          <cell r="K51" t="str">
            <v>Millions SqFt</v>
          </cell>
          <cell r="L51">
            <v>208.9574509880029</v>
          </cell>
          <cell r="M51">
            <v>207.99624671345808</v>
          </cell>
          <cell r="N51">
            <v>207.03946397857615</v>
          </cell>
          <cell r="O51">
            <v>206.0870824442747</v>
          </cell>
          <cell r="P51">
            <v>205.13908186503102</v>
          </cell>
          <cell r="Q51">
            <v>204.1954420884519</v>
          </cell>
          <cell r="R51">
            <v>203.25614305484498</v>
          </cell>
          <cell r="S51">
            <v>202.32116479679266</v>
          </cell>
          <cell r="T51">
            <v>201.3904874387274</v>
          </cell>
          <cell r="U51">
            <v>200.46409119650929</v>
          </cell>
          <cell r="V51">
            <v>199.54195637700533</v>
          </cell>
          <cell r="W51">
            <v>198.62406337767112</v>
          </cell>
          <cell r="X51">
            <v>197.71039268613379</v>
          </cell>
          <cell r="Y51">
            <v>196.8009248797776</v>
          </cell>
          <cell r="Z51">
            <v>195.8956406253306</v>
          </cell>
          <cell r="AA51">
            <v>194.99452067845405</v>
          </cell>
          <cell r="AB51">
            <v>194.09754588333314</v>
          </cell>
          <cell r="AC51">
            <v>193.20469717226982</v>
          </cell>
          <cell r="AD51">
            <v>192.31595556527733</v>
          </cell>
          <cell r="AE51">
            <v>191.43130216967708</v>
          </cell>
        </row>
        <row r="52">
          <cell r="G52" t="str">
            <v>RegionMedium RetStock 2016</v>
          </cell>
          <cell r="H52" t="str">
            <v>Com</v>
          </cell>
          <cell r="I52" t="str">
            <v>Medium Ret</v>
          </cell>
          <cell r="J52" t="str">
            <v>Stock 2016</v>
          </cell>
          <cell r="K52" t="str">
            <v>Millions SqFt</v>
          </cell>
          <cell r="L52">
            <v>97.115689913224898</v>
          </cell>
          <cell r="M52">
            <v>96.668957739624062</v>
          </cell>
          <cell r="N52">
            <v>96.224280534021787</v>
          </cell>
          <cell r="O52">
            <v>95.781648843565293</v>
          </cell>
          <cell r="P52">
            <v>95.34105325888487</v>
          </cell>
          <cell r="Q52">
            <v>94.902484413894001</v>
          </cell>
          <cell r="R52">
            <v>94.465932985590086</v>
          </cell>
          <cell r="S52">
            <v>94.031389693856369</v>
          </cell>
          <cell r="T52">
            <v>93.598845301264618</v>
          </cell>
          <cell r="U52">
            <v>93.168290612878806</v>
          </cell>
          <cell r="V52">
            <v>92.739716476059556</v>
          </cell>
          <cell r="W52">
            <v>92.313113780269674</v>
          </cell>
          <cell r="X52">
            <v>91.888473456880433</v>
          </cell>
          <cell r="Y52">
            <v>91.465786478978771</v>
          </cell>
          <cell r="Z52">
            <v>91.045043861175472</v>
          </cell>
          <cell r="AA52">
            <v>90.626236659414062</v>
          </cell>
          <cell r="AB52">
            <v>90.209355970780734</v>
          </cell>
          <cell r="AC52">
            <v>89.794392933315152</v>
          </cell>
          <cell r="AD52">
            <v>89.381338725821905</v>
          </cell>
          <cell r="AE52">
            <v>88.97018456768312</v>
          </cell>
        </row>
        <row r="53">
          <cell r="G53" t="str">
            <v>RegionSmall RetStock 2016</v>
          </cell>
          <cell r="H53" t="str">
            <v>Com</v>
          </cell>
          <cell r="I53" t="str">
            <v>Small Ret</v>
          </cell>
          <cell r="J53" t="str">
            <v>Stock 2016</v>
          </cell>
          <cell r="K53" t="str">
            <v>Millions SqFt</v>
          </cell>
          <cell r="L53">
            <v>109.47966092768364</v>
          </cell>
          <cell r="M53">
            <v>108.97605448741629</v>
          </cell>
          <cell r="N53">
            <v>108.47476463677417</v>
          </cell>
          <cell r="O53">
            <v>107.975780719445</v>
          </cell>
          <cell r="P53">
            <v>107.47909212813555</v>
          </cell>
          <cell r="Q53">
            <v>106.98468830434612</v>
          </cell>
          <cell r="R53">
            <v>106.49255873814613</v>
          </cell>
          <cell r="S53">
            <v>106.00269296795065</v>
          </cell>
          <cell r="T53">
            <v>105.51508058029808</v>
          </cell>
          <cell r="U53">
            <v>105.0297112096287</v>
          </cell>
          <cell r="V53">
            <v>104.54657453806439</v>
          </cell>
          <cell r="W53">
            <v>104.0656602951893</v>
          </cell>
          <cell r="X53">
            <v>103.58695825783141</v>
          </cell>
          <cell r="Y53">
            <v>103.11045824984539</v>
          </cell>
          <cell r="Z53">
            <v>102.6361501418961</v>
          </cell>
          <cell r="AA53">
            <v>102.16402385124337</v>
          </cell>
          <cell r="AB53">
            <v>101.69406934152764</v>
          </cell>
          <cell r="AC53">
            <v>101.2262766225566</v>
          </cell>
          <cell r="AD53">
            <v>100.76063575009285</v>
          </cell>
          <cell r="AE53">
            <v>100.29713682564241</v>
          </cell>
        </row>
        <row r="54">
          <cell r="G54" t="str">
            <v>RegionSchool K-12Stock 2016</v>
          </cell>
          <cell r="H54" t="str">
            <v>Com</v>
          </cell>
          <cell r="I54" t="str">
            <v>School K-12</v>
          </cell>
          <cell r="J54" t="str">
            <v>Stock 2016</v>
          </cell>
          <cell r="K54" t="str">
            <v>Millions SqFt</v>
          </cell>
          <cell r="L54">
            <v>241.11763975818661</v>
          </cell>
          <cell r="M54">
            <v>240.12905743517803</v>
          </cell>
          <cell r="N54">
            <v>239.14452829969383</v>
          </cell>
          <cell r="O54">
            <v>238.16403573366509</v>
          </cell>
          <cell r="P54">
            <v>237.18756318715711</v>
          </cell>
          <cell r="Q54">
            <v>236.21509417808971</v>
          </cell>
          <cell r="R54">
            <v>235.24661229195956</v>
          </cell>
          <cell r="S54">
            <v>234.28210118156252</v>
          </cell>
          <cell r="T54">
            <v>233.32154456671807</v>
          </cell>
          <cell r="U54">
            <v>232.36492623399457</v>
          </cell>
          <cell r="V54">
            <v>231.41223003643518</v>
          </cell>
          <cell r="W54">
            <v>230.46343989328579</v>
          </cell>
          <cell r="X54">
            <v>229.51853978972335</v>
          </cell>
          <cell r="Y54">
            <v>228.57751377658545</v>
          </cell>
          <cell r="Z54">
            <v>227.64034597010144</v>
          </cell>
          <cell r="AA54">
            <v>226.70702055162403</v>
          </cell>
          <cell r="AB54">
            <v>225.77752176736234</v>
          </cell>
          <cell r="AC54">
            <v>224.85183392811618</v>
          </cell>
          <cell r="AD54">
            <v>223.92994140901092</v>
          </cell>
          <cell r="AE54">
            <v>223.01182864923393</v>
          </cell>
        </row>
        <row r="55">
          <cell r="G55" t="str">
            <v>RegionUniversityStock 2016</v>
          </cell>
          <cell r="H55" t="str">
            <v>Com</v>
          </cell>
          <cell r="I55" t="str">
            <v>University</v>
          </cell>
          <cell r="J55" t="str">
            <v>Stock 2016</v>
          </cell>
          <cell r="K55" t="str">
            <v>Millions SqFt</v>
          </cell>
          <cell r="L55">
            <v>122.15340627232256</v>
          </cell>
          <cell r="M55">
            <v>121.65257730660603</v>
          </cell>
          <cell r="N55">
            <v>121.15380173964894</v>
          </cell>
          <cell r="O55">
            <v>120.65707115251638</v>
          </cell>
          <cell r="P55">
            <v>120.16237716079107</v>
          </cell>
          <cell r="Q55">
            <v>119.66971141443182</v>
          </cell>
          <cell r="R55">
            <v>119.17906559763266</v>
          </cell>
          <cell r="S55">
            <v>118.69043142868237</v>
          </cell>
          <cell r="T55">
            <v>118.20380065982476</v>
          </cell>
          <cell r="U55">
            <v>117.71916507711948</v>
          </cell>
          <cell r="V55">
            <v>117.23651650030328</v>
          </cell>
          <cell r="W55">
            <v>116.75584678265207</v>
          </cell>
          <cell r="X55">
            <v>116.27714781084319</v>
          </cell>
          <cell r="Y55">
            <v>115.80041150481873</v>
          </cell>
          <cell r="Z55">
            <v>115.32562981764897</v>
          </cell>
          <cell r="AA55">
            <v>114.8527947353966</v>
          </cell>
          <cell r="AB55">
            <v>114.38189827698147</v>
          </cell>
          <cell r="AC55">
            <v>113.91293249404585</v>
          </cell>
          <cell r="AD55">
            <v>113.44588947082025</v>
          </cell>
          <cell r="AE55">
            <v>112.98076132398991</v>
          </cell>
        </row>
        <row r="56">
          <cell r="G56" t="str">
            <v>RegionWarehouseStock 2016</v>
          </cell>
          <cell r="H56" t="str">
            <v>Com</v>
          </cell>
          <cell r="I56" t="str">
            <v>Warehouse</v>
          </cell>
          <cell r="J56" t="str">
            <v>Stock 2016</v>
          </cell>
          <cell r="K56" t="str">
            <v>Millions SqFt</v>
          </cell>
          <cell r="L56">
            <v>448.69829599576161</v>
          </cell>
          <cell r="M56">
            <v>447.03811230057732</v>
          </cell>
          <cell r="N56">
            <v>445.3840712850652</v>
          </cell>
          <cell r="O56">
            <v>443.73615022131042</v>
          </cell>
          <cell r="P56">
            <v>442.09432646549152</v>
          </cell>
          <cell r="Q56">
            <v>440.45857745756916</v>
          </cell>
          <cell r="R56">
            <v>438.82888072097626</v>
          </cell>
          <cell r="S56">
            <v>437.2052138623086</v>
          </cell>
          <cell r="T56">
            <v>435.58755457101802</v>
          </cell>
          <cell r="U56">
            <v>433.97588061910528</v>
          </cell>
          <cell r="V56">
            <v>432.37016986081449</v>
          </cell>
          <cell r="W56">
            <v>430.77040023232951</v>
          </cell>
          <cell r="X56">
            <v>429.17654975146979</v>
          </cell>
          <cell r="Y56">
            <v>427.58859651738936</v>
          </cell>
          <cell r="Z56">
            <v>426.00651871027503</v>
          </cell>
          <cell r="AA56">
            <v>424.43029459104702</v>
          </cell>
          <cell r="AB56">
            <v>422.85990250106011</v>
          </cell>
          <cell r="AC56">
            <v>421.2953208618062</v>
          </cell>
          <cell r="AD56">
            <v>419.73652817461749</v>
          </cell>
          <cell r="AE56">
            <v>418.18350302037135</v>
          </cell>
        </row>
        <row r="57">
          <cell r="G57" t="str">
            <v>RegionSupermarketStock 2016</v>
          </cell>
          <cell r="H57" t="str">
            <v>Com</v>
          </cell>
          <cell r="I57" t="str">
            <v>Supermarket</v>
          </cell>
          <cell r="J57" t="str">
            <v>Stock 2016</v>
          </cell>
          <cell r="K57" t="str">
            <v>Millions SqFt</v>
          </cell>
          <cell r="L57">
            <v>53.720939527021244</v>
          </cell>
          <cell r="M57">
            <v>53.237451071278059</v>
          </cell>
          <cell r="N57">
            <v>52.758314011636557</v>
          </cell>
          <cell r="O57">
            <v>52.283489185531828</v>
          </cell>
          <cell r="P57">
            <v>51.812937782862043</v>
          </cell>
          <cell r="Q57">
            <v>51.346621342816277</v>
          </cell>
          <cell r="R57">
            <v>50.884501750730934</v>
          </cell>
          <cell r="S57">
            <v>50.426541234974358</v>
          </cell>
          <cell r="T57">
            <v>49.97270236385959</v>
          </cell>
          <cell r="U57">
            <v>49.522948042584851</v>
          </cell>
          <cell r="V57">
            <v>49.077241510201581</v>
          </cell>
          <cell r="W57">
            <v>48.635546336609778</v>
          </cell>
          <cell r="X57">
            <v>48.197826419580288</v>
          </cell>
          <cell r="Y57">
            <v>47.76404598180406</v>
          </cell>
          <cell r="Z57">
            <v>47.33416956796782</v>
          </cell>
          <cell r="AA57">
            <v>46.908162041856116</v>
          </cell>
          <cell r="AB57">
            <v>46.485988583479411</v>
          </cell>
          <cell r="AC57">
            <v>46.067614686228097</v>
          </cell>
          <cell r="AD57">
            <v>45.653006154052044</v>
          </cell>
          <cell r="AE57">
            <v>45.242129098665572</v>
          </cell>
        </row>
        <row r="58">
          <cell r="G58" t="str">
            <v>RegionMiniMartStock 2016</v>
          </cell>
          <cell r="H58" t="str">
            <v>Com</v>
          </cell>
          <cell r="I58" t="str">
            <v>MiniMart</v>
          </cell>
          <cell r="J58" t="str">
            <v>Stock 2016</v>
          </cell>
          <cell r="K58" t="str">
            <v>Millions SqFt</v>
          </cell>
          <cell r="L58">
            <v>22.491017060912501</v>
          </cell>
          <cell r="M58">
            <v>22.384859460384995</v>
          </cell>
          <cell r="N58">
            <v>22.279202923731983</v>
          </cell>
          <cell r="O58">
            <v>22.174045085931969</v>
          </cell>
          <cell r="P58">
            <v>22.069383593126368</v>
          </cell>
          <cell r="Q58">
            <v>21.965216102566814</v>
          </cell>
          <cell r="R58">
            <v>21.8615402825627</v>
          </cell>
          <cell r="S58">
            <v>21.758353812429004</v>
          </cell>
          <cell r="T58">
            <v>21.655654382434342</v>
          </cell>
          <cell r="U58">
            <v>21.553439693749251</v>
          </cell>
          <cell r="V58">
            <v>21.451707458394754</v>
          </cell>
          <cell r="W58">
            <v>21.350455399191134</v>
          </cell>
          <cell r="X58">
            <v>21.249681249706953</v>
          </cell>
          <cell r="Y58">
            <v>21.149382754208336</v>
          </cell>
          <cell r="Z58">
            <v>21.049557667608472</v>
          </cell>
          <cell r="AA58">
            <v>20.950203755417366</v>
          </cell>
          <cell r="AB58">
            <v>20.851318793691796</v>
          </cell>
          <cell r="AC58">
            <v>20.75290056898557</v>
          </cell>
          <cell r="AD58">
            <v>20.654946878299963</v>
          </cell>
          <cell r="AE58">
            <v>20.557455529034385</v>
          </cell>
        </row>
        <row r="59">
          <cell r="G59" t="str">
            <v>RegionRestaurantStock 2016</v>
          </cell>
          <cell r="H59" t="str">
            <v>Com</v>
          </cell>
          <cell r="I59" t="str">
            <v>Restaurant</v>
          </cell>
          <cell r="J59" t="str">
            <v>Stock 2016</v>
          </cell>
          <cell r="K59" t="str">
            <v>Millions SqFt</v>
          </cell>
          <cell r="L59">
            <v>51.550857208753726</v>
          </cell>
          <cell r="M59">
            <v>51.307537162728408</v>
          </cell>
          <cell r="N59">
            <v>51.065365587320336</v>
          </cell>
          <cell r="O59">
            <v>50.824337061748189</v>
          </cell>
          <cell r="P59">
            <v>50.584446190816735</v>
          </cell>
          <cell r="Q59">
            <v>50.345687604796083</v>
          </cell>
          <cell r="R59">
            <v>50.108055959301453</v>
          </cell>
          <cell r="S59">
            <v>49.871545935173543</v>
          </cell>
          <cell r="T59">
            <v>49.636152238359529</v>
          </cell>
          <cell r="U59">
            <v>49.40186959979448</v>
          </cell>
          <cell r="V59">
            <v>49.168692775283453</v>
          </cell>
          <cell r="W59">
            <v>48.936616545384119</v>
          </cell>
          <cell r="X59">
            <v>48.705635715289908</v>
          </cell>
          <cell r="Y59">
            <v>48.475745114713739</v>
          </cell>
          <cell r="Z59">
            <v>48.246939597772297</v>
          </cell>
          <cell r="AA59">
            <v>48.019214042870807</v>
          </cell>
          <cell r="AB59">
            <v>47.792563352588466</v>
          </cell>
          <cell r="AC59">
            <v>47.56698245356425</v>
          </cell>
          <cell r="AD59">
            <v>47.342466296383435</v>
          </cell>
          <cell r="AE59">
            <v>47.119009855464505</v>
          </cell>
        </row>
        <row r="60">
          <cell r="G60" t="str">
            <v>RegionLodgingStock 2016</v>
          </cell>
          <cell r="H60" t="str">
            <v>Com</v>
          </cell>
          <cell r="I60" t="str">
            <v>Lodging</v>
          </cell>
          <cell r="J60" t="str">
            <v>Stock 2016</v>
          </cell>
          <cell r="K60" t="str">
            <v>Millions SqFt</v>
          </cell>
          <cell r="L60">
            <v>170.15189589049527</v>
          </cell>
          <cell r="M60">
            <v>169.74353134035809</v>
          </cell>
          <cell r="N60">
            <v>169.33614686514122</v>
          </cell>
          <cell r="O60">
            <v>168.92974011266489</v>
          </cell>
          <cell r="P60">
            <v>168.52430873639449</v>
          </cell>
          <cell r="Q60">
            <v>168.11985039542716</v>
          </cell>
          <cell r="R60">
            <v>167.71636275447813</v>
          </cell>
          <cell r="S60">
            <v>167.31384348386743</v>
          </cell>
          <cell r="T60">
            <v>166.91229025950614</v>
          </cell>
          <cell r="U60">
            <v>166.51170076288332</v>
          </cell>
          <cell r="V60">
            <v>166.11207268105238</v>
          </cell>
          <cell r="W60">
            <v>165.7134037066179</v>
          </cell>
          <cell r="X60">
            <v>165.31569153772202</v>
          </cell>
          <cell r="Y60">
            <v>164.91893387803151</v>
          </cell>
          <cell r="Z60">
            <v>164.52312843672422</v>
          </cell>
          <cell r="AA60">
            <v>164.12827292847609</v>
          </cell>
          <cell r="AB60">
            <v>163.73436507344778</v>
          </cell>
          <cell r="AC60">
            <v>163.3414025972715</v>
          </cell>
          <cell r="AD60">
            <v>162.94938323103807</v>
          </cell>
          <cell r="AE60">
            <v>162.55830471128357</v>
          </cell>
        </row>
        <row r="61">
          <cell r="G61" t="str">
            <v>RegionHospitalStock 2016</v>
          </cell>
          <cell r="H61" t="str">
            <v>Com</v>
          </cell>
          <cell r="I61" t="str">
            <v>Hospital</v>
          </cell>
          <cell r="J61" t="str">
            <v>Stock 2016</v>
          </cell>
          <cell r="K61" t="str">
            <v>Millions SqFt</v>
          </cell>
          <cell r="L61">
            <v>105.02947953487826</v>
          </cell>
          <cell r="M61">
            <v>104.80891762785501</v>
          </cell>
          <cell r="N61">
            <v>104.58881890083651</v>
          </cell>
          <cell r="O61">
            <v>104.36918238114475</v>
          </cell>
          <cell r="P61">
            <v>104.15000709814436</v>
          </cell>
          <cell r="Q61">
            <v>103.93129208323826</v>
          </cell>
          <cell r="R61">
            <v>103.71303636986346</v>
          </cell>
          <cell r="S61">
            <v>103.49523899348674</v>
          </cell>
          <cell r="T61">
            <v>103.27789899160042</v>
          </cell>
          <cell r="U61">
            <v>103.06101540371807</v>
          </cell>
          <cell r="V61">
            <v>102.84458727137024</v>
          </cell>
          <cell r="W61">
            <v>102.62861363810038</v>
          </cell>
          <cell r="X61">
            <v>102.41309354946036</v>
          </cell>
          <cell r="Y61">
            <v>102.19802605300649</v>
          </cell>
          <cell r="Z61">
            <v>101.98341019829519</v>
          </cell>
          <cell r="AA61">
            <v>101.76924503687877</v>
          </cell>
          <cell r="AB61">
            <v>101.55552962230132</v>
          </cell>
          <cell r="AC61">
            <v>101.3422630100945</v>
          </cell>
          <cell r="AD61">
            <v>101.1294442577733</v>
          </cell>
          <cell r="AE61">
            <v>100.91707242483197</v>
          </cell>
        </row>
        <row r="62">
          <cell r="G62" t="str">
            <v>RegionResidential CareStock 2016</v>
          </cell>
          <cell r="H62" t="str">
            <v>Com</v>
          </cell>
          <cell r="I62" t="str">
            <v>Residential Care</v>
          </cell>
          <cell r="J62" t="str">
            <v>Stock 2016</v>
          </cell>
          <cell r="K62" t="str">
            <v>Millions SqFt</v>
          </cell>
          <cell r="L62">
            <v>128.74820917277606</v>
          </cell>
          <cell r="M62">
            <v>128.43921347076139</v>
          </cell>
          <cell r="N62">
            <v>128.1309593584316</v>
          </cell>
          <cell r="O62">
            <v>127.82344505597135</v>
          </cell>
          <cell r="P62">
            <v>127.51666878783702</v>
          </cell>
          <cell r="Q62">
            <v>127.21062878274621</v>
          </cell>
          <cell r="R62">
            <v>126.90532327366765</v>
          </cell>
          <cell r="S62">
            <v>126.60075049781085</v>
          </cell>
          <cell r="T62">
            <v>126.29690869661611</v>
          </cell>
          <cell r="U62">
            <v>125.99379611574425</v>
          </cell>
          <cell r="V62">
            <v>125.69141100506647</v>
          </cell>
          <cell r="W62">
            <v>125.3897516186543</v>
          </cell>
          <cell r="X62">
            <v>125.08881621476955</v>
          </cell>
          <cell r="Y62">
            <v>124.78860305585408</v>
          </cell>
          <cell r="Z62">
            <v>124.48911040852005</v>
          </cell>
          <cell r="AA62">
            <v>124.1903365435396</v>
          </cell>
          <cell r="AB62">
            <v>123.8922797358351</v>
          </cell>
          <cell r="AC62">
            <v>123.59493826446912</v>
          </cell>
          <cell r="AD62">
            <v>123.29831041263438</v>
          </cell>
          <cell r="AE62">
            <v>123.00239446764408</v>
          </cell>
        </row>
        <row r="63">
          <cell r="G63" t="str">
            <v>RegionAssemblyStock 2016</v>
          </cell>
          <cell r="H63" t="str">
            <v>Com</v>
          </cell>
          <cell r="I63" t="str">
            <v>Assembly</v>
          </cell>
          <cell r="J63" t="str">
            <v>Stock 2016</v>
          </cell>
          <cell r="K63" t="str">
            <v>Millions SqFt</v>
          </cell>
          <cell r="L63">
            <v>375.90224900649127</v>
          </cell>
          <cell r="M63">
            <v>374.21570091594884</v>
          </cell>
          <cell r="N63">
            <v>372.53671980450594</v>
          </cell>
          <cell r="O63">
            <v>370.86527172164978</v>
          </cell>
          <cell r="P63">
            <v>369.20132286919198</v>
          </cell>
          <cell r="Q63">
            <v>367.54483960058553</v>
          </cell>
          <cell r="R63">
            <v>365.89578842024423</v>
          </cell>
          <cell r="S63">
            <v>364.25413598286536</v>
          </cell>
          <cell r="T63">
            <v>362.6198490927556</v>
          </cell>
          <cell r="U63">
            <v>360.99289470315949</v>
          </cell>
          <cell r="V63">
            <v>359.37323991559134</v>
          </cell>
          <cell r="W63">
            <v>357.76085197917007</v>
          </cell>
          <cell r="X63">
            <v>356.15569828995689</v>
          </cell>
          <cell r="Y63">
            <v>354.55774639029596</v>
          </cell>
          <cell r="Z63">
            <v>352.96696396815821</v>
          </cell>
          <cell r="AA63">
            <v>351.38331885648773</v>
          </cell>
          <cell r="AB63">
            <v>349.80677903255156</v>
          </cell>
          <cell r="AC63">
            <v>348.23731261729228</v>
          </cell>
          <cell r="AD63">
            <v>346.67488787468267</v>
          </cell>
          <cell r="AE63">
            <v>345.11947321108494</v>
          </cell>
        </row>
        <row r="64">
          <cell r="G64" t="str">
            <v>RegionOtherStock 2016</v>
          </cell>
          <cell r="H64" t="str">
            <v>Com</v>
          </cell>
          <cell r="I64" t="str">
            <v>Other</v>
          </cell>
          <cell r="J64" t="str">
            <v>Stock 2016</v>
          </cell>
          <cell r="K64" t="str">
            <v>Millions SqFt</v>
          </cell>
          <cell r="L64">
            <v>342.64988330108076</v>
          </cell>
          <cell r="M64">
            <v>339.56603435137106</v>
          </cell>
          <cell r="N64">
            <v>336.50994004220871</v>
          </cell>
          <cell r="O64">
            <v>333.48135058182885</v>
          </cell>
          <cell r="P64">
            <v>330.48001842659238</v>
          </cell>
          <cell r="Q64">
            <v>327.50569826075304</v>
          </cell>
          <cell r="R64">
            <v>324.55814697640625</v>
          </cell>
          <cell r="S64">
            <v>321.63712365361863</v>
          </cell>
          <cell r="T64">
            <v>318.7423895407361</v>
          </cell>
          <cell r="U64">
            <v>315.87370803486942</v>
          </cell>
          <cell r="V64">
            <v>313.03084466255564</v>
          </cell>
          <cell r="W64">
            <v>310.21356706059254</v>
          </cell>
          <cell r="X64">
            <v>307.42164495704725</v>
          </cell>
          <cell r="Y64">
            <v>304.65485015243382</v>
          </cell>
          <cell r="Z64">
            <v>301.9129565010619</v>
          </cell>
          <cell r="AA64">
            <v>299.19573989255235</v>
          </cell>
          <cell r="AB64">
            <v>296.50297823351934</v>
          </cell>
          <cell r="AC64">
            <v>293.83445142941764</v>
          </cell>
          <cell r="AD64">
            <v>291.18994136655289</v>
          </cell>
          <cell r="AE64">
            <v>288.5692318942539</v>
          </cell>
        </row>
        <row r="65">
          <cell r="G65" t="str">
            <v>RegionIdahoStock</v>
          </cell>
          <cell r="H65" t="str">
            <v>Ag</v>
          </cell>
          <cell r="I65" t="str">
            <v>Idaho</v>
          </cell>
          <cell r="J65" t="str">
            <v>Stock</v>
          </cell>
          <cell r="K65" t="str">
            <v>% Growth</v>
          </cell>
          <cell r="L65">
            <v>0</v>
          </cell>
          <cell r="M65">
            <v>1.2504100211369894E-4</v>
          </cell>
          <cell r="N65">
            <v>1.7375879514796466E-4</v>
          </cell>
          <cell r="O65">
            <v>6.1210927779177624E-4</v>
          </cell>
          <cell r="P65">
            <v>8.8127487458086599E-4</v>
          </cell>
          <cell r="Q65">
            <v>1.1201972174019578E-3</v>
          </cell>
          <cell r="R65">
            <v>1.2717867360821197E-3</v>
          </cell>
          <cell r="S65">
            <v>1.4404642508513471E-3</v>
          </cell>
          <cell r="T65">
            <v>1.5874396385228723E-3</v>
          </cell>
          <cell r="U65">
            <v>1.7204636459112381E-3</v>
          </cell>
          <cell r="V65">
            <v>1.8289050040785739E-3</v>
          </cell>
          <cell r="W65">
            <v>1.9377539743383628E-3</v>
          </cell>
          <cell r="X65">
            <v>2.0316119038316116E-3</v>
          </cell>
          <cell r="Y65">
            <v>2.128079506222659E-3</v>
          </cell>
          <cell r="Z65">
            <v>2.2126572758413075E-3</v>
          </cell>
          <cell r="AA65">
            <v>2.2578225416429688E-3</v>
          </cell>
          <cell r="AB65">
            <v>2.3464540176612314E-3</v>
          </cell>
          <cell r="AC65">
            <v>2.414467009038601E-3</v>
          </cell>
          <cell r="AD65">
            <v>2.4848313911262653E-3</v>
          </cell>
          <cell r="AE65">
            <v>2.5344116000376449E-3</v>
          </cell>
        </row>
        <row r="66">
          <cell r="G66" t="str">
            <v>RegionMontanaStock</v>
          </cell>
          <cell r="H66" t="str">
            <v>Ag</v>
          </cell>
          <cell r="I66" t="str">
            <v>Montana</v>
          </cell>
          <cell r="J66" t="str">
            <v>Stock</v>
          </cell>
          <cell r="K66" t="str">
            <v>% Growth</v>
          </cell>
          <cell r="L66">
            <v>0</v>
          </cell>
          <cell r="M66">
            <v>1.0848242299839954E-2</v>
          </cell>
          <cell r="N66">
            <v>1.059267655252486E-2</v>
          </cell>
          <cell r="O66">
            <v>1.0752312089181865E-2</v>
          </cell>
          <cell r="P66">
            <v>1.075849831916186E-2</v>
          </cell>
          <cell r="Q66">
            <v>7.6567396067742733E-3</v>
          </cell>
          <cell r="R66">
            <v>7.6532068711881581E-3</v>
          </cell>
          <cell r="S66">
            <v>7.9235679867256659E-3</v>
          </cell>
          <cell r="T66">
            <v>8.1459053842477987E-3</v>
          </cell>
          <cell r="U66">
            <v>8.331284422267278E-3</v>
          </cell>
          <cell r="V66">
            <v>8.47135846405455E-3</v>
          </cell>
          <cell r="W66">
            <v>8.5938864965773454E-3</v>
          </cell>
          <cell r="X66">
            <v>8.6866032784890905E-3</v>
          </cell>
          <cell r="Y66">
            <v>8.7680800681235963E-3</v>
          </cell>
          <cell r="Z66">
            <v>8.8271867856936984E-3</v>
          </cell>
          <cell r="AA66">
            <v>8.8355566433926322E-3</v>
          </cell>
          <cell r="AB66">
            <v>8.8812025924713319E-3</v>
          </cell>
          <cell r="AC66">
            <v>8.8979055290069331E-3</v>
          </cell>
          <cell r="AD66">
            <v>8.9118787925779024E-3</v>
          </cell>
          <cell r="AE66">
            <v>8.9015256915168112E-3</v>
          </cell>
        </row>
        <row r="67">
          <cell r="G67" t="str">
            <v>RegionOregonStock</v>
          </cell>
          <cell r="H67" t="str">
            <v>Ag</v>
          </cell>
          <cell r="I67" t="str">
            <v>Oregon</v>
          </cell>
          <cell r="J67" t="str">
            <v>Stock</v>
          </cell>
          <cell r="K67" t="str">
            <v>% Growth</v>
          </cell>
          <cell r="L67">
            <v>0</v>
          </cell>
          <cell r="M67">
            <v>1.0110842680911804E-2</v>
          </cell>
          <cell r="N67">
            <v>1.0059217505089263E-2</v>
          </cell>
          <cell r="O67">
            <v>1.1176866051223918E-2</v>
          </cell>
          <cell r="P67">
            <v>1.9803102619340613E-2</v>
          </cell>
          <cell r="Q67">
            <v>1.2078828157499845E-2</v>
          </cell>
          <cell r="R67">
            <v>1.2074917420983849E-2</v>
          </cell>
          <cell r="S67">
            <v>1.2823009061012478E-2</v>
          </cell>
          <cell r="T67">
            <v>1.2064646132519813E-2</v>
          </cell>
          <cell r="U67">
            <v>2.1359830411811859E-2</v>
          </cell>
          <cell r="V67">
            <v>1.1864279678250279E-2</v>
          </cell>
          <cell r="W67">
            <v>1.1811806122028052E-2</v>
          </cell>
          <cell r="X67">
            <v>1.1060463245174785E-2</v>
          </cell>
          <cell r="Y67">
            <v>1.1689201211084101E-2</v>
          </cell>
          <cell r="Z67">
            <v>1.9623204602959039E-2</v>
          </cell>
          <cell r="AA67">
            <v>1.2054155221857031E-2</v>
          </cell>
          <cell r="AB67">
            <v>1.2615728823653952E-2</v>
          </cell>
          <cell r="AC67">
            <v>1.2496481187089379E-2</v>
          </cell>
          <cell r="AD67">
            <v>1.1753415892541448E-2</v>
          </cell>
          <cell r="AE67">
            <v>2.0946064887122692E-2</v>
          </cell>
        </row>
        <row r="68">
          <cell r="G68" t="str">
            <v>RegionWashingtonStock</v>
          </cell>
          <cell r="H68" t="str">
            <v>Ag</v>
          </cell>
          <cell r="I68" t="str">
            <v>Washington</v>
          </cell>
          <cell r="J68" t="str">
            <v>Stock</v>
          </cell>
          <cell r="K68" t="str">
            <v>% Growth</v>
          </cell>
          <cell r="L68">
            <v>0</v>
          </cell>
          <cell r="M68">
            <v>1.0662122206220235E-2</v>
          </cell>
          <cell r="N68">
            <v>1.0931258902780325E-2</v>
          </cell>
          <cell r="O68">
            <v>1.1173761515183053E-2</v>
          </cell>
          <cell r="P68">
            <v>1.811439906784525E-2</v>
          </cell>
          <cell r="Q68">
            <v>1.2399989211989764E-2</v>
          </cell>
          <cell r="R68">
            <v>1.1939862954954953E-2</v>
          </cell>
          <cell r="S68">
            <v>1.2288284859874222E-2</v>
          </cell>
          <cell r="T68">
            <v>1.1842226253476947E-2</v>
          </cell>
          <cell r="U68">
            <v>1.9682157833762929E-2</v>
          </cell>
          <cell r="V68">
            <v>1.1592234987503456E-2</v>
          </cell>
          <cell r="W68">
            <v>1.1147844023716795E-2</v>
          </cell>
          <cell r="X68">
            <v>1.1425985017752077E-2</v>
          </cell>
          <cell r="Y68">
            <v>1.0985810035676221E-2</v>
          </cell>
          <cell r="Z68">
            <v>1.7930228386922677E-2</v>
          </cell>
          <cell r="AA68">
            <v>1.1736355426763144E-2</v>
          </cell>
          <cell r="AB68">
            <v>1.1982095590114178E-2</v>
          </cell>
          <cell r="AC68">
            <v>1.1862624139313738E-2</v>
          </cell>
          <cell r="AD68">
            <v>1.1418033334772959E-2</v>
          </cell>
          <cell r="AE68">
            <v>1.8838157687553127E-2</v>
          </cell>
        </row>
        <row r="69">
          <cell r="G69" t="str">
            <v>RegionIdahoDairyStock</v>
          </cell>
          <cell r="H69" t="str">
            <v>Dairy</v>
          </cell>
          <cell r="I69" t="str">
            <v>IdahoDairy</v>
          </cell>
          <cell r="J69" t="str">
            <v>Stock</v>
          </cell>
          <cell r="K69" t="str">
            <v>1000lbs</v>
          </cell>
          <cell r="L69">
            <v>13629.012110609969</v>
          </cell>
          <cell r="M69">
            <v>13842.907114251881</v>
          </cell>
          <cell r="N69">
            <v>14023.216425344392</v>
          </cell>
          <cell r="O69">
            <v>14266.319353967396</v>
          </cell>
          <cell r="P69">
            <v>14513.683501515552</v>
          </cell>
          <cell r="Q69">
            <v>14784.738793280194</v>
          </cell>
          <cell r="R69">
            <v>15048.82150982591</v>
          </cell>
          <cell r="S69">
            <v>15351.081667959821</v>
          </cell>
          <cell r="T69">
            <v>15676.70161423125</v>
          </cell>
          <cell r="U69">
            <v>16022.910400199034</v>
          </cell>
          <cell r="V69">
            <v>16435.334001552066</v>
          </cell>
          <cell r="W69">
            <v>16796.9270935268</v>
          </cell>
          <cell r="X69">
            <v>17186.008838626629</v>
          </cell>
          <cell r="Y69">
            <v>17509.663776252026</v>
          </cell>
          <cell r="Z69">
            <v>17849.045518001847</v>
          </cell>
          <cell r="AA69">
            <v>18205.116228437721</v>
          </cell>
          <cell r="AB69">
            <v>18533.843580326749</v>
          </cell>
          <cell r="AC69">
            <v>18839.457555909743</v>
          </cell>
          <cell r="AD69">
            <v>19186.22471079613</v>
          </cell>
          <cell r="AE69">
            <v>19422.392838095242</v>
          </cell>
        </row>
        <row r="70">
          <cell r="G70" t="str">
            <v>RegionMontanaDairyStock</v>
          </cell>
          <cell r="H70" t="str">
            <v>Dairy</v>
          </cell>
          <cell r="I70" t="str">
            <v>MontanaDairy</v>
          </cell>
          <cell r="J70" t="str">
            <v>Stock</v>
          </cell>
          <cell r="K70" t="str">
            <v>1000lbs</v>
          </cell>
          <cell r="L70">
            <v>302.4843194019968</v>
          </cell>
          <cell r="M70">
            <v>302.9944263448574</v>
          </cell>
          <cell r="N70">
            <v>302.99854171936556</v>
          </cell>
          <cell r="O70">
            <v>303.37745755767685</v>
          </cell>
          <cell r="P70">
            <v>303.22585086442132</v>
          </cell>
          <cell r="Q70">
            <v>303.08168683583153</v>
          </cell>
          <cell r="R70">
            <v>303.41916012380017</v>
          </cell>
          <cell r="S70">
            <v>303.66433680226078</v>
          </cell>
          <cell r="T70">
            <v>303.05007715937325</v>
          </cell>
          <cell r="U70">
            <v>303.01007717776395</v>
          </cell>
          <cell r="V70">
            <v>303.01283415030065</v>
          </cell>
          <cell r="W70">
            <v>301.41907423058802</v>
          </cell>
          <cell r="X70">
            <v>301.23823851251768</v>
          </cell>
          <cell r="Y70">
            <v>300.88004828067164</v>
          </cell>
          <cell r="Z70">
            <v>300.32350497753021</v>
          </cell>
          <cell r="AA70">
            <v>299.65600067965477</v>
          </cell>
          <cell r="AB70">
            <v>299.65485493072765</v>
          </cell>
          <cell r="AC70">
            <v>298.68839934499135</v>
          </cell>
          <cell r="AD70">
            <v>297.75098083368539</v>
          </cell>
          <cell r="AE70">
            <v>297.76126931363558</v>
          </cell>
        </row>
        <row r="71">
          <cell r="G71" t="str">
            <v>RegionOregonDairyStock</v>
          </cell>
          <cell r="H71" t="str">
            <v>Dairy</v>
          </cell>
          <cell r="I71" t="str">
            <v>OregonDairy</v>
          </cell>
          <cell r="J71" t="str">
            <v>Stock</v>
          </cell>
          <cell r="K71" t="str">
            <v>1000lbs</v>
          </cell>
          <cell r="L71">
            <v>2744.180551622544</v>
          </cell>
          <cell r="M71">
            <v>2781.3253166710429</v>
          </cell>
          <cell r="N71">
            <v>2817.8028576592669</v>
          </cell>
          <cell r="O71">
            <v>2852.4466796581391</v>
          </cell>
          <cell r="P71">
            <v>2887.2703785501863</v>
          </cell>
          <cell r="Q71">
            <v>2923.2055190854799</v>
          </cell>
          <cell r="R71">
            <v>2963.8717110873577</v>
          </cell>
          <cell r="S71">
            <v>3007.9285968792492</v>
          </cell>
          <cell r="T71">
            <v>3054.4586648127197</v>
          </cell>
          <cell r="U71">
            <v>3103.2723514737127</v>
          </cell>
          <cell r="V71">
            <v>3155.2926430989965</v>
          </cell>
          <cell r="W71">
            <v>3205.2179835947745</v>
          </cell>
          <cell r="X71">
            <v>3255.0785902298294</v>
          </cell>
          <cell r="Y71">
            <v>3304.2085620815005</v>
          </cell>
          <cell r="Z71">
            <v>3359.7128554945239</v>
          </cell>
          <cell r="AA71">
            <v>3405.0605171911329</v>
          </cell>
          <cell r="AB71">
            <v>3454.1652559274162</v>
          </cell>
          <cell r="AC71">
            <v>3509.2005551615157</v>
          </cell>
          <cell r="AD71">
            <v>3557.2266817524842</v>
          </cell>
          <cell r="AE71">
            <v>3610.3576666465606</v>
          </cell>
        </row>
        <row r="72">
          <cell r="G72" t="str">
            <v>RegionWashingtonDairyStock</v>
          </cell>
          <cell r="H72" t="str">
            <v>Dairy</v>
          </cell>
          <cell r="I72" t="str">
            <v>WashingtonDairy</v>
          </cell>
          <cell r="J72" t="str">
            <v>Stock</v>
          </cell>
          <cell r="K72" t="str">
            <v>1000lbs</v>
          </cell>
          <cell r="L72">
            <v>6417.4166624736044</v>
          </cell>
          <cell r="M72">
            <v>6527.6845985495966</v>
          </cell>
          <cell r="N72">
            <v>6648.0748527559354</v>
          </cell>
          <cell r="O72">
            <v>6750.5768396680051</v>
          </cell>
          <cell r="P72">
            <v>6858.9947023924851</v>
          </cell>
          <cell r="Q72">
            <v>6950.9448303929594</v>
          </cell>
          <cell r="R72">
            <v>7066.5055116132971</v>
          </cell>
          <cell r="S72">
            <v>7154.1963866384513</v>
          </cell>
          <cell r="T72">
            <v>7260.5595150379595</v>
          </cell>
          <cell r="U72">
            <v>7382.1828771063319</v>
          </cell>
          <cell r="V72">
            <v>7515.612457778011</v>
          </cell>
          <cell r="W72">
            <v>7658.3815592644387</v>
          </cell>
          <cell r="X72">
            <v>7790.6041619373518</v>
          </cell>
          <cell r="Y72">
            <v>7925.9535611829233</v>
          </cell>
          <cell r="Z72">
            <v>8056.1594585167277</v>
          </cell>
          <cell r="AA72">
            <v>8212.3413257643278</v>
          </cell>
          <cell r="AB72">
            <v>8359.6360208598271</v>
          </cell>
          <cell r="AC72">
            <v>8487.3604780857568</v>
          </cell>
          <cell r="AD72">
            <v>8647.4216609802097</v>
          </cell>
          <cell r="AE72">
            <v>8766.8632794861296</v>
          </cell>
        </row>
        <row r="73">
          <cell r="G73" t="str">
            <v>RegionMechanical PulpStock</v>
          </cell>
          <cell r="H73" t="str">
            <v>Ind</v>
          </cell>
          <cell r="I73" t="str">
            <v>Mechanical Pulp</v>
          </cell>
          <cell r="J73" t="str">
            <v>Stock</v>
          </cell>
          <cell r="K73" t="str">
            <v>Consumption (MWh)</v>
          </cell>
          <cell r="L73">
            <v>3758422.9515033378</v>
          </cell>
          <cell r="M73">
            <v>3846371.717457301</v>
          </cell>
          <cell r="N73">
            <v>3968374.1915052147</v>
          </cell>
          <cell r="O73">
            <v>4090510.3824295267</v>
          </cell>
          <cell r="P73">
            <v>4250302.9154343279</v>
          </cell>
          <cell r="Q73">
            <v>4334033.2977658212</v>
          </cell>
          <cell r="R73">
            <v>4456327.439187984</v>
          </cell>
          <cell r="S73">
            <v>4578789.2711511394</v>
          </cell>
          <cell r="T73">
            <v>4701360.1942719091</v>
          </cell>
          <cell r="U73">
            <v>4824313.8733196864</v>
          </cell>
          <cell r="V73">
            <v>4947352.2681518989</v>
          </cell>
          <cell r="W73">
            <v>5070668.4941239785</v>
          </cell>
          <cell r="X73">
            <v>5241393.4127492504</v>
          </cell>
          <cell r="Y73">
            <v>5317320.3001071345</v>
          </cell>
          <cell r="Z73">
            <v>5440661.5619043242</v>
          </cell>
          <cell r="AA73">
            <v>5564018.2642552005</v>
          </cell>
          <cell r="AB73">
            <v>5739586.1964683067</v>
          </cell>
          <cell r="AC73">
            <v>5811280.9684790904</v>
          </cell>
          <cell r="AD73">
            <v>5935246.9976805374</v>
          </cell>
          <cell r="AE73">
            <v>6059032.0232603503</v>
          </cell>
        </row>
        <row r="74">
          <cell r="G74" t="str">
            <v>RegionKraft PulpStock</v>
          </cell>
          <cell r="H74" t="str">
            <v>Ind</v>
          </cell>
          <cell r="I74" t="str">
            <v>Kraft Pulp</v>
          </cell>
          <cell r="J74" t="str">
            <v>Stock</v>
          </cell>
          <cell r="K74" t="str">
            <v>Consumption (MWh)</v>
          </cell>
          <cell r="L74">
            <v>2773481.4382196674</v>
          </cell>
          <cell r="M74">
            <v>2819427.5750914654</v>
          </cell>
          <cell r="N74">
            <v>2890507.7097985409</v>
          </cell>
          <cell r="O74">
            <v>2962071.1114584161</v>
          </cell>
          <cell r="P74">
            <v>3059997.7868964532</v>
          </cell>
          <cell r="Q74">
            <v>3103655.7832492976</v>
          </cell>
          <cell r="R74">
            <v>3174966.0896720556</v>
          </cell>
          <cell r="S74">
            <v>3246510.2403896889</v>
          </cell>
          <cell r="T74">
            <v>3318080.388651574</v>
          </cell>
          <cell r="U74">
            <v>3389982.4618547466</v>
          </cell>
          <cell r="V74">
            <v>3462131.4738810235</v>
          </cell>
          <cell r="W74">
            <v>3534707.6510694856</v>
          </cell>
          <cell r="X74">
            <v>3640109.6347631621</v>
          </cell>
          <cell r="Y74">
            <v>3679903.4172538687</v>
          </cell>
          <cell r="Z74">
            <v>3752596.4740436999</v>
          </cell>
          <cell r="AA74">
            <v>3825294.7476344355</v>
          </cell>
          <cell r="AB74">
            <v>3934104.1351328893</v>
          </cell>
          <cell r="AC74">
            <v>3971456.2759534372</v>
          </cell>
          <cell r="AD74">
            <v>4044721.9040998006</v>
          </cell>
          <cell r="AE74">
            <v>4117951.8072271077</v>
          </cell>
        </row>
        <row r="75">
          <cell r="G75" t="str">
            <v>RegionPaperStock</v>
          </cell>
          <cell r="H75" t="str">
            <v>Ind</v>
          </cell>
          <cell r="I75" t="str">
            <v>Paper</v>
          </cell>
          <cell r="J75" t="str">
            <v>Stock</v>
          </cell>
          <cell r="K75" t="str">
            <v>Consumption (MWh)</v>
          </cell>
          <cell r="L75">
            <v>909695.70566164097</v>
          </cell>
          <cell r="M75">
            <v>929841.98736761883</v>
          </cell>
          <cell r="N75">
            <v>958296.9900283548</v>
          </cell>
          <cell r="O75">
            <v>986772.46541472664</v>
          </cell>
          <cell r="P75">
            <v>1024503.2482359634</v>
          </cell>
          <cell r="Q75">
            <v>1043814.269249864</v>
          </cell>
          <cell r="R75">
            <v>1072416.0473229263</v>
          </cell>
          <cell r="S75">
            <v>1101138.6289797227</v>
          </cell>
          <cell r="T75">
            <v>1129827.4252453854</v>
          </cell>
          <cell r="U75">
            <v>1158615.4096222189</v>
          </cell>
          <cell r="V75">
            <v>1187381.7412163604</v>
          </cell>
          <cell r="W75">
            <v>1216221.7351596826</v>
          </cell>
          <cell r="X75">
            <v>1256359.4314945252</v>
          </cell>
          <cell r="Y75">
            <v>1273754.7023949234</v>
          </cell>
          <cell r="Z75">
            <v>1302557.2241510332</v>
          </cell>
          <cell r="AA75">
            <v>1331330.2770174742</v>
          </cell>
          <cell r="AB75">
            <v>1372605.4069409962</v>
          </cell>
          <cell r="AC75">
            <v>1388979.5459728481</v>
          </cell>
          <cell r="AD75">
            <v>1417876.2653212347</v>
          </cell>
          <cell r="AE75">
            <v>1446660.9687985121</v>
          </cell>
        </row>
        <row r="76">
          <cell r="G76" t="str">
            <v>RegionFoundriesStock</v>
          </cell>
          <cell r="H76" t="str">
            <v>Ind</v>
          </cell>
          <cell r="I76" t="str">
            <v>Foundries</v>
          </cell>
          <cell r="J76" t="str">
            <v>Stock</v>
          </cell>
          <cell r="K76" t="str">
            <v>Consumption (MWh)</v>
          </cell>
          <cell r="L76">
            <v>2911780.7125423807</v>
          </cell>
          <cell r="M76">
            <v>2836711.9420544878</v>
          </cell>
          <cell r="N76">
            <v>2789583.7208478679</v>
          </cell>
          <cell r="O76">
            <v>2744161.1652043322</v>
          </cell>
          <cell r="P76">
            <v>2724138.9595719618</v>
          </cell>
          <cell r="Q76">
            <v>2657920.4757749322</v>
          </cell>
          <cell r="R76">
            <v>2617304.9227809869</v>
          </cell>
          <cell r="S76">
            <v>2577672.8738681655</v>
          </cell>
          <cell r="T76">
            <v>2539470.2769998731</v>
          </cell>
          <cell r="U76">
            <v>2502370.6800410077</v>
          </cell>
          <cell r="V76">
            <v>2466328.7382904179</v>
          </cell>
          <cell r="W76">
            <v>2431145.5854122876</v>
          </cell>
          <cell r="X76">
            <v>2419072.5388772879</v>
          </cell>
          <cell r="Y76">
            <v>2363410.6682392037</v>
          </cell>
          <cell r="Z76">
            <v>2330315.4302864787</v>
          </cell>
          <cell r="AA76">
            <v>2297818.1106687617</v>
          </cell>
          <cell r="AB76">
            <v>2286770.7986101452</v>
          </cell>
          <cell r="AC76">
            <v>2234701.6262630955</v>
          </cell>
          <cell r="AD76">
            <v>2204017.8086585626</v>
          </cell>
          <cell r="AE76">
            <v>2173546.4494459317</v>
          </cell>
        </row>
        <row r="77">
          <cell r="G77" t="str">
            <v>RegionFrozen FoodStock</v>
          </cell>
          <cell r="H77" t="str">
            <v>Ind</v>
          </cell>
          <cell r="I77" t="str">
            <v>Frozen Food</v>
          </cell>
          <cell r="J77" t="str">
            <v>Stock</v>
          </cell>
          <cell r="K77" t="str">
            <v>Consumption (MWh)</v>
          </cell>
          <cell r="L77">
            <v>1237117.9151862806</v>
          </cell>
          <cell r="M77">
            <v>1256265.8697824469</v>
          </cell>
          <cell r="N77">
            <v>1286638.141562406</v>
          </cell>
          <cell r="O77">
            <v>1317026.0249685342</v>
          </cell>
          <cell r="P77">
            <v>1359372.6119707115</v>
          </cell>
          <cell r="Q77">
            <v>1377450.5956346455</v>
          </cell>
          <cell r="R77">
            <v>1407752.7747509496</v>
          </cell>
          <cell r="S77">
            <v>1438031.0417962291</v>
          </cell>
          <cell r="T77">
            <v>1468359.9477337729</v>
          </cell>
          <cell r="U77">
            <v>1498806.1175902041</v>
          </cell>
          <cell r="V77">
            <v>1529247.5005361729</v>
          </cell>
          <cell r="W77">
            <v>1559755.0254088808</v>
          </cell>
          <cell r="X77">
            <v>1604695.7181381483</v>
          </cell>
          <cell r="Y77">
            <v>1620685.0488578391</v>
          </cell>
          <cell r="Z77">
            <v>1651120.4927678995</v>
          </cell>
          <cell r="AA77">
            <v>1681526.4060613776</v>
          </cell>
          <cell r="AB77">
            <v>1727706.9650814079</v>
          </cell>
          <cell r="AC77">
            <v>1742468.2976748645</v>
          </cell>
          <cell r="AD77">
            <v>1772999.536528415</v>
          </cell>
          <cell r="AE77">
            <v>1803423.3883706611</v>
          </cell>
        </row>
        <row r="78">
          <cell r="G78" t="str">
            <v>RegionOther FoodStock</v>
          </cell>
          <cell r="H78" t="str">
            <v>Ind</v>
          </cell>
          <cell r="I78" t="str">
            <v>Other Food</v>
          </cell>
          <cell r="J78" t="str">
            <v>Stock</v>
          </cell>
          <cell r="K78" t="str">
            <v>Consumption (MWh)</v>
          </cell>
          <cell r="L78">
            <v>2189215.7914933185</v>
          </cell>
          <cell r="M78">
            <v>2225714.4170001475</v>
          </cell>
          <cell r="N78">
            <v>2281801.3842795906</v>
          </cell>
          <cell r="O78">
            <v>2337878.4662610777</v>
          </cell>
          <cell r="P78">
            <v>2414859.5617400161</v>
          </cell>
          <cell r="Q78">
            <v>2449639.2617126312</v>
          </cell>
          <cell r="R78">
            <v>2505916.452109566</v>
          </cell>
          <cell r="S78">
            <v>2561919.8701418121</v>
          </cell>
          <cell r="T78">
            <v>2618248.9470964097</v>
          </cell>
          <cell r="U78">
            <v>2674706.0878431001</v>
          </cell>
          <cell r="V78">
            <v>2731406.8457201738</v>
          </cell>
          <cell r="W78">
            <v>2788145.294466868</v>
          </cell>
          <cell r="X78">
            <v>2870921.2322274465</v>
          </cell>
          <cell r="Y78">
            <v>2901825.3565548556</v>
          </cell>
          <cell r="Z78">
            <v>2958750.6188529818</v>
          </cell>
          <cell r="AA78">
            <v>3015584.6219987967</v>
          </cell>
          <cell r="AB78">
            <v>3100853.4167639203</v>
          </cell>
          <cell r="AC78">
            <v>3129759.8328607553</v>
          </cell>
          <cell r="AD78">
            <v>3187110.5829028329</v>
          </cell>
          <cell r="AE78">
            <v>3244229.8759716363</v>
          </cell>
        </row>
        <row r="79">
          <cell r="G79" t="str">
            <v>RegionWood - LumberStock</v>
          </cell>
          <cell r="H79" t="str">
            <v>Ind</v>
          </cell>
          <cell r="I79" t="str">
            <v>Wood - Lumber</v>
          </cell>
          <cell r="J79" t="str">
            <v>Stock</v>
          </cell>
          <cell r="K79" t="str">
            <v>Consumption (MWh)</v>
          </cell>
          <cell r="L79">
            <v>1161963.8217505382</v>
          </cell>
          <cell r="M79">
            <v>1117769.5487595289</v>
          </cell>
          <cell r="N79">
            <v>1084874.9921310821</v>
          </cell>
          <cell r="O79">
            <v>1052791.9192047431</v>
          </cell>
          <cell r="P79">
            <v>1030397.4491679214</v>
          </cell>
          <cell r="Q79">
            <v>990879.29279742646</v>
          </cell>
          <cell r="R79">
            <v>961065.17490868072</v>
          </cell>
          <cell r="S79">
            <v>931730.64036078285</v>
          </cell>
          <cell r="T79">
            <v>903080.08419384609</v>
          </cell>
          <cell r="U79">
            <v>874945.75211344392</v>
          </cell>
          <cell r="V79">
            <v>847310.7915088681</v>
          </cell>
          <cell r="W79">
            <v>820119.00687699113</v>
          </cell>
          <cell r="X79">
            <v>800618.32318729174</v>
          </cell>
          <cell r="Y79">
            <v>766954.27095195896</v>
          </cell>
          <cell r="Z79">
            <v>740908.22274123156</v>
          </cell>
          <cell r="AA79">
            <v>715106.45172531332</v>
          </cell>
          <cell r="AB79">
            <v>696028.08762583928</v>
          </cell>
          <cell r="AC79">
            <v>664509.97671853204</v>
          </cell>
          <cell r="AD79">
            <v>639621.04956848687</v>
          </cell>
          <cell r="AE79">
            <v>614946.99745740264</v>
          </cell>
        </row>
        <row r="80">
          <cell r="G80" t="str">
            <v>RegionWood - PanelStock</v>
          </cell>
          <cell r="H80" t="str">
            <v>Ind</v>
          </cell>
          <cell r="I80" t="str">
            <v>Wood - Panel</v>
          </cell>
          <cell r="J80" t="str">
            <v>Stock</v>
          </cell>
          <cell r="K80" t="str">
            <v>Consumption (MWh)</v>
          </cell>
          <cell r="L80">
            <v>551950.18982134352</v>
          </cell>
          <cell r="M80">
            <v>528731.18450453493</v>
          </cell>
          <cell r="N80">
            <v>510838.63702842174</v>
          </cell>
          <cell r="O80">
            <v>493229.56048375246</v>
          </cell>
          <cell r="P80">
            <v>480200.65450609016</v>
          </cell>
          <cell r="Q80">
            <v>458869.67437759304</v>
          </cell>
          <cell r="R80">
            <v>442034.77624590963</v>
          </cell>
          <cell r="S80">
            <v>425381.84725157876</v>
          </cell>
          <cell r="T80">
            <v>408945.79607863171</v>
          </cell>
          <cell r="U80">
            <v>392669.02882158436</v>
          </cell>
          <cell r="V80">
            <v>376527.17230508296</v>
          </cell>
          <cell r="W80">
            <v>360540.83558473963</v>
          </cell>
          <cell r="X80">
            <v>347793.23494737077</v>
          </cell>
          <cell r="Y80">
            <v>328864.0423583783</v>
          </cell>
          <cell r="Z80">
            <v>313174.70380282239</v>
          </cell>
          <cell r="AA80">
            <v>297578.74522290094</v>
          </cell>
          <cell r="AB80">
            <v>284693.91308797692</v>
          </cell>
          <cell r="AC80">
            <v>266695.50893493497</v>
          </cell>
          <cell r="AD80">
            <v>251377.16659093063</v>
          </cell>
          <cell r="AE80">
            <v>236121.41095945257</v>
          </cell>
        </row>
        <row r="81">
          <cell r="G81" t="str">
            <v>RegionWood - OtherStock</v>
          </cell>
          <cell r="H81" t="str">
            <v>Ind</v>
          </cell>
          <cell r="I81" t="str">
            <v>Wood - Other</v>
          </cell>
          <cell r="J81" t="str">
            <v>Stock</v>
          </cell>
          <cell r="K81" t="str">
            <v>Consumption (MWh)</v>
          </cell>
          <cell r="L81">
            <v>870727.85506649863</v>
          </cell>
          <cell r="M81">
            <v>839735.03037413268</v>
          </cell>
          <cell r="N81">
            <v>817265.57122340729</v>
          </cell>
          <cell r="O81">
            <v>795421.70406258584</v>
          </cell>
          <cell r="P81">
            <v>780923.07506947254</v>
          </cell>
          <cell r="Q81">
            <v>753146.51005964773</v>
          </cell>
          <cell r="R81">
            <v>732820.97518292943</v>
          </cell>
          <cell r="S81">
            <v>712886.70561548509</v>
          </cell>
          <cell r="T81">
            <v>693400.22734523669</v>
          </cell>
          <cell r="U81">
            <v>674308.65124034672</v>
          </cell>
          <cell r="V81">
            <v>655534.95057322702</v>
          </cell>
          <cell r="W81">
            <v>637111.60144566628</v>
          </cell>
          <cell r="X81">
            <v>624630.92244216194</v>
          </cell>
          <cell r="Y81">
            <v>601103.42928001995</v>
          </cell>
          <cell r="Z81">
            <v>583449.38612394244</v>
          </cell>
          <cell r="AA81">
            <v>565997.72271073016</v>
          </cell>
          <cell r="AB81">
            <v>553823.1943250458</v>
          </cell>
          <cell r="AC81">
            <v>531773.35758124199</v>
          </cell>
          <cell r="AD81">
            <v>514944.55152005563</v>
          </cell>
          <cell r="AE81">
            <v>498286.13824063755</v>
          </cell>
        </row>
        <row r="82">
          <cell r="G82" t="str">
            <v>RegionSugarStock</v>
          </cell>
          <cell r="H82" t="str">
            <v>Ind</v>
          </cell>
          <cell r="I82" t="str">
            <v>Sugar</v>
          </cell>
          <cell r="J82" t="str">
            <v>Stock</v>
          </cell>
          <cell r="K82" t="str">
            <v>Consumption (MWh)</v>
          </cell>
          <cell r="L82">
            <v>475136.72478012781</v>
          </cell>
          <cell r="M82">
            <v>478944.05758966133</v>
          </cell>
          <cell r="N82">
            <v>486819.48116772674</v>
          </cell>
          <cell r="O82">
            <v>494591.38634116278</v>
          </cell>
          <cell r="P82">
            <v>506508.14130214165</v>
          </cell>
          <cell r="Q82">
            <v>510023.29432266601</v>
          </cell>
          <cell r="R82">
            <v>517787.90058012598</v>
          </cell>
          <cell r="S82">
            <v>525332.27094640187</v>
          </cell>
          <cell r="T82">
            <v>532962.59651115292</v>
          </cell>
          <cell r="U82">
            <v>540559.14188859914</v>
          </cell>
          <cell r="V82">
            <v>548264.64271890977</v>
          </cell>
          <cell r="W82">
            <v>555867.220442908</v>
          </cell>
          <cell r="X82">
            <v>568632.32789277437</v>
          </cell>
          <cell r="Y82">
            <v>571112.91942260799</v>
          </cell>
          <cell r="Z82">
            <v>578836.54771749349</v>
          </cell>
          <cell r="AA82">
            <v>586399.91803551139</v>
          </cell>
          <cell r="AB82">
            <v>599561.512214605</v>
          </cell>
          <cell r="AC82">
            <v>601661.01637638209</v>
          </cell>
          <cell r="AD82">
            <v>609371.99258243595</v>
          </cell>
          <cell r="AE82">
            <v>616906.35518594901</v>
          </cell>
        </row>
        <row r="83">
          <cell r="G83" t="str">
            <v>RegionHi Tech - Chip FabStock</v>
          </cell>
          <cell r="H83" t="str">
            <v>Ind</v>
          </cell>
          <cell r="I83" t="str">
            <v>Hi Tech - Chip Fab</v>
          </cell>
          <cell r="J83" t="str">
            <v>Stock</v>
          </cell>
          <cell r="K83" t="str">
            <v>Consumption (MWh)</v>
          </cell>
          <cell r="L83">
            <v>441794.88875823218</v>
          </cell>
          <cell r="M83">
            <v>432626.39847364998</v>
          </cell>
          <cell r="N83">
            <v>427242.98054352769</v>
          </cell>
          <cell r="O83">
            <v>422213.82213962206</v>
          </cell>
          <cell r="P83">
            <v>421920.64066734893</v>
          </cell>
          <cell r="Q83">
            <v>413709.06623231358</v>
          </cell>
          <cell r="R83">
            <v>410212.7518948018</v>
          </cell>
          <cell r="S83">
            <v>406355.09832970693</v>
          </cell>
          <cell r="T83">
            <v>403296.23418868397</v>
          </cell>
          <cell r="U83">
            <v>399924.4240136806</v>
          </cell>
          <cell r="V83">
            <v>397295.90252843429</v>
          </cell>
          <cell r="W83">
            <v>394316.89382121537</v>
          </cell>
          <cell r="X83">
            <v>395623.44895442144</v>
          </cell>
          <cell r="Y83">
            <v>389392.69605832879</v>
          </cell>
          <cell r="Z83">
            <v>386892.14662184619</v>
          </cell>
          <cell r="AA83">
            <v>385025.31464219192</v>
          </cell>
          <cell r="AB83">
            <v>386311.31539104413</v>
          </cell>
          <cell r="AC83">
            <v>381213.1101798673</v>
          </cell>
          <cell r="AD83">
            <v>379233.88825255015</v>
          </cell>
          <cell r="AE83">
            <v>377804.18623239076</v>
          </cell>
        </row>
        <row r="84">
          <cell r="G84" t="str">
            <v>RegionHi Tech - SiliconStock</v>
          </cell>
          <cell r="H84" t="str">
            <v>Ind</v>
          </cell>
          <cell r="I84" t="str">
            <v>Hi Tech - Silicon</v>
          </cell>
          <cell r="J84" t="str">
            <v>Stock</v>
          </cell>
          <cell r="K84" t="str">
            <v>Consumption (MWh)</v>
          </cell>
          <cell r="L84">
            <v>226900.615461001</v>
          </cell>
          <cell r="M84">
            <v>224036.45332402681</v>
          </cell>
          <cell r="N84">
            <v>223197.60670939417</v>
          </cell>
          <cell r="O84">
            <v>222435.67348639047</v>
          </cell>
          <cell r="P84">
            <v>223898.4301459378</v>
          </cell>
          <cell r="Q84">
            <v>221368.38696638378</v>
          </cell>
          <cell r="R84">
            <v>221129.95798393188</v>
          </cell>
          <cell r="S84">
            <v>220786.11584318019</v>
          </cell>
          <cell r="T84">
            <v>220661.22741685802</v>
          </cell>
          <cell r="U84">
            <v>220514.6104276102</v>
          </cell>
          <cell r="V84">
            <v>220566.57724116242</v>
          </cell>
          <cell r="W84">
            <v>220582.85570889112</v>
          </cell>
          <cell r="X84">
            <v>222786.93799954746</v>
          </cell>
          <cell r="Y84">
            <v>220925.37261965938</v>
          </cell>
          <cell r="Z84">
            <v>221135.24104542725</v>
          </cell>
          <cell r="AA84">
            <v>221470.75488217658</v>
          </cell>
          <cell r="AB84">
            <v>223814.68962733069</v>
          </cell>
          <cell r="AC84">
            <v>222220.65723257174</v>
          </cell>
          <cell r="AD84">
            <v>222629.30420924808</v>
          </cell>
          <cell r="AE84">
            <v>223146.84657001842</v>
          </cell>
        </row>
        <row r="85">
          <cell r="G85" t="str">
            <v>RegionMetal FabStock</v>
          </cell>
          <cell r="H85" t="str">
            <v>Ind</v>
          </cell>
          <cell r="I85" t="str">
            <v>Metal Fab</v>
          </cell>
          <cell r="J85" t="str">
            <v>Stock</v>
          </cell>
          <cell r="K85" t="str">
            <v>Consumption (MWh)</v>
          </cell>
          <cell r="L85">
            <v>909892.68701188185</v>
          </cell>
          <cell r="M85">
            <v>891825.25809582323</v>
          </cell>
          <cell r="N85">
            <v>882508.80442902481</v>
          </cell>
          <cell r="O85">
            <v>873727.53576770169</v>
          </cell>
          <cell r="P85">
            <v>873074.20336348354</v>
          </cell>
          <cell r="Q85">
            <v>857353.78829031112</v>
          </cell>
          <cell r="R85">
            <v>849920.96028251934</v>
          </cell>
          <cell r="S85">
            <v>842747.12140389089</v>
          </cell>
          <cell r="T85">
            <v>835992.11174095876</v>
          </cell>
          <cell r="U85">
            <v>829585.10375461576</v>
          </cell>
          <cell r="V85">
            <v>823489.91083828453</v>
          </cell>
          <cell r="W85">
            <v>817657.03435069101</v>
          </cell>
          <cell r="X85">
            <v>819465.35455238761</v>
          </cell>
          <cell r="Y85">
            <v>806647.75437978934</v>
          </cell>
          <cell r="Z85">
            <v>801457.62846863491</v>
          </cell>
          <cell r="AA85">
            <v>796415.70090358355</v>
          </cell>
          <cell r="AB85">
            <v>798860.24754177267</v>
          </cell>
          <cell r="AC85">
            <v>786961.84080937004</v>
          </cell>
          <cell r="AD85">
            <v>782499.53998716734</v>
          </cell>
          <cell r="AE85">
            <v>778123.72130174015</v>
          </cell>
        </row>
        <row r="86">
          <cell r="G86" t="str">
            <v>RegionTransportation, EquipStock</v>
          </cell>
          <cell r="H86" t="str">
            <v>Ind</v>
          </cell>
          <cell r="I86" t="str">
            <v>Transportation, Equip</v>
          </cell>
          <cell r="J86" t="str">
            <v>Stock</v>
          </cell>
          <cell r="K86" t="str">
            <v>Consumption (MWh)</v>
          </cell>
          <cell r="L86">
            <v>1804273.4320914866</v>
          </cell>
          <cell r="M86">
            <v>1764444.7092744687</v>
          </cell>
          <cell r="N86">
            <v>1742380.5060862801</v>
          </cell>
          <cell r="O86">
            <v>1721734.2919262978</v>
          </cell>
          <cell r="P86">
            <v>1717290.0100661237</v>
          </cell>
          <cell r="Q86">
            <v>1684212.3577429946</v>
          </cell>
          <cell r="R86">
            <v>1667572.9872876552</v>
          </cell>
          <cell r="S86">
            <v>1651915.7655637239</v>
          </cell>
          <cell r="T86">
            <v>1637404.0605393937</v>
          </cell>
          <cell r="U86">
            <v>1624039.8539685637</v>
          </cell>
          <cell r="V86">
            <v>1611571.7582730576</v>
          </cell>
          <cell r="W86">
            <v>1599938.1807304013</v>
          </cell>
          <cell r="X86">
            <v>1603782.6234504275</v>
          </cell>
          <cell r="Y86">
            <v>1579189.4507664458</v>
          </cell>
          <cell r="Z86">
            <v>1569848.0280781442</v>
          </cell>
          <cell r="AA86">
            <v>1560977.4194455137</v>
          </cell>
          <cell r="AB86">
            <v>1566945.462049291</v>
          </cell>
          <cell r="AC86">
            <v>1545218.7396206472</v>
          </cell>
          <cell r="AD86">
            <v>1538099.8647244556</v>
          </cell>
          <cell r="AE86">
            <v>1531589.7574381533</v>
          </cell>
        </row>
        <row r="87">
          <cell r="G87" t="str">
            <v>RegionRefineryStock</v>
          </cell>
          <cell r="H87" t="str">
            <v>Ind</v>
          </cell>
          <cell r="I87" t="str">
            <v>Refinery</v>
          </cell>
          <cell r="J87" t="str">
            <v>Stock</v>
          </cell>
          <cell r="K87" t="str">
            <v>Consumption (MWh)</v>
          </cell>
          <cell r="L87">
            <v>1881024.91962965</v>
          </cell>
          <cell r="M87">
            <v>1909117.5467978129</v>
          </cell>
          <cell r="N87">
            <v>1951995.6132668965</v>
          </cell>
          <cell r="O87">
            <v>1997111.8831124087</v>
          </cell>
          <cell r="P87">
            <v>2057483.6301056999</v>
          </cell>
          <cell r="Q87">
            <v>2084336.8416466711</v>
          </cell>
          <cell r="R87">
            <v>2127809.677560756</v>
          </cell>
          <cell r="S87">
            <v>2172413.8365607024</v>
          </cell>
          <cell r="T87">
            <v>2215960.2386478884</v>
          </cell>
          <cell r="U87">
            <v>2261195.6605773838</v>
          </cell>
          <cell r="V87">
            <v>2305708.6406222372</v>
          </cell>
          <cell r="W87">
            <v>2351421.030442731</v>
          </cell>
          <cell r="X87">
            <v>2417809.3733545281</v>
          </cell>
          <cell r="Y87">
            <v>2441973.3932293397</v>
          </cell>
          <cell r="Z87">
            <v>2486737.3300964865</v>
          </cell>
          <cell r="AA87">
            <v>2532907.6529900534</v>
          </cell>
          <cell r="AB87">
            <v>2601624.7146502738</v>
          </cell>
          <cell r="AC87">
            <v>2625012.9439967307</v>
          </cell>
          <cell r="AD87">
            <v>2670463.7864335729</v>
          </cell>
          <cell r="AE87">
            <v>2717337.6347862268</v>
          </cell>
        </row>
        <row r="88">
          <cell r="G88" t="str">
            <v>RegionCold StorageStock</v>
          </cell>
          <cell r="H88" t="str">
            <v>Ind</v>
          </cell>
          <cell r="I88" t="str">
            <v>Cold Storage</v>
          </cell>
          <cell r="J88" t="str">
            <v>Stock</v>
          </cell>
          <cell r="K88" t="str">
            <v>Consumption (MWh)</v>
          </cell>
          <cell r="L88">
            <v>78154.236827670538</v>
          </cell>
          <cell r="M88">
            <v>79453.458629044515</v>
          </cell>
          <cell r="N88">
            <v>81462.364882615439</v>
          </cell>
          <cell r="O88">
            <v>83477.500671992908</v>
          </cell>
          <cell r="P88">
            <v>86245.581369176958</v>
          </cell>
          <cell r="Q88">
            <v>87478.747599680457</v>
          </cell>
          <cell r="R88">
            <v>89494.311122657688</v>
          </cell>
          <cell r="S88">
            <v>91509.020390414968</v>
          </cell>
          <cell r="T88">
            <v>93532.504764969955</v>
          </cell>
          <cell r="U88">
            <v>95564.382084683428</v>
          </cell>
          <cell r="V88">
            <v>97600.983939128768</v>
          </cell>
          <cell r="W88">
            <v>99644.634467322845</v>
          </cell>
          <cell r="X88">
            <v>102618.3524040958</v>
          </cell>
          <cell r="Y88">
            <v>103741.81616097505</v>
          </cell>
          <cell r="Z88">
            <v>105788.43696882724</v>
          </cell>
          <cell r="AA88">
            <v>107838.05913011087</v>
          </cell>
          <cell r="AB88">
            <v>110898.73263363529</v>
          </cell>
          <cell r="AC88">
            <v>111951.72686476028</v>
          </cell>
          <cell r="AD88">
            <v>114014.96377503965</v>
          </cell>
          <cell r="AE88">
            <v>116079.01640209509</v>
          </cell>
        </row>
        <row r="89">
          <cell r="G89" t="str">
            <v>RegionFruit StorageStock</v>
          </cell>
          <cell r="H89" t="str">
            <v>Ind</v>
          </cell>
          <cell r="I89" t="str">
            <v>Fruit Storage</v>
          </cell>
          <cell r="J89" t="str">
            <v>Stock</v>
          </cell>
          <cell r="K89" t="str">
            <v>Consumption (MWh)</v>
          </cell>
          <cell r="L89">
            <v>199395.43790713095</v>
          </cell>
          <cell r="M89">
            <v>204115.10690708214</v>
          </cell>
          <cell r="N89">
            <v>210634.84781997796</v>
          </cell>
          <cell r="O89">
            <v>217141.49063609194</v>
          </cell>
          <cell r="P89">
            <v>225683.75101923331</v>
          </cell>
          <cell r="Q89">
            <v>230234.36323329096</v>
          </cell>
          <cell r="R89">
            <v>236796.95219371072</v>
          </cell>
          <cell r="S89">
            <v>243349.21918638356</v>
          </cell>
          <cell r="T89">
            <v>249921.80671927828</v>
          </cell>
          <cell r="U89">
            <v>256506.98239189648</v>
          </cell>
          <cell r="V89">
            <v>263096.35269472009</v>
          </cell>
          <cell r="W89">
            <v>269693.66215315415</v>
          </cell>
          <cell r="X89">
            <v>278797.26062516763</v>
          </cell>
          <cell r="Y89">
            <v>282842.82237701409</v>
          </cell>
          <cell r="Z89">
            <v>289419.35664982459</v>
          </cell>
          <cell r="AA89">
            <v>295994.31165490975</v>
          </cell>
          <cell r="AB89">
            <v>305366.03036291245</v>
          </cell>
          <cell r="AC89">
            <v>309179.84460456396</v>
          </cell>
          <cell r="AD89">
            <v>315794.71629056305</v>
          </cell>
          <cell r="AE89">
            <v>322364.98084319307</v>
          </cell>
        </row>
        <row r="90">
          <cell r="G90" t="str">
            <v>RegionChemicalStock</v>
          </cell>
          <cell r="H90" t="str">
            <v>Ind</v>
          </cell>
          <cell r="I90" t="str">
            <v>Chemical</v>
          </cell>
          <cell r="J90" t="str">
            <v>Stock</v>
          </cell>
          <cell r="K90" t="str">
            <v>Consumption (MWh)</v>
          </cell>
          <cell r="L90">
            <v>3305004.1605836996</v>
          </cell>
          <cell r="M90">
            <v>3443789.6934345411</v>
          </cell>
          <cell r="N90">
            <v>3609021.9884613133</v>
          </cell>
          <cell r="O90">
            <v>3771046.7677251906</v>
          </cell>
          <cell r="P90">
            <v>3927253.9609524435</v>
          </cell>
          <cell r="Q90">
            <v>4037395.7085911199</v>
          </cell>
          <cell r="R90">
            <v>4188643.2636367837</v>
          </cell>
          <cell r="S90">
            <v>4340984.9755713558</v>
          </cell>
          <cell r="T90">
            <v>4493975.9194887662</v>
          </cell>
          <cell r="U90">
            <v>4646018.0745007796</v>
          </cell>
          <cell r="V90">
            <v>4797371.3042631764</v>
          </cell>
          <cell r="W90">
            <v>4947813.7264089147</v>
          </cell>
          <cell r="X90">
            <v>5144107.7969676936</v>
          </cell>
          <cell r="Y90">
            <v>5246402.7802377427</v>
          </cell>
          <cell r="Z90">
            <v>5394857.0622515492</v>
          </cell>
          <cell r="AA90">
            <v>5541714.6108995685</v>
          </cell>
          <cell r="AB90">
            <v>5740442.2061493713</v>
          </cell>
          <cell r="AC90">
            <v>5833788.3063517585</v>
          </cell>
          <cell r="AD90">
            <v>5979638.453419812</v>
          </cell>
          <cell r="AE90">
            <v>6123880.4660364473</v>
          </cell>
        </row>
        <row r="91">
          <cell r="G91" t="str">
            <v>RegionMisc ManfStock</v>
          </cell>
          <cell r="H91" t="str">
            <v>Ind</v>
          </cell>
          <cell r="I91" t="str">
            <v>Misc Manf</v>
          </cell>
          <cell r="J91" t="str">
            <v>Stock</v>
          </cell>
          <cell r="K91" t="str">
            <v>Consumption (MWh)</v>
          </cell>
          <cell r="L91">
            <v>4209556.472488177</v>
          </cell>
          <cell r="M91">
            <v>4334633.1165770665</v>
          </cell>
          <cell r="N91">
            <v>4496807.6122477548</v>
          </cell>
          <cell r="O91">
            <v>4658950.5636732625</v>
          </cell>
          <cell r="P91">
            <v>4833902.8390341504</v>
          </cell>
          <cell r="Q91">
            <v>4939547.3871582579</v>
          </cell>
          <cell r="R91">
            <v>5095859.5790590979</v>
          </cell>
          <cell r="S91">
            <v>5254063.1713875132</v>
          </cell>
          <cell r="T91">
            <v>5413802.5084346561</v>
          </cell>
          <cell r="U91">
            <v>5573463.6928148605</v>
          </cell>
          <cell r="V91">
            <v>5733797.7617043415</v>
          </cell>
          <cell r="W91">
            <v>5893374.3310838528</v>
          </cell>
          <cell r="X91">
            <v>6108755.4059702102</v>
          </cell>
          <cell r="Y91">
            <v>6213044.4648437528</v>
          </cell>
          <cell r="Z91">
            <v>6372313.332896472</v>
          </cell>
          <cell r="AA91">
            <v>6531884.2745853113</v>
          </cell>
          <cell r="AB91">
            <v>6752077.3183153793</v>
          </cell>
          <cell r="AC91">
            <v>6850327.3548128605</v>
          </cell>
          <cell r="AD91">
            <v>7009692.065473482</v>
          </cell>
          <cell r="AE91">
            <v>7168736.8179728845</v>
          </cell>
        </row>
        <row r="92">
          <cell r="G92" t="str">
            <v>RegionEVStock</v>
          </cell>
          <cell r="H92" t="str">
            <v>EV</v>
          </cell>
          <cell r="I92" t="str">
            <v>EV</v>
          </cell>
          <cell r="J92" t="str">
            <v>Stock</v>
          </cell>
          <cell r="K92" t="str">
            <v>1000 Cars</v>
          </cell>
          <cell r="L92">
            <v>60.183986956923889</v>
          </cell>
          <cell r="M92">
            <v>91.985039267783762</v>
          </cell>
          <cell r="N92">
            <v>131.71899349682545</v>
          </cell>
          <cell r="O92">
            <v>179.31931215654896</v>
          </cell>
          <cell r="P92">
            <v>234.46894197990883</v>
          </cell>
          <cell r="Q92">
            <v>296.9378027583823</v>
          </cell>
          <cell r="R92">
            <v>366.00059330503768</v>
          </cell>
          <cell r="S92">
            <v>441.25939468635204</v>
          </cell>
          <cell r="T92">
            <v>522.62506581198477</v>
          </cell>
          <cell r="U92">
            <v>610.52396116716261</v>
          </cell>
          <cell r="V92">
            <v>705.01906985870437</v>
          </cell>
          <cell r="W92">
            <v>801.72374571842784</v>
          </cell>
          <cell r="X92">
            <v>899.84995621451503</v>
          </cell>
          <cell r="Y92">
            <v>998.49290967026104</v>
          </cell>
          <cell r="Z92">
            <v>1096.4275699987345</v>
          </cell>
          <cell r="AA92">
            <v>1187.7661760902763</v>
          </cell>
          <cell r="AB92">
            <v>1272.9815546454543</v>
          </cell>
          <cell r="AC92">
            <v>1351.8588013409089</v>
          </cell>
          <cell r="AD92">
            <v>1433.0587465545455</v>
          </cell>
          <cell r="AE92">
            <v>1500.0488473772725</v>
          </cell>
        </row>
        <row r="93">
          <cell r="G93" t="str">
            <v>RegionPopStock</v>
          </cell>
          <cell r="H93" t="str">
            <v>Pop</v>
          </cell>
          <cell r="I93" t="str">
            <v>Pop</v>
          </cell>
          <cell r="J93" t="str">
            <v>Stock</v>
          </cell>
          <cell r="K93" t="str">
            <v># of people</v>
          </cell>
          <cell r="L93">
            <v>13520.68111</v>
          </cell>
          <cell r="M93">
            <v>13661.840299999998</v>
          </cell>
          <cell r="N93">
            <v>13803.691440000001</v>
          </cell>
          <cell r="O93">
            <v>13944.276469999999</v>
          </cell>
          <cell r="P93">
            <v>14082.801340000002</v>
          </cell>
          <cell r="Q93">
            <v>14218.715590000002</v>
          </cell>
          <cell r="R93">
            <v>14351.918940000001</v>
          </cell>
          <cell r="S93">
            <v>14482.437540000003</v>
          </cell>
          <cell r="T93">
            <v>14610.4211</v>
          </cell>
          <cell r="U93">
            <v>14736.24631</v>
          </cell>
          <cell r="V93">
            <v>14860.320880000001</v>
          </cell>
          <cell r="W93">
            <v>14983.078860000001</v>
          </cell>
          <cell r="X93">
            <v>15104.70127</v>
          </cell>
          <cell r="Y93">
            <v>15225.195700000002</v>
          </cell>
          <cell r="Z93">
            <v>15344.62486</v>
          </cell>
          <cell r="AA93">
            <v>15463.089019999998</v>
          </cell>
          <cell r="AB93">
            <v>15580.68845</v>
          </cell>
          <cell r="AC93">
            <v>15697.50913</v>
          </cell>
          <cell r="AD93">
            <v>15813.626329999999</v>
          </cell>
          <cell r="AE93">
            <v>15929.254489999999</v>
          </cell>
        </row>
        <row r="94">
          <cell r="G94"/>
          <cell r="H94"/>
          <cell r="I94"/>
          <cell r="J94"/>
          <cell r="K94"/>
          <cell r="L94"/>
          <cell r="M94"/>
          <cell r="N94"/>
          <cell r="O94"/>
          <cell r="P94"/>
          <cell r="Q94"/>
          <cell r="R94"/>
          <cell r="S94"/>
          <cell r="T94"/>
          <cell r="U94"/>
          <cell r="V94"/>
          <cell r="W94"/>
          <cell r="X94"/>
          <cell r="Y94"/>
          <cell r="Z94"/>
          <cell r="AA94"/>
          <cell r="AB94"/>
          <cell r="AC94"/>
          <cell r="AD94"/>
          <cell r="AE94"/>
        </row>
        <row r="95">
          <cell r="G95"/>
          <cell r="H95"/>
          <cell r="I95"/>
          <cell r="J95"/>
          <cell r="K95"/>
          <cell r="L95"/>
          <cell r="M95"/>
          <cell r="N95"/>
          <cell r="O95"/>
          <cell r="P95"/>
          <cell r="Q95"/>
          <cell r="R95"/>
          <cell r="S95"/>
          <cell r="T95"/>
          <cell r="U95"/>
          <cell r="V95"/>
          <cell r="W95"/>
          <cell r="X95"/>
          <cell r="Y95"/>
          <cell r="Z95"/>
          <cell r="AA95"/>
          <cell r="AB95"/>
          <cell r="AC95"/>
          <cell r="AD95"/>
          <cell r="AE95"/>
        </row>
        <row r="96">
          <cell r="G96"/>
          <cell r="H96"/>
          <cell r="I96"/>
          <cell r="J96"/>
          <cell r="K96"/>
          <cell r="L96"/>
          <cell r="M96"/>
          <cell r="N96"/>
          <cell r="O96"/>
          <cell r="P96"/>
          <cell r="Q96"/>
          <cell r="R96"/>
          <cell r="S96"/>
          <cell r="T96"/>
          <cell r="U96"/>
          <cell r="V96"/>
          <cell r="W96"/>
          <cell r="X96"/>
          <cell r="Y96"/>
          <cell r="Z96"/>
          <cell r="AA96"/>
          <cell r="AB96"/>
          <cell r="AC96"/>
          <cell r="AD96"/>
          <cell r="AE96"/>
        </row>
        <row r="97">
          <cell r="G97"/>
          <cell r="H97"/>
          <cell r="I97"/>
          <cell r="J97"/>
          <cell r="K97"/>
          <cell r="L97"/>
          <cell r="M97"/>
          <cell r="N97"/>
          <cell r="O97"/>
          <cell r="P97"/>
          <cell r="Q97"/>
          <cell r="R97"/>
          <cell r="S97"/>
          <cell r="T97"/>
          <cell r="U97"/>
          <cell r="V97"/>
          <cell r="W97"/>
          <cell r="X97"/>
          <cell r="Y97"/>
          <cell r="Z97"/>
          <cell r="AA97"/>
          <cell r="AB97"/>
          <cell r="AC97"/>
          <cell r="AD97"/>
          <cell r="AE97"/>
        </row>
        <row r="98">
          <cell r="G98"/>
          <cell r="H98"/>
          <cell r="I98"/>
          <cell r="J98"/>
          <cell r="K98"/>
          <cell r="L98"/>
          <cell r="M98"/>
          <cell r="N98"/>
          <cell r="O98"/>
          <cell r="P98"/>
          <cell r="Q98"/>
          <cell r="R98"/>
          <cell r="S98"/>
          <cell r="T98"/>
          <cell r="U98"/>
          <cell r="V98"/>
          <cell r="W98"/>
          <cell r="X98"/>
          <cell r="Y98"/>
          <cell r="Z98"/>
          <cell r="AA98"/>
          <cell r="AB98"/>
          <cell r="AC98"/>
          <cell r="AD98"/>
          <cell r="AE98"/>
        </row>
        <row r="99">
          <cell r="G99"/>
          <cell r="H99"/>
          <cell r="I99"/>
          <cell r="J99"/>
          <cell r="K99"/>
          <cell r="L99"/>
          <cell r="M99"/>
          <cell r="N99"/>
          <cell r="O99"/>
          <cell r="P99"/>
          <cell r="Q99"/>
          <cell r="R99"/>
          <cell r="S99"/>
          <cell r="T99"/>
          <cell r="U99"/>
          <cell r="V99"/>
          <cell r="W99"/>
          <cell r="X99"/>
          <cell r="Y99"/>
          <cell r="Z99"/>
          <cell r="AA99"/>
          <cell r="AB99"/>
          <cell r="AC99"/>
          <cell r="AD99"/>
          <cell r="AE99"/>
        </row>
        <row r="100">
          <cell r="G100"/>
          <cell r="H100"/>
          <cell r="I100"/>
          <cell r="J100"/>
          <cell r="K100"/>
          <cell r="L100"/>
          <cell r="M100"/>
          <cell r="N100"/>
          <cell r="O100"/>
          <cell r="P100"/>
          <cell r="Q100"/>
          <cell r="R100"/>
          <cell r="S100"/>
          <cell r="T100"/>
          <cell r="U100"/>
          <cell r="V100"/>
          <cell r="W100"/>
          <cell r="X100"/>
          <cell r="Y100"/>
          <cell r="Z100"/>
          <cell r="AA100"/>
          <cell r="AB100"/>
          <cell r="AC100"/>
          <cell r="AD100"/>
          <cell r="AE100"/>
        </row>
        <row r="101">
          <cell r="G101"/>
          <cell r="H101"/>
          <cell r="I101"/>
          <cell r="J101"/>
          <cell r="K101"/>
          <cell r="L101"/>
          <cell r="M101"/>
          <cell r="N101"/>
          <cell r="O101"/>
          <cell r="P101"/>
          <cell r="Q101"/>
          <cell r="R101"/>
          <cell r="S101"/>
          <cell r="T101"/>
          <cell r="U101"/>
          <cell r="V101"/>
          <cell r="W101"/>
          <cell r="X101"/>
          <cell r="Y101"/>
          <cell r="Z101"/>
          <cell r="AA101"/>
          <cell r="AB101"/>
          <cell r="AC101"/>
          <cell r="AD101"/>
          <cell r="AE101"/>
        </row>
        <row r="102">
          <cell r="G102"/>
          <cell r="H102"/>
          <cell r="I102"/>
          <cell r="J102"/>
          <cell r="K102"/>
          <cell r="L102"/>
          <cell r="M102"/>
          <cell r="N102"/>
          <cell r="O102"/>
          <cell r="P102"/>
          <cell r="Q102"/>
          <cell r="R102"/>
          <cell r="S102"/>
          <cell r="T102"/>
          <cell r="U102"/>
          <cell r="V102"/>
          <cell r="W102"/>
          <cell r="X102"/>
          <cell r="Y102"/>
          <cell r="Z102"/>
          <cell r="AA102"/>
          <cell r="AB102"/>
          <cell r="AC102"/>
          <cell r="AD102"/>
          <cell r="AE102"/>
        </row>
        <row r="103">
          <cell r="G103"/>
          <cell r="H103"/>
          <cell r="I103"/>
          <cell r="J103"/>
          <cell r="K103"/>
          <cell r="L103"/>
          <cell r="M103"/>
          <cell r="N103"/>
          <cell r="O103"/>
          <cell r="P103"/>
          <cell r="Q103"/>
          <cell r="R103"/>
          <cell r="S103"/>
          <cell r="T103"/>
          <cell r="U103"/>
          <cell r="V103"/>
          <cell r="W103"/>
          <cell r="X103"/>
          <cell r="Y103"/>
          <cell r="Z103"/>
          <cell r="AA103"/>
          <cell r="AB103"/>
          <cell r="AC103"/>
          <cell r="AD103"/>
          <cell r="AE103"/>
        </row>
        <row r="104">
          <cell r="G104"/>
          <cell r="H104"/>
          <cell r="I104"/>
          <cell r="J104"/>
          <cell r="K104"/>
          <cell r="L104"/>
          <cell r="M104"/>
          <cell r="N104"/>
          <cell r="O104"/>
          <cell r="P104"/>
          <cell r="Q104"/>
          <cell r="R104"/>
          <cell r="S104"/>
          <cell r="T104"/>
          <cell r="U104"/>
          <cell r="V104"/>
          <cell r="W104"/>
          <cell r="X104"/>
          <cell r="Y104"/>
          <cell r="Z104"/>
          <cell r="AA104"/>
          <cell r="AB104"/>
          <cell r="AC104"/>
          <cell r="AD104"/>
          <cell r="AE104"/>
        </row>
        <row r="105">
          <cell r="G105"/>
          <cell r="H105"/>
          <cell r="I105"/>
          <cell r="J105"/>
          <cell r="K105"/>
          <cell r="L105"/>
          <cell r="M105"/>
          <cell r="N105"/>
          <cell r="O105"/>
          <cell r="P105"/>
          <cell r="Q105"/>
          <cell r="R105"/>
          <cell r="S105"/>
          <cell r="T105"/>
          <cell r="U105"/>
          <cell r="V105"/>
          <cell r="W105"/>
          <cell r="X105"/>
          <cell r="Y105"/>
          <cell r="Z105"/>
          <cell r="AA105"/>
          <cell r="AB105"/>
          <cell r="AC105"/>
          <cell r="AD105"/>
          <cell r="AE105"/>
        </row>
        <row r="106">
          <cell r="G106"/>
          <cell r="H106"/>
          <cell r="I106"/>
          <cell r="J106"/>
          <cell r="K106"/>
          <cell r="L106"/>
          <cell r="M106"/>
          <cell r="N106"/>
          <cell r="O106"/>
          <cell r="P106"/>
          <cell r="Q106"/>
          <cell r="R106"/>
          <cell r="S106"/>
          <cell r="T106"/>
          <cell r="U106"/>
          <cell r="V106"/>
          <cell r="W106"/>
          <cell r="X106"/>
          <cell r="Y106"/>
          <cell r="Z106"/>
          <cell r="AA106"/>
          <cell r="AB106"/>
          <cell r="AC106"/>
          <cell r="AD106"/>
          <cell r="AE106"/>
        </row>
        <row r="107">
          <cell r="G107"/>
          <cell r="H107"/>
          <cell r="I107"/>
          <cell r="J107"/>
          <cell r="K107"/>
          <cell r="L107"/>
          <cell r="M107"/>
          <cell r="N107"/>
          <cell r="O107"/>
          <cell r="P107"/>
          <cell r="Q107"/>
          <cell r="R107"/>
          <cell r="S107"/>
          <cell r="T107"/>
          <cell r="U107"/>
          <cell r="V107"/>
          <cell r="W107"/>
          <cell r="X107"/>
          <cell r="Y107"/>
          <cell r="Z107"/>
          <cell r="AA107"/>
          <cell r="AB107"/>
          <cell r="AC107"/>
          <cell r="AD107"/>
          <cell r="AE107"/>
        </row>
        <row r="108">
          <cell r="G108"/>
          <cell r="H108"/>
          <cell r="I108"/>
          <cell r="J108"/>
          <cell r="K108"/>
          <cell r="L108"/>
          <cell r="M108"/>
          <cell r="N108"/>
          <cell r="O108"/>
          <cell r="P108"/>
          <cell r="Q108"/>
          <cell r="R108"/>
          <cell r="S108"/>
          <cell r="T108"/>
          <cell r="U108"/>
          <cell r="V108"/>
          <cell r="W108"/>
          <cell r="X108"/>
          <cell r="Y108"/>
          <cell r="Z108"/>
          <cell r="AA108"/>
          <cell r="AB108"/>
          <cell r="AC108"/>
          <cell r="AD108"/>
          <cell r="AE108"/>
        </row>
        <row r="109">
          <cell r="G109"/>
          <cell r="H109"/>
          <cell r="I109"/>
          <cell r="J109"/>
          <cell r="K109"/>
          <cell r="L109"/>
          <cell r="M109"/>
          <cell r="N109"/>
          <cell r="O109"/>
          <cell r="P109"/>
          <cell r="Q109"/>
          <cell r="R109"/>
          <cell r="S109"/>
          <cell r="T109"/>
          <cell r="U109"/>
          <cell r="V109"/>
          <cell r="W109"/>
          <cell r="X109"/>
          <cell r="Y109"/>
          <cell r="Z109"/>
          <cell r="AA109"/>
          <cell r="AB109"/>
          <cell r="AC109"/>
          <cell r="AD109"/>
          <cell r="AE109"/>
        </row>
        <row r="110">
          <cell r="G110"/>
          <cell r="H110"/>
          <cell r="I110"/>
          <cell r="J110"/>
          <cell r="K110"/>
          <cell r="L110"/>
          <cell r="M110"/>
          <cell r="N110"/>
          <cell r="O110"/>
          <cell r="P110"/>
          <cell r="Q110"/>
          <cell r="R110"/>
          <cell r="S110"/>
          <cell r="T110"/>
          <cell r="U110"/>
          <cell r="V110"/>
          <cell r="W110"/>
          <cell r="X110"/>
          <cell r="Y110"/>
          <cell r="Z110"/>
          <cell r="AA110"/>
          <cell r="AB110"/>
          <cell r="AC110"/>
          <cell r="AD110"/>
          <cell r="AE110"/>
        </row>
        <row r="111">
          <cell r="G111"/>
          <cell r="H111"/>
          <cell r="I111"/>
          <cell r="J111"/>
          <cell r="K111"/>
          <cell r="L111"/>
          <cell r="M111"/>
          <cell r="N111"/>
          <cell r="O111"/>
          <cell r="P111"/>
          <cell r="Q111"/>
          <cell r="R111"/>
          <cell r="S111"/>
          <cell r="T111"/>
          <cell r="U111"/>
          <cell r="V111"/>
          <cell r="W111"/>
          <cell r="X111"/>
          <cell r="Y111"/>
          <cell r="Z111"/>
          <cell r="AA111"/>
          <cell r="AB111"/>
          <cell r="AC111"/>
          <cell r="AD111"/>
          <cell r="AE111"/>
        </row>
        <row r="112">
          <cell r="G112"/>
          <cell r="H112"/>
          <cell r="I112"/>
          <cell r="J112"/>
          <cell r="K112"/>
          <cell r="L112"/>
          <cell r="M112"/>
          <cell r="N112"/>
          <cell r="O112"/>
          <cell r="P112"/>
          <cell r="Q112"/>
          <cell r="R112"/>
          <cell r="S112"/>
          <cell r="T112"/>
          <cell r="U112"/>
          <cell r="V112"/>
          <cell r="W112"/>
          <cell r="X112"/>
          <cell r="Y112"/>
          <cell r="Z112"/>
          <cell r="AA112"/>
          <cell r="AB112"/>
          <cell r="AC112"/>
          <cell r="AD112"/>
          <cell r="AE112"/>
        </row>
        <row r="113">
          <cell r="G113"/>
          <cell r="H113"/>
          <cell r="I113"/>
          <cell r="J113"/>
          <cell r="K113"/>
          <cell r="L113"/>
          <cell r="M113"/>
          <cell r="N113"/>
          <cell r="O113"/>
          <cell r="P113"/>
          <cell r="Q113"/>
          <cell r="R113"/>
          <cell r="S113"/>
          <cell r="T113"/>
          <cell r="U113"/>
          <cell r="V113"/>
          <cell r="W113"/>
          <cell r="X113"/>
          <cell r="Y113"/>
          <cell r="Z113"/>
          <cell r="AA113"/>
          <cell r="AB113"/>
          <cell r="AC113"/>
          <cell r="AD113"/>
          <cell r="AE113"/>
        </row>
        <row r="114">
          <cell r="G114"/>
          <cell r="H114"/>
          <cell r="I114"/>
          <cell r="J114"/>
          <cell r="K114"/>
          <cell r="L114"/>
          <cell r="M114"/>
          <cell r="N114"/>
          <cell r="O114"/>
          <cell r="P114"/>
          <cell r="Q114"/>
          <cell r="R114"/>
          <cell r="S114"/>
          <cell r="T114"/>
          <cell r="U114"/>
          <cell r="V114"/>
          <cell r="W114"/>
          <cell r="X114"/>
          <cell r="Y114"/>
          <cell r="Z114"/>
          <cell r="AA114"/>
          <cell r="AB114"/>
          <cell r="AC114"/>
          <cell r="AD114"/>
          <cell r="AE114"/>
        </row>
        <row r="115">
          <cell r="G115"/>
          <cell r="H115"/>
          <cell r="I115"/>
          <cell r="J115"/>
          <cell r="K115"/>
          <cell r="L115"/>
          <cell r="M115"/>
          <cell r="N115"/>
          <cell r="O115"/>
          <cell r="P115"/>
          <cell r="Q115"/>
          <cell r="R115"/>
          <cell r="S115"/>
          <cell r="T115"/>
          <cell r="U115"/>
          <cell r="V115"/>
          <cell r="W115"/>
          <cell r="X115"/>
          <cell r="Y115"/>
          <cell r="Z115"/>
          <cell r="AA115"/>
          <cell r="AB115"/>
          <cell r="AC115"/>
          <cell r="AD115"/>
          <cell r="AE115"/>
        </row>
        <row r="116">
          <cell r="G116"/>
          <cell r="H116"/>
          <cell r="I116"/>
          <cell r="J116"/>
          <cell r="K116"/>
          <cell r="L116"/>
          <cell r="M116"/>
          <cell r="N116"/>
          <cell r="O116"/>
          <cell r="P116"/>
          <cell r="Q116"/>
          <cell r="R116"/>
          <cell r="S116"/>
          <cell r="T116"/>
          <cell r="U116"/>
          <cell r="V116"/>
          <cell r="W116"/>
          <cell r="X116"/>
          <cell r="Y116"/>
          <cell r="Z116"/>
          <cell r="AA116"/>
          <cell r="AB116"/>
          <cell r="AC116"/>
          <cell r="AD116"/>
          <cell r="AE116"/>
        </row>
        <row r="117">
          <cell r="G117"/>
          <cell r="H117"/>
          <cell r="I117"/>
          <cell r="J117"/>
          <cell r="K117"/>
          <cell r="L117"/>
          <cell r="M117"/>
          <cell r="N117"/>
          <cell r="O117"/>
          <cell r="P117"/>
          <cell r="Q117"/>
          <cell r="R117"/>
          <cell r="S117"/>
          <cell r="T117"/>
          <cell r="U117"/>
          <cell r="V117"/>
          <cell r="W117"/>
          <cell r="X117"/>
          <cell r="Y117"/>
          <cell r="Z117"/>
          <cell r="AA117"/>
          <cell r="AB117"/>
          <cell r="AC117"/>
          <cell r="AD117"/>
          <cell r="AE117"/>
        </row>
        <row r="118">
          <cell r="G118"/>
          <cell r="H118"/>
          <cell r="I118"/>
          <cell r="J118"/>
          <cell r="K118"/>
          <cell r="L118"/>
          <cell r="M118"/>
          <cell r="N118"/>
          <cell r="O118"/>
          <cell r="P118"/>
          <cell r="Q118"/>
          <cell r="R118"/>
          <cell r="S118"/>
          <cell r="T118"/>
          <cell r="U118"/>
          <cell r="V118"/>
          <cell r="W118"/>
          <cell r="X118"/>
          <cell r="Y118"/>
          <cell r="Z118"/>
          <cell r="AA118"/>
          <cell r="AB118"/>
          <cell r="AC118"/>
          <cell r="AD118"/>
          <cell r="AE118"/>
        </row>
        <row r="119">
          <cell r="G119"/>
          <cell r="H119"/>
          <cell r="I119"/>
          <cell r="J119"/>
          <cell r="K119"/>
          <cell r="L119"/>
          <cell r="M119"/>
          <cell r="N119"/>
          <cell r="O119"/>
          <cell r="P119"/>
          <cell r="Q119"/>
          <cell r="R119"/>
          <cell r="S119"/>
          <cell r="T119"/>
          <cell r="U119"/>
          <cell r="V119"/>
          <cell r="W119"/>
          <cell r="X119"/>
          <cell r="Y119"/>
          <cell r="Z119"/>
          <cell r="AA119"/>
          <cell r="AB119"/>
          <cell r="AC119"/>
          <cell r="AD119"/>
          <cell r="AE119"/>
        </row>
        <row r="120">
          <cell r="G120"/>
          <cell r="H120"/>
          <cell r="I120"/>
          <cell r="J120"/>
          <cell r="K120"/>
          <cell r="L120"/>
          <cell r="M120"/>
          <cell r="N120"/>
          <cell r="O120"/>
          <cell r="P120"/>
          <cell r="Q120"/>
          <cell r="R120"/>
          <cell r="S120"/>
          <cell r="T120"/>
          <cell r="U120"/>
          <cell r="V120"/>
          <cell r="W120"/>
          <cell r="X120"/>
          <cell r="Y120"/>
          <cell r="Z120"/>
          <cell r="AA120"/>
          <cell r="AB120"/>
          <cell r="AC120"/>
          <cell r="AD120"/>
          <cell r="AE120"/>
        </row>
        <row r="121">
          <cell r="G121"/>
          <cell r="H121"/>
          <cell r="I121"/>
          <cell r="J121"/>
          <cell r="K121"/>
          <cell r="L121"/>
          <cell r="M121"/>
          <cell r="N121"/>
          <cell r="O121"/>
          <cell r="P121"/>
          <cell r="Q121"/>
          <cell r="R121"/>
          <cell r="S121"/>
          <cell r="T121"/>
          <cell r="U121"/>
          <cell r="V121"/>
          <cell r="W121"/>
          <cell r="X121"/>
          <cell r="Y121"/>
          <cell r="Z121"/>
          <cell r="AA121"/>
          <cell r="AB121"/>
          <cell r="AC121"/>
          <cell r="AD121"/>
          <cell r="AE121"/>
        </row>
        <row r="122">
          <cell r="G122"/>
          <cell r="H122"/>
          <cell r="I122"/>
          <cell r="J122"/>
          <cell r="K122"/>
          <cell r="L122"/>
          <cell r="M122"/>
          <cell r="N122"/>
          <cell r="O122"/>
          <cell r="P122"/>
          <cell r="Q122"/>
          <cell r="R122"/>
          <cell r="S122"/>
          <cell r="T122"/>
          <cell r="U122"/>
          <cell r="V122"/>
          <cell r="W122"/>
          <cell r="X122"/>
          <cell r="Y122"/>
          <cell r="Z122"/>
          <cell r="AA122"/>
          <cell r="AB122"/>
          <cell r="AC122"/>
          <cell r="AD122"/>
          <cell r="AE122"/>
        </row>
        <row r="123">
          <cell r="G123"/>
          <cell r="H123"/>
          <cell r="I123"/>
          <cell r="J123"/>
          <cell r="K123"/>
          <cell r="L123"/>
          <cell r="M123"/>
          <cell r="N123"/>
          <cell r="O123"/>
          <cell r="P123"/>
          <cell r="Q123"/>
          <cell r="R123"/>
          <cell r="S123"/>
          <cell r="T123"/>
          <cell r="U123"/>
          <cell r="V123"/>
          <cell r="W123"/>
          <cell r="X123"/>
          <cell r="Y123"/>
          <cell r="Z123"/>
          <cell r="AA123"/>
          <cell r="AB123"/>
          <cell r="AC123"/>
          <cell r="AD123"/>
          <cell r="AE123"/>
        </row>
        <row r="124">
          <cell r="G124"/>
          <cell r="H124"/>
          <cell r="I124"/>
          <cell r="J124"/>
          <cell r="K124"/>
          <cell r="L124"/>
          <cell r="M124"/>
          <cell r="N124"/>
          <cell r="O124"/>
          <cell r="P124"/>
          <cell r="Q124"/>
          <cell r="R124"/>
          <cell r="S124"/>
          <cell r="T124"/>
          <cell r="U124"/>
          <cell r="V124"/>
          <cell r="W124"/>
          <cell r="X124"/>
          <cell r="Y124"/>
          <cell r="Z124"/>
          <cell r="AA124"/>
          <cell r="AB124"/>
          <cell r="AC124"/>
          <cell r="AD124"/>
          <cell r="AE124"/>
        </row>
        <row r="125">
          <cell r="G125"/>
          <cell r="H125"/>
          <cell r="I125"/>
          <cell r="J125"/>
          <cell r="K125"/>
          <cell r="L125"/>
          <cell r="M125"/>
          <cell r="N125"/>
          <cell r="O125"/>
          <cell r="P125"/>
          <cell r="Q125"/>
          <cell r="R125"/>
          <cell r="S125"/>
          <cell r="T125"/>
          <cell r="U125"/>
          <cell r="V125"/>
          <cell r="W125"/>
          <cell r="X125"/>
          <cell r="Y125"/>
          <cell r="Z125"/>
          <cell r="AA125"/>
          <cell r="AB125"/>
          <cell r="AC125"/>
          <cell r="AD125"/>
          <cell r="AE125"/>
        </row>
        <row r="126">
          <cell r="G126"/>
          <cell r="H126"/>
          <cell r="I126"/>
          <cell r="J126"/>
          <cell r="K126"/>
          <cell r="L126"/>
          <cell r="M126"/>
          <cell r="N126"/>
          <cell r="O126"/>
          <cell r="P126"/>
          <cell r="Q126"/>
          <cell r="R126"/>
          <cell r="S126"/>
          <cell r="T126"/>
          <cell r="U126"/>
          <cell r="V126"/>
          <cell r="W126"/>
          <cell r="X126"/>
          <cell r="Y126"/>
          <cell r="Z126"/>
          <cell r="AA126"/>
          <cell r="AB126"/>
          <cell r="AC126"/>
          <cell r="AD126"/>
          <cell r="AE126"/>
        </row>
        <row r="127">
          <cell r="G127"/>
          <cell r="H127"/>
          <cell r="I127"/>
          <cell r="J127"/>
          <cell r="K127"/>
          <cell r="L127"/>
          <cell r="M127"/>
          <cell r="N127"/>
          <cell r="O127"/>
          <cell r="P127"/>
          <cell r="Q127"/>
          <cell r="R127"/>
          <cell r="S127"/>
          <cell r="T127"/>
          <cell r="U127"/>
          <cell r="V127"/>
          <cell r="W127"/>
          <cell r="X127"/>
          <cell r="Y127"/>
          <cell r="Z127"/>
          <cell r="AA127"/>
          <cell r="AB127"/>
          <cell r="AC127"/>
          <cell r="AD127"/>
          <cell r="AE127"/>
        </row>
        <row r="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row>
        <row r="129">
          <cell r="G129"/>
          <cell r="H129"/>
          <cell r="I129"/>
          <cell r="J129"/>
          <cell r="K129"/>
          <cell r="L129"/>
          <cell r="M129"/>
          <cell r="N129"/>
          <cell r="O129"/>
          <cell r="P129"/>
          <cell r="Q129"/>
          <cell r="R129"/>
          <cell r="S129"/>
          <cell r="T129"/>
          <cell r="U129"/>
          <cell r="V129"/>
          <cell r="W129"/>
          <cell r="X129"/>
          <cell r="Y129"/>
          <cell r="Z129"/>
          <cell r="AA129"/>
          <cell r="AB129"/>
          <cell r="AC129"/>
          <cell r="AD129"/>
          <cell r="AE129"/>
        </row>
        <row r="130">
          <cell r="G130"/>
          <cell r="H130"/>
          <cell r="I130"/>
          <cell r="J130"/>
          <cell r="K130"/>
          <cell r="L130"/>
          <cell r="M130"/>
          <cell r="N130"/>
          <cell r="O130"/>
          <cell r="P130"/>
          <cell r="Q130"/>
          <cell r="R130"/>
          <cell r="S130"/>
          <cell r="T130"/>
          <cell r="U130"/>
          <cell r="V130"/>
          <cell r="W130"/>
          <cell r="X130"/>
          <cell r="Y130"/>
          <cell r="Z130"/>
          <cell r="AA130"/>
          <cell r="AB130"/>
          <cell r="AC130"/>
          <cell r="AD130"/>
          <cell r="AE130"/>
        </row>
        <row r="131">
          <cell r="G131"/>
          <cell r="H131"/>
          <cell r="I131"/>
          <cell r="J131"/>
          <cell r="K131"/>
          <cell r="L131"/>
          <cell r="M131"/>
          <cell r="N131"/>
          <cell r="O131"/>
          <cell r="P131"/>
          <cell r="Q131"/>
          <cell r="R131"/>
          <cell r="S131"/>
          <cell r="T131"/>
          <cell r="U131"/>
          <cell r="V131"/>
          <cell r="W131"/>
          <cell r="X131"/>
          <cell r="Y131"/>
          <cell r="Z131"/>
          <cell r="AA131"/>
          <cell r="AB131"/>
          <cell r="AC131"/>
          <cell r="AD131"/>
          <cell r="AE131"/>
        </row>
        <row r="132">
          <cell r="G132"/>
          <cell r="H132"/>
          <cell r="I132"/>
          <cell r="J132"/>
          <cell r="K132"/>
          <cell r="L132"/>
          <cell r="M132"/>
          <cell r="N132"/>
          <cell r="O132"/>
          <cell r="P132"/>
          <cell r="Q132"/>
          <cell r="R132"/>
          <cell r="S132"/>
          <cell r="T132"/>
          <cell r="U132"/>
          <cell r="V132"/>
          <cell r="W132"/>
          <cell r="X132"/>
          <cell r="Y132"/>
          <cell r="Z132"/>
          <cell r="AA132"/>
          <cell r="AB132"/>
          <cell r="AC132"/>
          <cell r="AD132"/>
          <cell r="AE132"/>
        </row>
        <row r="133">
          <cell r="G133"/>
          <cell r="H133"/>
          <cell r="I133"/>
          <cell r="J133"/>
          <cell r="K133"/>
          <cell r="L133"/>
          <cell r="M133"/>
          <cell r="N133"/>
          <cell r="O133"/>
          <cell r="P133"/>
          <cell r="Q133"/>
          <cell r="R133"/>
          <cell r="S133"/>
          <cell r="T133"/>
          <cell r="U133"/>
          <cell r="V133"/>
          <cell r="W133"/>
          <cell r="X133"/>
          <cell r="Y133"/>
          <cell r="Z133"/>
          <cell r="AA133"/>
          <cell r="AB133"/>
          <cell r="AC133"/>
          <cell r="AD133"/>
          <cell r="AE133"/>
        </row>
        <row r="134">
          <cell r="G134"/>
          <cell r="H134"/>
          <cell r="I134"/>
          <cell r="J134"/>
          <cell r="K134"/>
          <cell r="L134"/>
          <cell r="M134"/>
          <cell r="N134"/>
          <cell r="O134"/>
          <cell r="P134"/>
          <cell r="Q134"/>
          <cell r="R134"/>
          <cell r="S134"/>
          <cell r="T134"/>
          <cell r="U134"/>
          <cell r="V134"/>
          <cell r="W134"/>
          <cell r="X134"/>
          <cell r="Y134"/>
          <cell r="Z134"/>
          <cell r="AA134"/>
          <cell r="AB134"/>
          <cell r="AC134"/>
          <cell r="AD134"/>
          <cell r="AE134"/>
        </row>
        <row r="135">
          <cell r="G135"/>
          <cell r="H135"/>
          <cell r="I135"/>
          <cell r="J135"/>
          <cell r="K135"/>
          <cell r="L135"/>
          <cell r="M135"/>
          <cell r="N135"/>
          <cell r="O135"/>
          <cell r="P135"/>
          <cell r="Q135"/>
          <cell r="R135"/>
          <cell r="S135"/>
          <cell r="T135"/>
          <cell r="U135"/>
          <cell r="V135"/>
          <cell r="W135"/>
          <cell r="X135"/>
          <cell r="Y135"/>
          <cell r="Z135"/>
          <cell r="AA135"/>
          <cell r="AB135"/>
          <cell r="AC135"/>
          <cell r="AD135"/>
          <cell r="AE135"/>
        </row>
        <row r="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row>
        <row r="137">
          <cell r="G137"/>
          <cell r="H137"/>
          <cell r="I137"/>
          <cell r="J137"/>
          <cell r="K137"/>
          <cell r="L137"/>
          <cell r="M137"/>
          <cell r="N137"/>
          <cell r="O137"/>
          <cell r="P137"/>
          <cell r="Q137"/>
          <cell r="R137"/>
          <cell r="S137"/>
          <cell r="T137"/>
          <cell r="U137"/>
          <cell r="V137"/>
          <cell r="W137"/>
          <cell r="X137"/>
          <cell r="Y137"/>
          <cell r="Z137"/>
          <cell r="AA137"/>
          <cell r="AB137"/>
          <cell r="AC137"/>
          <cell r="AD137"/>
          <cell r="AE137"/>
        </row>
        <row r="138">
          <cell r="G138"/>
          <cell r="H138"/>
          <cell r="I138"/>
          <cell r="J138"/>
          <cell r="K138"/>
          <cell r="L138"/>
          <cell r="M138"/>
          <cell r="N138"/>
          <cell r="O138"/>
          <cell r="P138"/>
          <cell r="Q138"/>
          <cell r="R138"/>
          <cell r="S138"/>
          <cell r="T138"/>
          <cell r="U138"/>
          <cell r="V138"/>
          <cell r="W138"/>
          <cell r="X138"/>
          <cell r="Y138"/>
          <cell r="Z138"/>
          <cell r="AA138"/>
          <cell r="AB138"/>
          <cell r="AC138"/>
          <cell r="AD138"/>
          <cell r="AE138"/>
        </row>
        <row r="139">
          <cell r="G139"/>
          <cell r="H139"/>
          <cell r="I139"/>
          <cell r="J139"/>
          <cell r="K139"/>
          <cell r="L139"/>
          <cell r="M139"/>
          <cell r="N139"/>
          <cell r="O139"/>
          <cell r="P139"/>
          <cell r="Q139"/>
          <cell r="R139"/>
          <cell r="S139"/>
          <cell r="T139"/>
          <cell r="U139"/>
          <cell r="V139"/>
          <cell r="W139"/>
          <cell r="X139"/>
          <cell r="Y139"/>
          <cell r="Z139"/>
          <cell r="AA139"/>
          <cell r="AB139"/>
          <cell r="AC139"/>
          <cell r="AD139"/>
          <cell r="AE139"/>
        </row>
        <row r="140">
          <cell r="G140"/>
          <cell r="H140"/>
          <cell r="I140"/>
          <cell r="J140"/>
          <cell r="K140"/>
          <cell r="L140"/>
          <cell r="M140"/>
          <cell r="N140"/>
          <cell r="O140"/>
          <cell r="P140"/>
          <cell r="Q140"/>
          <cell r="R140"/>
          <cell r="S140"/>
          <cell r="T140"/>
          <cell r="U140"/>
          <cell r="V140"/>
          <cell r="W140"/>
          <cell r="X140"/>
          <cell r="Y140"/>
          <cell r="Z140"/>
          <cell r="AA140"/>
          <cell r="AB140"/>
          <cell r="AC140"/>
          <cell r="AD140"/>
          <cell r="AE140"/>
        </row>
        <row r="141">
          <cell r="G141"/>
          <cell r="H141"/>
          <cell r="I141"/>
          <cell r="J141"/>
          <cell r="K141"/>
          <cell r="L141"/>
          <cell r="M141"/>
          <cell r="N141"/>
          <cell r="O141"/>
          <cell r="P141"/>
          <cell r="Q141"/>
          <cell r="R141"/>
          <cell r="S141"/>
          <cell r="T141"/>
          <cell r="U141"/>
          <cell r="V141"/>
          <cell r="W141"/>
          <cell r="X141"/>
          <cell r="Y141"/>
          <cell r="Z141"/>
          <cell r="AA141"/>
          <cell r="AB141"/>
          <cell r="AC141"/>
          <cell r="AD141"/>
          <cell r="AE141"/>
        </row>
        <row r="142">
          <cell r="G142"/>
          <cell r="H142"/>
          <cell r="I142"/>
          <cell r="J142"/>
          <cell r="K142"/>
          <cell r="L142"/>
          <cell r="M142"/>
          <cell r="N142"/>
          <cell r="O142"/>
          <cell r="P142"/>
          <cell r="Q142"/>
          <cell r="R142"/>
          <cell r="S142"/>
          <cell r="T142"/>
          <cell r="U142"/>
          <cell r="V142"/>
          <cell r="W142"/>
          <cell r="X142"/>
          <cell r="Y142"/>
          <cell r="Z142"/>
          <cell r="AA142"/>
          <cell r="AB142"/>
          <cell r="AC142"/>
          <cell r="AD142"/>
          <cell r="AE142"/>
        </row>
        <row r="143">
          <cell r="G143"/>
          <cell r="H143"/>
          <cell r="I143"/>
          <cell r="J143"/>
          <cell r="K143"/>
          <cell r="L143"/>
          <cell r="M143"/>
          <cell r="N143"/>
          <cell r="O143"/>
          <cell r="P143"/>
          <cell r="Q143"/>
          <cell r="R143"/>
          <cell r="S143"/>
          <cell r="T143"/>
          <cell r="U143"/>
          <cell r="V143"/>
          <cell r="W143"/>
          <cell r="X143"/>
          <cell r="Y143"/>
          <cell r="Z143"/>
          <cell r="AA143"/>
          <cell r="AB143"/>
          <cell r="AC143"/>
          <cell r="AD143"/>
          <cell r="AE143"/>
        </row>
        <row r="144">
          <cell r="G144"/>
          <cell r="H144"/>
          <cell r="I144"/>
          <cell r="J144"/>
          <cell r="K144"/>
          <cell r="L144"/>
          <cell r="M144"/>
          <cell r="N144"/>
          <cell r="O144"/>
          <cell r="P144"/>
          <cell r="Q144"/>
          <cell r="R144"/>
          <cell r="S144"/>
          <cell r="T144"/>
          <cell r="U144"/>
          <cell r="V144"/>
          <cell r="W144"/>
          <cell r="X144"/>
          <cell r="Y144"/>
          <cell r="Z144"/>
          <cell r="AA144"/>
          <cell r="AB144"/>
          <cell r="AC144"/>
          <cell r="AD144"/>
          <cell r="AE144"/>
        </row>
        <row r="145">
          <cell r="G145"/>
          <cell r="H145"/>
          <cell r="I145"/>
          <cell r="J145"/>
          <cell r="K145"/>
          <cell r="L145"/>
          <cell r="M145"/>
          <cell r="N145"/>
          <cell r="O145"/>
          <cell r="P145"/>
          <cell r="Q145"/>
          <cell r="R145"/>
          <cell r="S145"/>
          <cell r="T145"/>
          <cell r="U145"/>
          <cell r="V145"/>
          <cell r="W145"/>
          <cell r="X145"/>
          <cell r="Y145"/>
          <cell r="Z145"/>
          <cell r="AA145"/>
          <cell r="AB145"/>
          <cell r="AC145"/>
          <cell r="AD145"/>
          <cell r="AE145"/>
        </row>
        <row r="146">
          <cell r="G146"/>
          <cell r="H146"/>
          <cell r="I146"/>
          <cell r="J146"/>
          <cell r="K146"/>
          <cell r="L146"/>
          <cell r="M146"/>
          <cell r="N146"/>
          <cell r="O146"/>
          <cell r="P146"/>
          <cell r="Q146"/>
          <cell r="R146"/>
          <cell r="S146"/>
          <cell r="T146"/>
          <cell r="U146"/>
          <cell r="V146"/>
          <cell r="W146"/>
          <cell r="X146"/>
          <cell r="Y146"/>
          <cell r="Z146"/>
          <cell r="AA146"/>
          <cell r="AB146"/>
          <cell r="AC146"/>
          <cell r="AD146"/>
          <cell r="AE146"/>
        </row>
        <row r="147">
          <cell r="G147"/>
          <cell r="H147"/>
          <cell r="I147"/>
          <cell r="J147"/>
          <cell r="K147"/>
          <cell r="L147"/>
          <cell r="M147"/>
          <cell r="N147"/>
          <cell r="O147"/>
          <cell r="P147"/>
          <cell r="Q147"/>
          <cell r="R147"/>
          <cell r="S147"/>
          <cell r="T147"/>
          <cell r="U147"/>
          <cell r="V147"/>
          <cell r="W147"/>
          <cell r="X147"/>
          <cell r="Y147"/>
          <cell r="Z147"/>
          <cell r="AA147"/>
          <cell r="AB147"/>
          <cell r="AC147"/>
          <cell r="AD147"/>
          <cell r="AE147"/>
        </row>
        <row r="148">
          <cell r="G148"/>
          <cell r="H148"/>
          <cell r="I148"/>
          <cell r="J148"/>
          <cell r="K148"/>
          <cell r="L148"/>
          <cell r="M148"/>
          <cell r="N148"/>
          <cell r="O148"/>
          <cell r="P148"/>
          <cell r="Q148"/>
          <cell r="R148"/>
          <cell r="S148"/>
          <cell r="T148"/>
          <cell r="U148"/>
          <cell r="V148"/>
          <cell r="W148"/>
          <cell r="X148"/>
          <cell r="Y148"/>
          <cell r="Z148"/>
          <cell r="AA148"/>
          <cell r="AB148"/>
          <cell r="AC148"/>
          <cell r="AD148"/>
          <cell r="AE148"/>
        </row>
        <row r="149">
          <cell r="G149"/>
          <cell r="H149"/>
          <cell r="I149"/>
          <cell r="J149"/>
          <cell r="K149"/>
          <cell r="L149"/>
          <cell r="M149"/>
          <cell r="N149"/>
          <cell r="O149"/>
          <cell r="P149"/>
          <cell r="Q149"/>
          <cell r="R149"/>
          <cell r="S149"/>
          <cell r="T149"/>
          <cell r="U149"/>
          <cell r="V149"/>
          <cell r="W149"/>
          <cell r="X149"/>
          <cell r="Y149"/>
          <cell r="Z149"/>
          <cell r="AA149"/>
          <cell r="AB149"/>
          <cell r="AC149"/>
          <cell r="AD149"/>
          <cell r="AE149"/>
        </row>
        <row r="150">
          <cell r="G150"/>
          <cell r="H150"/>
          <cell r="I150"/>
          <cell r="J150"/>
          <cell r="K150"/>
          <cell r="L150"/>
          <cell r="M150"/>
          <cell r="N150"/>
          <cell r="O150"/>
          <cell r="P150"/>
          <cell r="Q150"/>
          <cell r="R150"/>
          <cell r="S150"/>
          <cell r="T150"/>
          <cell r="U150"/>
          <cell r="V150"/>
          <cell r="W150"/>
          <cell r="X150"/>
          <cell r="Y150"/>
          <cell r="Z150"/>
          <cell r="AA150"/>
          <cell r="AB150"/>
          <cell r="AC150"/>
          <cell r="AD150"/>
          <cell r="AE150"/>
        </row>
        <row r="151">
          <cell r="G151"/>
          <cell r="H151"/>
          <cell r="I151"/>
          <cell r="J151"/>
          <cell r="K151"/>
          <cell r="L151"/>
          <cell r="M151"/>
          <cell r="N151"/>
          <cell r="O151"/>
          <cell r="P151"/>
          <cell r="Q151"/>
          <cell r="R151"/>
          <cell r="S151"/>
          <cell r="T151"/>
          <cell r="U151"/>
          <cell r="V151"/>
          <cell r="W151"/>
          <cell r="X151"/>
          <cell r="Y151"/>
          <cell r="Z151"/>
          <cell r="AA151"/>
          <cell r="AB151"/>
          <cell r="AC151"/>
          <cell r="AD151"/>
          <cell r="AE151"/>
        </row>
        <row r="152">
          <cell r="G152"/>
          <cell r="H152"/>
          <cell r="I152"/>
          <cell r="J152"/>
          <cell r="K152"/>
          <cell r="L152"/>
          <cell r="M152"/>
          <cell r="N152"/>
          <cell r="O152"/>
          <cell r="P152"/>
          <cell r="Q152"/>
          <cell r="R152"/>
          <cell r="S152"/>
          <cell r="T152"/>
          <cell r="U152"/>
          <cell r="V152"/>
          <cell r="W152"/>
          <cell r="X152"/>
          <cell r="Y152"/>
          <cell r="Z152"/>
          <cell r="AA152"/>
          <cell r="AB152"/>
          <cell r="AC152"/>
          <cell r="AD152"/>
          <cell r="AE152"/>
        </row>
        <row r="153">
          <cell r="G153"/>
          <cell r="H153"/>
          <cell r="I153"/>
          <cell r="J153"/>
          <cell r="K153"/>
          <cell r="L153"/>
          <cell r="M153"/>
          <cell r="N153"/>
          <cell r="O153"/>
          <cell r="P153"/>
          <cell r="Q153"/>
          <cell r="R153"/>
          <cell r="S153"/>
          <cell r="T153"/>
          <cell r="U153"/>
          <cell r="V153"/>
          <cell r="W153"/>
          <cell r="X153"/>
          <cell r="Y153"/>
          <cell r="Z153"/>
          <cell r="AA153"/>
          <cell r="AB153"/>
          <cell r="AC153"/>
          <cell r="AD153"/>
          <cell r="AE153"/>
        </row>
        <row r="154">
          <cell r="G154"/>
          <cell r="H154"/>
          <cell r="I154"/>
          <cell r="J154"/>
          <cell r="K154"/>
          <cell r="L154"/>
          <cell r="M154"/>
          <cell r="N154"/>
          <cell r="O154"/>
          <cell r="P154"/>
          <cell r="Q154"/>
          <cell r="R154"/>
          <cell r="S154"/>
          <cell r="T154"/>
          <cell r="U154"/>
          <cell r="V154"/>
          <cell r="W154"/>
          <cell r="X154"/>
          <cell r="Y154"/>
          <cell r="Z154"/>
          <cell r="AA154"/>
          <cell r="AB154"/>
          <cell r="AC154"/>
          <cell r="AD154"/>
          <cell r="AE154"/>
        </row>
        <row r="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row>
        <row r="156">
          <cell r="G156"/>
          <cell r="H156"/>
          <cell r="I156"/>
          <cell r="J156"/>
          <cell r="K156"/>
          <cell r="L156"/>
          <cell r="M156"/>
          <cell r="N156"/>
          <cell r="O156"/>
          <cell r="P156"/>
          <cell r="Q156"/>
          <cell r="R156"/>
          <cell r="S156"/>
          <cell r="T156"/>
          <cell r="U156"/>
          <cell r="V156"/>
          <cell r="W156"/>
          <cell r="X156"/>
          <cell r="Y156"/>
          <cell r="Z156"/>
          <cell r="AA156"/>
          <cell r="AB156"/>
          <cell r="AC156"/>
          <cell r="AD156"/>
          <cell r="AE156"/>
        </row>
        <row r="157">
          <cell r="G157"/>
          <cell r="H157"/>
          <cell r="I157"/>
          <cell r="J157"/>
          <cell r="K157"/>
          <cell r="L157"/>
          <cell r="M157"/>
          <cell r="N157"/>
          <cell r="O157"/>
          <cell r="P157"/>
          <cell r="Q157"/>
          <cell r="R157"/>
          <cell r="S157"/>
          <cell r="T157"/>
          <cell r="U157"/>
          <cell r="V157"/>
          <cell r="W157"/>
          <cell r="X157"/>
          <cell r="Y157"/>
          <cell r="Z157"/>
          <cell r="AA157"/>
          <cell r="AB157"/>
          <cell r="AC157"/>
          <cell r="AD157"/>
          <cell r="AE157"/>
        </row>
        <row r="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row>
        <row r="159">
          <cell r="G159"/>
          <cell r="H159"/>
          <cell r="I159"/>
          <cell r="J159"/>
          <cell r="K159"/>
          <cell r="L159"/>
          <cell r="M159"/>
          <cell r="N159"/>
          <cell r="O159"/>
          <cell r="P159"/>
          <cell r="Q159"/>
          <cell r="R159"/>
          <cell r="S159"/>
          <cell r="T159"/>
          <cell r="U159"/>
          <cell r="V159"/>
          <cell r="W159"/>
          <cell r="X159"/>
          <cell r="Y159"/>
          <cell r="Z159"/>
          <cell r="AA159"/>
          <cell r="AB159"/>
          <cell r="AC159"/>
          <cell r="AD159"/>
          <cell r="AE159"/>
        </row>
        <row r="160">
          <cell r="G160"/>
          <cell r="H160"/>
          <cell r="I160"/>
          <cell r="J160"/>
          <cell r="K160"/>
          <cell r="L160"/>
          <cell r="M160"/>
          <cell r="N160"/>
          <cell r="O160"/>
          <cell r="P160"/>
          <cell r="Q160"/>
          <cell r="R160"/>
          <cell r="S160"/>
          <cell r="T160"/>
          <cell r="U160"/>
          <cell r="V160"/>
          <cell r="W160"/>
          <cell r="X160"/>
          <cell r="Y160"/>
          <cell r="Z160"/>
          <cell r="AA160"/>
          <cell r="AB160"/>
          <cell r="AC160"/>
          <cell r="AD160"/>
          <cell r="AE160"/>
        </row>
        <row r="161">
          <cell r="G161"/>
          <cell r="H161"/>
          <cell r="I161"/>
          <cell r="J161"/>
          <cell r="K161"/>
          <cell r="L161"/>
          <cell r="M161"/>
          <cell r="N161"/>
          <cell r="O161"/>
          <cell r="P161"/>
          <cell r="Q161"/>
          <cell r="R161"/>
          <cell r="S161"/>
          <cell r="T161"/>
          <cell r="U161"/>
          <cell r="V161"/>
          <cell r="W161"/>
          <cell r="X161"/>
          <cell r="Y161"/>
          <cell r="Z161"/>
          <cell r="AA161"/>
          <cell r="AB161"/>
          <cell r="AC161"/>
          <cell r="AD161"/>
          <cell r="AE161"/>
        </row>
        <row r="162">
          <cell r="G162"/>
          <cell r="H162"/>
          <cell r="I162"/>
          <cell r="J162"/>
          <cell r="K162"/>
          <cell r="L162"/>
          <cell r="M162"/>
          <cell r="N162"/>
          <cell r="O162"/>
          <cell r="P162"/>
          <cell r="Q162"/>
          <cell r="R162"/>
          <cell r="S162"/>
          <cell r="T162"/>
          <cell r="U162"/>
          <cell r="V162"/>
          <cell r="W162"/>
          <cell r="X162"/>
          <cell r="Y162"/>
          <cell r="Z162"/>
          <cell r="AA162"/>
          <cell r="AB162"/>
          <cell r="AC162"/>
          <cell r="AD162"/>
          <cell r="AE162"/>
        </row>
        <row r="163">
          <cell r="G163"/>
          <cell r="H163"/>
          <cell r="I163"/>
          <cell r="J163"/>
          <cell r="K163"/>
          <cell r="L163"/>
          <cell r="M163"/>
          <cell r="N163"/>
          <cell r="O163"/>
          <cell r="P163"/>
          <cell r="Q163"/>
          <cell r="R163"/>
          <cell r="S163"/>
          <cell r="T163"/>
          <cell r="U163"/>
          <cell r="V163"/>
          <cell r="W163"/>
          <cell r="X163"/>
          <cell r="Y163"/>
          <cell r="Z163"/>
          <cell r="AA163"/>
          <cell r="AB163"/>
          <cell r="AC163"/>
          <cell r="AD163"/>
          <cell r="AE163"/>
        </row>
        <row r="164">
          <cell r="G164"/>
          <cell r="H164"/>
          <cell r="I164"/>
          <cell r="J164"/>
          <cell r="K164"/>
          <cell r="L164"/>
          <cell r="M164"/>
          <cell r="N164"/>
          <cell r="O164"/>
          <cell r="P164"/>
          <cell r="Q164"/>
          <cell r="R164"/>
          <cell r="S164"/>
          <cell r="T164"/>
          <cell r="U164"/>
          <cell r="V164"/>
          <cell r="W164"/>
          <cell r="X164"/>
          <cell r="Y164"/>
          <cell r="Z164"/>
          <cell r="AA164"/>
          <cell r="AB164"/>
          <cell r="AC164"/>
          <cell r="AD164"/>
          <cell r="AE164"/>
        </row>
        <row r="165">
          <cell r="G165"/>
          <cell r="H165"/>
          <cell r="I165"/>
          <cell r="J165"/>
          <cell r="K165"/>
          <cell r="L165"/>
          <cell r="M165"/>
          <cell r="N165"/>
          <cell r="O165"/>
          <cell r="P165"/>
          <cell r="Q165"/>
          <cell r="R165"/>
          <cell r="S165"/>
          <cell r="T165"/>
          <cell r="U165"/>
          <cell r="V165"/>
          <cell r="W165"/>
          <cell r="X165"/>
          <cell r="Y165"/>
          <cell r="Z165"/>
          <cell r="AA165"/>
          <cell r="AB165"/>
          <cell r="AC165"/>
          <cell r="AD165"/>
          <cell r="AE165"/>
        </row>
        <row r="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row>
        <row r="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row>
        <row r="168">
          <cell r="G168"/>
          <cell r="H168"/>
          <cell r="I168"/>
          <cell r="J168"/>
          <cell r="K168"/>
          <cell r="L168"/>
          <cell r="M168"/>
          <cell r="N168"/>
          <cell r="O168"/>
          <cell r="P168"/>
          <cell r="Q168"/>
          <cell r="R168"/>
          <cell r="S168"/>
          <cell r="T168"/>
          <cell r="U168"/>
          <cell r="V168"/>
          <cell r="W168"/>
          <cell r="X168"/>
          <cell r="Y168"/>
          <cell r="Z168"/>
          <cell r="AA168"/>
          <cell r="AB168"/>
          <cell r="AC168"/>
          <cell r="AD168"/>
          <cell r="AE168"/>
        </row>
        <row r="169">
          <cell r="G169"/>
          <cell r="H169"/>
          <cell r="I169"/>
          <cell r="J169"/>
          <cell r="K169"/>
          <cell r="L169"/>
          <cell r="M169"/>
          <cell r="N169"/>
          <cell r="O169"/>
          <cell r="P169"/>
          <cell r="Q169"/>
          <cell r="R169"/>
          <cell r="S169"/>
          <cell r="T169"/>
          <cell r="U169"/>
          <cell r="V169"/>
          <cell r="W169"/>
          <cell r="X169"/>
          <cell r="Y169"/>
          <cell r="Z169"/>
          <cell r="AA169"/>
          <cell r="AB169"/>
          <cell r="AC169"/>
          <cell r="AD169"/>
          <cell r="AE169"/>
        </row>
        <row r="170">
          <cell r="G170"/>
          <cell r="H170"/>
          <cell r="I170"/>
          <cell r="J170"/>
          <cell r="K170"/>
          <cell r="L170"/>
          <cell r="M170"/>
          <cell r="N170"/>
          <cell r="O170"/>
          <cell r="P170"/>
          <cell r="Q170"/>
          <cell r="R170"/>
          <cell r="S170"/>
          <cell r="T170"/>
          <cell r="U170"/>
          <cell r="V170"/>
          <cell r="W170"/>
          <cell r="X170"/>
          <cell r="Y170"/>
          <cell r="Z170"/>
          <cell r="AA170"/>
          <cell r="AB170"/>
          <cell r="AC170"/>
          <cell r="AD170"/>
          <cell r="AE170"/>
        </row>
        <row r="171">
          <cell r="G171"/>
          <cell r="H171"/>
          <cell r="I171"/>
          <cell r="J171"/>
          <cell r="K171"/>
          <cell r="L171"/>
          <cell r="M171"/>
          <cell r="N171"/>
          <cell r="O171"/>
          <cell r="P171"/>
          <cell r="Q171"/>
          <cell r="R171"/>
          <cell r="S171"/>
          <cell r="T171"/>
          <cell r="U171"/>
          <cell r="V171"/>
          <cell r="W171"/>
          <cell r="X171"/>
          <cell r="Y171"/>
          <cell r="Z171"/>
          <cell r="AA171"/>
          <cell r="AB171"/>
          <cell r="AC171"/>
          <cell r="AD171"/>
          <cell r="AE171"/>
        </row>
        <row r="172">
          <cell r="G172"/>
          <cell r="H172"/>
          <cell r="I172"/>
          <cell r="J172"/>
          <cell r="K172"/>
          <cell r="L172"/>
          <cell r="M172"/>
          <cell r="N172"/>
          <cell r="O172"/>
          <cell r="P172"/>
          <cell r="Q172"/>
          <cell r="R172"/>
          <cell r="S172"/>
          <cell r="T172"/>
          <cell r="U172"/>
          <cell r="V172"/>
          <cell r="W172"/>
          <cell r="X172"/>
          <cell r="Y172"/>
          <cell r="Z172"/>
          <cell r="AA172"/>
          <cell r="AB172"/>
          <cell r="AC172"/>
          <cell r="AD172"/>
          <cell r="AE172"/>
        </row>
        <row r="173">
          <cell r="G173"/>
          <cell r="H173"/>
          <cell r="I173"/>
          <cell r="J173"/>
          <cell r="K173"/>
          <cell r="L173"/>
          <cell r="M173"/>
          <cell r="N173"/>
          <cell r="O173"/>
          <cell r="P173"/>
          <cell r="Q173"/>
          <cell r="R173"/>
          <cell r="S173"/>
          <cell r="T173"/>
          <cell r="U173"/>
          <cell r="V173"/>
          <cell r="W173"/>
          <cell r="X173"/>
          <cell r="Y173"/>
          <cell r="Z173"/>
          <cell r="AA173"/>
          <cell r="AB173"/>
          <cell r="AC173"/>
          <cell r="AD173"/>
          <cell r="AE173"/>
        </row>
        <row r="174">
          <cell r="G174"/>
          <cell r="H174"/>
          <cell r="I174"/>
          <cell r="J174"/>
          <cell r="K174"/>
          <cell r="L174"/>
          <cell r="M174"/>
          <cell r="N174"/>
          <cell r="O174"/>
          <cell r="P174"/>
          <cell r="Q174"/>
          <cell r="R174"/>
          <cell r="S174"/>
          <cell r="T174"/>
          <cell r="U174"/>
          <cell r="V174"/>
          <cell r="W174"/>
          <cell r="X174"/>
          <cell r="Y174"/>
          <cell r="Z174"/>
          <cell r="AA174"/>
          <cell r="AB174"/>
          <cell r="AC174"/>
          <cell r="AD174"/>
          <cell r="AE174"/>
        </row>
        <row r="175">
          <cell r="G175"/>
          <cell r="H175"/>
          <cell r="I175"/>
          <cell r="J175"/>
          <cell r="K175"/>
          <cell r="L175"/>
          <cell r="M175"/>
          <cell r="N175"/>
          <cell r="O175"/>
          <cell r="P175"/>
          <cell r="Q175"/>
          <cell r="R175"/>
          <cell r="S175"/>
          <cell r="T175"/>
          <cell r="U175"/>
          <cell r="V175"/>
          <cell r="W175"/>
          <cell r="X175"/>
          <cell r="Y175"/>
          <cell r="Z175"/>
          <cell r="AA175"/>
          <cell r="AB175"/>
          <cell r="AC175"/>
          <cell r="AD175"/>
          <cell r="AE175"/>
        </row>
        <row r="176">
          <cell r="G176"/>
          <cell r="H176"/>
          <cell r="I176"/>
          <cell r="J176"/>
          <cell r="K176"/>
          <cell r="L176"/>
          <cell r="M176"/>
          <cell r="N176"/>
          <cell r="O176"/>
          <cell r="P176"/>
          <cell r="Q176"/>
          <cell r="R176"/>
          <cell r="S176"/>
          <cell r="T176"/>
          <cell r="U176"/>
          <cell r="V176"/>
          <cell r="W176"/>
          <cell r="X176"/>
          <cell r="Y176"/>
          <cell r="Z176"/>
          <cell r="AA176"/>
          <cell r="AB176"/>
          <cell r="AC176"/>
          <cell r="AD176"/>
          <cell r="AE176"/>
        </row>
        <row r="177">
          <cell r="G177"/>
          <cell r="H177"/>
          <cell r="I177"/>
          <cell r="J177"/>
          <cell r="K177"/>
          <cell r="L177"/>
          <cell r="M177"/>
          <cell r="N177"/>
          <cell r="O177"/>
          <cell r="P177"/>
          <cell r="Q177"/>
          <cell r="R177"/>
          <cell r="S177"/>
          <cell r="T177"/>
          <cell r="U177"/>
          <cell r="V177"/>
          <cell r="W177"/>
          <cell r="X177"/>
          <cell r="Y177"/>
          <cell r="Z177"/>
          <cell r="AA177"/>
          <cell r="AB177"/>
          <cell r="AC177"/>
          <cell r="AD177"/>
          <cell r="AE177"/>
        </row>
        <row r="178">
          <cell r="G178"/>
          <cell r="H178"/>
          <cell r="I178"/>
          <cell r="J178"/>
          <cell r="K178"/>
          <cell r="L178"/>
          <cell r="M178"/>
          <cell r="N178"/>
          <cell r="O178"/>
          <cell r="P178"/>
          <cell r="Q178"/>
          <cell r="R178"/>
          <cell r="S178"/>
          <cell r="T178"/>
          <cell r="U178"/>
          <cell r="V178"/>
          <cell r="W178"/>
          <cell r="X178"/>
          <cell r="Y178"/>
          <cell r="Z178"/>
          <cell r="AA178"/>
          <cell r="AB178"/>
          <cell r="AC178"/>
          <cell r="AD178"/>
          <cell r="AE178"/>
        </row>
        <row r="179">
          <cell r="G179"/>
          <cell r="H179"/>
          <cell r="I179"/>
          <cell r="J179"/>
          <cell r="K179"/>
          <cell r="L179"/>
          <cell r="M179"/>
          <cell r="N179"/>
          <cell r="O179"/>
          <cell r="P179"/>
          <cell r="Q179"/>
          <cell r="R179"/>
          <cell r="S179"/>
          <cell r="T179"/>
          <cell r="U179"/>
          <cell r="V179"/>
          <cell r="W179"/>
          <cell r="X179"/>
          <cell r="Y179"/>
          <cell r="Z179"/>
          <cell r="AA179"/>
          <cell r="AB179"/>
          <cell r="AC179"/>
          <cell r="AD179"/>
          <cell r="AE179"/>
        </row>
        <row r="180">
          <cell r="G180"/>
          <cell r="H180"/>
          <cell r="I180"/>
          <cell r="J180"/>
          <cell r="K180"/>
          <cell r="L180"/>
          <cell r="M180"/>
          <cell r="N180"/>
          <cell r="O180"/>
          <cell r="P180"/>
          <cell r="Q180"/>
          <cell r="R180"/>
          <cell r="S180"/>
          <cell r="T180"/>
          <cell r="U180"/>
          <cell r="V180"/>
          <cell r="W180"/>
          <cell r="X180"/>
          <cell r="Y180"/>
          <cell r="Z180"/>
          <cell r="AA180"/>
          <cell r="AB180"/>
          <cell r="AC180"/>
          <cell r="AD180"/>
          <cell r="AE180"/>
        </row>
        <row r="181">
          <cell r="G181"/>
          <cell r="H181"/>
          <cell r="I181"/>
          <cell r="J181"/>
          <cell r="K181"/>
          <cell r="L181"/>
          <cell r="M181"/>
          <cell r="N181"/>
          <cell r="O181"/>
          <cell r="P181"/>
          <cell r="Q181"/>
          <cell r="R181"/>
          <cell r="S181"/>
          <cell r="T181"/>
          <cell r="U181"/>
          <cell r="V181"/>
          <cell r="W181"/>
          <cell r="X181"/>
          <cell r="Y181"/>
          <cell r="Z181"/>
          <cell r="AA181"/>
          <cell r="AB181"/>
          <cell r="AC181"/>
          <cell r="AD181"/>
          <cell r="AE181"/>
        </row>
        <row r="182">
          <cell r="G182"/>
          <cell r="H182"/>
          <cell r="I182"/>
          <cell r="J182"/>
          <cell r="K182"/>
          <cell r="L182"/>
          <cell r="M182"/>
          <cell r="N182"/>
          <cell r="O182"/>
          <cell r="P182"/>
          <cell r="Q182"/>
          <cell r="R182"/>
          <cell r="S182"/>
          <cell r="T182"/>
          <cell r="U182"/>
          <cell r="V182"/>
          <cell r="W182"/>
          <cell r="X182"/>
          <cell r="Y182"/>
          <cell r="Z182"/>
          <cell r="AA182"/>
          <cell r="AB182"/>
          <cell r="AC182"/>
          <cell r="AD182"/>
          <cell r="AE182"/>
        </row>
        <row r="183">
          <cell r="G183"/>
          <cell r="H183"/>
          <cell r="I183"/>
          <cell r="J183"/>
          <cell r="K183"/>
          <cell r="L183"/>
          <cell r="M183"/>
          <cell r="N183"/>
          <cell r="O183"/>
          <cell r="P183"/>
          <cell r="Q183"/>
          <cell r="R183"/>
          <cell r="S183"/>
          <cell r="T183"/>
          <cell r="U183"/>
          <cell r="V183"/>
          <cell r="W183"/>
          <cell r="X183"/>
          <cell r="Y183"/>
          <cell r="Z183"/>
          <cell r="AA183"/>
          <cell r="AB183"/>
          <cell r="AC183"/>
          <cell r="AD183"/>
          <cell r="AE183"/>
        </row>
        <row r="184">
          <cell r="G184"/>
          <cell r="H184"/>
          <cell r="I184"/>
          <cell r="J184"/>
          <cell r="K184"/>
          <cell r="L184"/>
          <cell r="M184"/>
          <cell r="N184"/>
          <cell r="O184"/>
          <cell r="P184"/>
          <cell r="Q184"/>
          <cell r="R184"/>
          <cell r="S184"/>
          <cell r="T184"/>
          <cell r="U184"/>
          <cell r="V184"/>
          <cell r="W184"/>
          <cell r="X184"/>
          <cell r="Y184"/>
          <cell r="Z184"/>
          <cell r="AA184"/>
          <cell r="AB184"/>
          <cell r="AC184"/>
          <cell r="AD184"/>
          <cell r="AE184"/>
        </row>
        <row r="185">
          <cell r="G185"/>
          <cell r="H185"/>
          <cell r="I185"/>
          <cell r="J185"/>
          <cell r="K185"/>
          <cell r="L185"/>
          <cell r="M185"/>
          <cell r="N185"/>
          <cell r="O185"/>
          <cell r="P185"/>
          <cell r="Q185"/>
          <cell r="R185"/>
          <cell r="S185"/>
          <cell r="T185"/>
          <cell r="U185"/>
          <cell r="V185"/>
          <cell r="W185"/>
          <cell r="X185"/>
          <cell r="Y185"/>
          <cell r="Z185"/>
          <cell r="AA185"/>
          <cell r="AB185"/>
          <cell r="AC185"/>
          <cell r="AD185"/>
          <cell r="AE185"/>
        </row>
        <row r="186">
          <cell r="G186"/>
          <cell r="H186"/>
          <cell r="I186"/>
          <cell r="J186"/>
          <cell r="K186"/>
          <cell r="L186"/>
          <cell r="M186"/>
          <cell r="N186"/>
          <cell r="O186"/>
          <cell r="P186"/>
          <cell r="Q186"/>
          <cell r="R186"/>
          <cell r="S186"/>
          <cell r="T186"/>
          <cell r="U186"/>
          <cell r="V186"/>
          <cell r="W186"/>
          <cell r="X186"/>
          <cell r="Y186"/>
          <cell r="Z186"/>
          <cell r="AA186"/>
          <cell r="AB186"/>
          <cell r="AC186"/>
          <cell r="AD186"/>
          <cell r="AE186"/>
        </row>
        <row r="187">
          <cell r="G187"/>
          <cell r="H187"/>
          <cell r="I187"/>
          <cell r="J187"/>
          <cell r="K187"/>
          <cell r="L187"/>
          <cell r="M187"/>
          <cell r="N187"/>
          <cell r="O187"/>
          <cell r="P187"/>
          <cell r="Q187"/>
          <cell r="R187"/>
          <cell r="S187"/>
          <cell r="T187"/>
          <cell r="U187"/>
          <cell r="V187"/>
          <cell r="W187"/>
          <cell r="X187"/>
          <cell r="Y187"/>
          <cell r="Z187"/>
          <cell r="AA187"/>
          <cell r="AB187"/>
          <cell r="AC187"/>
          <cell r="AD187"/>
          <cell r="AE187"/>
        </row>
        <row r="188">
          <cell r="G188"/>
          <cell r="H188"/>
          <cell r="I188"/>
          <cell r="J188"/>
          <cell r="K188"/>
          <cell r="L188"/>
          <cell r="M188"/>
          <cell r="N188"/>
          <cell r="O188"/>
          <cell r="P188"/>
          <cell r="Q188"/>
          <cell r="R188"/>
          <cell r="S188"/>
          <cell r="T188"/>
          <cell r="U188"/>
          <cell r="V188"/>
          <cell r="W188"/>
          <cell r="X188"/>
          <cell r="Y188"/>
          <cell r="Z188"/>
          <cell r="AA188"/>
          <cell r="AB188"/>
          <cell r="AC188"/>
          <cell r="AD188"/>
          <cell r="AE188"/>
        </row>
        <row r="189">
          <cell r="G189"/>
          <cell r="H189"/>
          <cell r="I189"/>
          <cell r="J189"/>
          <cell r="K189"/>
          <cell r="L189"/>
          <cell r="M189"/>
          <cell r="N189"/>
          <cell r="O189"/>
          <cell r="P189"/>
          <cell r="Q189"/>
          <cell r="R189"/>
          <cell r="S189"/>
          <cell r="T189"/>
          <cell r="U189"/>
          <cell r="V189"/>
          <cell r="W189"/>
          <cell r="X189"/>
          <cell r="Y189"/>
          <cell r="Z189"/>
          <cell r="AA189"/>
          <cell r="AB189"/>
          <cell r="AC189"/>
          <cell r="AD189"/>
          <cell r="AE189"/>
        </row>
        <row r="190">
          <cell r="G190"/>
          <cell r="H190"/>
          <cell r="I190"/>
          <cell r="J190"/>
          <cell r="K190"/>
          <cell r="L190"/>
          <cell r="M190"/>
          <cell r="N190"/>
          <cell r="O190"/>
          <cell r="P190"/>
          <cell r="Q190"/>
          <cell r="R190"/>
          <cell r="S190"/>
          <cell r="T190"/>
          <cell r="U190"/>
          <cell r="V190"/>
          <cell r="W190"/>
          <cell r="X190"/>
          <cell r="Y190"/>
          <cell r="Z190"/>
          <cell r="AA190"/>
          <cell r="AB190"/>
          <cell r="AC190"/>
          <cell r="AD190"/>
          <cell r="AE190"/>
        </row>
        <row r="191">
          <cell r="G191"/>
          <cell r="H191"/>
          <cell r="I191"/>
          <cell r="J191"/>
          <cell r="K191"/>
          <cell r="L191"/>
          <cell r="M191"/>
          <cell r="N191"/>
          <cell r="O191"/>
          <cell r="P191"/>
          <cell r="Q191"/>
          <cell r="R191"/>
          <cell r="S191"/>
          <cell r="T191"/>
          <cell r="U191"/>
          <cell r="V191"/>
          <cell r="W191"/>
          <cell r="X191"/>
          <cell r="Y191"/>
          <cell r="Z191"/>
          <cell r="AA191"/>
          <cell r="AB191"/>
          <cell r="AC191"/>
          <cell r="AD191"/>
          <cell r="AE191"/>
        </row>
        <row r="192">
          <cell r="G192"/>
          <cell r="H192"/>
          <cell r="I192"/>
          <cell r="J192"/>
          <cell r="K192"/>
          <cell r="L192"/>
          <cell r="M192"/>
          <cell r="N192"/>
          <cell r="O192"/>
          <cell r="P192"/>
          <cell r="Q192"/>
          <cell r="R192"/>
          <cell r="S192"/>
          <cell r="T192"/>
          <cell r="U192"/>
          <cell r="V192"/>
          <cell r="W192"/>
          <cell r="X192"/>
          <cell r="Y192"/>
          <cell r="Z192"/>
          <cell r="AA192"/>
          <cell r="AB192"/>
          <cell r="AC192"/>
          <cell r="AD192"/>
          <cell r="AE192"/>
        </row>
        <row r="193">
          <cell r="G193"/>
          <cell r="H193"/>
          <cell r="I193"/>
          <cell r="J193"/>
          <cell r="K193"/>
          <cell r="L193"/>
          <cell r="M193"/>
          <cell r="N193"/>
          <cell r="O193"/>
          <cell r="P193"/>
          <cell r="Q193"/>
          <cell r="R193"/>
          <cell r="S193"/>
          <cell r="T193"/>
          <cell r="U193"/>
          <cell r="V193"/>
          <cell r="W193"/>
          <cell r="X193"/>
          <cell r="Y193"/>
          <cell r="Z193"/>
          <cell r="AA193"/>
          <cell r="AB193"/>
          <cell r="AC193"/>
          <cell r="AD193"/>
          <cell r="AE193"/>
        </row>
        <row r="194">
          <cell r="G194"/>
          <cell r="H194"/>
          <cell r="I194"/>
          <cell r="J194"/>
          <cell r="K194"/>
          <cell r="L194"/>
          <cell r="M194"/>
          <cell r="N194"/>
          <cell r="O194"/>
          <cell r="P194"/>
          <cell r="Q194"/>
          <cell r="R194"/>
          <cell r="S194"/>
          <cell r="T194"/>
          <cell r="U194"/>
          <cell r="V194"/>
          <cell r="W194"/>
          <cell r="X194"/>
          <cell r="Y194"/>
          <cell r="Z194"/>
          <cell r="AA194"/>
          <cell r="AB194"/>
          <cell r="AC194"/>
          <cell r="AD194"/>
          <cell r="AE194"/>
        </row>
        <row r="195">
          <cell r="G195"/>
          <cell r="H195"/>
          <cell r="I195"/>
          <cell r="J195"/>
          <cell r="K195"/>
          <cell r="L195"/>
          <cell r="M195"/>
          <cell r="N195"/>
          <cell r="O195"/>
          <cell r="P195"/>
          <cell r="Q195"/>
          <cell r="R195"/>
          <cell r="S195"/>
          <cell r="T195"/>
          <cell r="U195"/>
          <cell r="V195"/>
          <cell r="W195"/>
          <cell r="X195"/>
          <cell r="Y195"/>
          <cell r="Z195"/>
          <cell r="AA195"/>
          <cell r="AB195"/>
          <cell r="AC195"/>
          <cell r="AD195"/>
          <cell r="AE195"/>
        </row>
        <row r="196">
          <cell r="G196"/>
          <cell r="H196"/>
          <cell r="I196"/>
          <cell r="J196"/>
          <cell r="K196"/>
          <cell r="L196"/>
          <cell r="M196"/>
          <cell r="N196"/>
          <cell r="O196"/>
          <cell r="P196"/>
          <cell r="Q196"/>
          <cell r="R196"/>
          <cell r="S196"/>
          <cell r="T196"/>
          <cell r="U196"/>
          <cell r="V196"/>
          <cell r="W196"/>
          <cell r="X196"/>
          <cell r="Y196"/>
          <cell r="Z196"/>
          <cell r="AA196"/>
          <cell r="AB196"/>
          <cell r="AC196"/>
          <cell r="AD196"/>
          <cell r="AE196"/>
        </row>
        <row r="197">
          <cell r="G197"/>
          <cell r="H197"/>
          <cell r="I197"/>
          <cell r="J197"/>
          <cell r="K197"/>
          <cell r="L197"/>
          <cell r="M197"/>
          <cell r="N197"/>
          <cell r="O197"/>
          <cell r="P197"/>
          <cell r="Q197"/>
          <cell r="R197"/>
          <cell r="S197"/>
          <cell r="T197"/>
          <cell r="U197"/>
          <cell r="V197"/>
          <cell r="W197"/>
          <cell r="X197"/>
          <cell r="Y197"/>
          <cell r="Z197"/>
          <cell r="AA197"/>
          <cell r="AB197"/>
          <cell r="AC197"/>
          <cell r="AD197"/>
          <cell r="AE197"/>
        </row>
        <row r="198">
          <cell r="G198"/>
          <cell r="H198"/>
          <cell r="I198"/>
          <cell r="J198"/>
          <cell r="K198"/>
          <cell r="L198"/>
          <cell r="M198"/>
          <cell r="N198"/>
          <cell r="O198"/>
          <cell r="P198"/>
          <cell r="Q198"/>
          <cell r="R198"/>
          <cell r="S198"/>
          <cell r="T198"/>
          <cell r="U198"/>
          <cell r="V198"/>
          <cell r="W198"/>
          <cell r="X198"/>
          <cell r="Y198"/>
          <cell r="Z198"/>
          <cell r="AA198"/>
          <cell r="AB198"/>
          <cell r="AC198"/>
          <cell r="AD198"/>
          <cell r="AE198"/>
        </row>
        <row r="199">
          <cell r="G199"/>
          <cell r="H199"/>
          <cell r="I199"/>
          <cell r="J199"/>
          <cell r="K199"/>
          <cell r="L199"/>
          <cell r="M199"/>
          <cell r="N199"/>
          <cell r="O199"/>
          <cell r="P199"/>
          <cell r="Q199"/>
          <cell r="R199"/>
          <cell r="S199"/>
          <cell r="T199"/>
          <cell r="U199"/>
          <cell r="V199"/>
          <cell r="W199"/>
          <cell r="X199"/>
          <cell r="Y199"/>
          <cell r="Z199"/>
          <cell r="AA199"/>
          <cell r="AB199"/>
          <cell r="AC199"/>
          <cell r="AD199"/>
          <cell r="AE199"/>
        </row>
        <row r="200">
          <cell r="G200"/>
          <cell r="H200"/>
          <cell r="I200"/>
          <cell r="J200"/>
          <cell r="K200"/>
          <cell r="L200"/>
          <cell r="M200"/>
          <cell r="N200"/>
          <cell r="O200"/>
          <cell r="P200"/>
          <cell r="Q200"/>
          <cell r="R200"/>
          <cell r="S200"/>
          <cell r="T200"/>
          <cell r="U200"/>
          <cell r="V200"/>
          <cell r="W200"/>
          <cell r="X200"/>
          <cell r="Y200"/>
          <cell r="Z200"/>
          <cell r="AA200"/>
          <cell r="AB200"/>
          <cell r="AC200"/>
          <cell r="AD200"/>
          <cell r="AE200"/>
        </row>
        <row r="201">
          <cell r="G201"/>
          <cell r="H201"/>
          <cell r="I201"/>
          <cell r="J201"/>
          <cell r="K201"/>
          <cell r="L201"/>
          <cell r="M201"/>
          <cell r="N201"/>
          <cell r="O201"/>
          <cell r="P201"/>
          <cell r="Q201"/>
          <cell r="R201"/>
          <cell r="S201"/>
          <cell r="T201"/>
          <cell r="U201"/>
          <cell r="V201"/>
          <cell r="W201"/>
          <cell r="X201"/>
          <cell r="Y201"/>
          <cell r="Z201"/>
          <cell r="AA201"/>
          <cell r="AB201"/>
          <cell r="AC201"/>
          <cell r="AD201"/>
          <cell r="AE201"/>
        </row>
        <row r="202">
          <cell r="G202"/>
          <cell r="H202"/>
          <cell r="I202"/>
          <cell r="J202"/>
          <cell r="K202"/>
          <cell r="L202"/>
          <cell r="M202"/>
          <cell r="N202"/>
          <cell r="O202"/>
          <cell r="P202"/>
          <cell r="Q202"/>
          <cell r="R202"/>
          <cell r="S202"/>
          <cell r="T202"/>
          <cell r="U202"/>
          <cell r="V202"/>
          <cell r="W202"/>
          <cell r="X202"/>
          <cell r="Y202"/>
          <cell r="Z202"/>
          <cell r="AA202"/>
          <cell r="AB202"/>
          <cell r="AC202"/>
          <cell r="AD202"/>
          <cell r="AE202"/>
        </row>
        <row r="203">
          <cell r="G203"/>
          <cell r="H203"/>
          <cell r="I203"/>
          <cell r="J203"/>
          <cell r="K203"/>
          <cell r="L203"/>
          <cell r="M203"/>
          <cell r="N203"/>
          <cell r="O203"/>
          <cell r="P203"/>
          <cell r="Q203"/>
          <cell r="R203"/>
          <cell r="S203"/>
          <cell r="T203"/>
          <cell r="U203"/>
          <cell r="V203"/>
          <cell r="W203"/>
          <cell r="X203"/>
          <cell r="Y203"/>
          <cell r="Z203"/>
          <cell r="AA203"/>
          <cell r="AB203"/>
          <cell r="AC203"/>
          <cell r="AD203"/>
          <cell r="AE203"/>
        </row>
        <row r="204">
          <cell r="G204"/>
          <cell r="H204"/>
          <cell r="I204"/>
          <cell r="J204"/>
          <cell r="K204"/>
          <cell r="L204"/>
          <cell r="M204"/>
          <cell r="N204"/>
          <cell r="O204"/>
          <cell r="P204"/>
          <cell r="Q204"/>
          <cell r="R204"/>
          <cell r="S204"/>
          <cell r="T204"/>
          <cell r="U204"/>
          <cell r="V204"/>
          <cell r="W204"/>
          <cell r="X204"/>
          <cell r="Y204"/>
          <cell r="Z204"/>
          <cell r="AA204"/>
          <cell r="AB204"/>
          <cell r="AC204"/>
          <cell r="AD204"/>
          <cell r="AE204"/>
        </row>
        <row r="205">
          <cell r="G205"/>
          <cell r="H205"/>
          <cell r="I205"/>
          <cell r="J205"/>
          <cell r="K205"/>
          <cell r="L205"/>
          <cell r="M205"/>
          <cell r="N205"/>
          <cell r="O205"/>
          <cell r="P205"/>
          <cell r="Q205"/>
          <cell r="R205"/>
          <cell r="S205"/>
          <cell r="T205"/>
          <cell r="U205"/>
          <cell r="V205"/>
          <cell r="W205"/>
          <cell r="X205"/>
          <cell r="Y205"/>
          <cell r="Z205"/>
          <cell r="AA205"/>
          <cell r="AB205"/>
          <cell r="AC205"/>
          <cell r="AD205"/>
          <cell r="AE205"/>
        </row>
        <row r="206">
          <cell r="G206"/>
          <cell r="H206"/>
          <cell r="I206"/>
          <cell r="J206"/>
          <cell r="K206"/>
          <cell r="L206"/>
          <cell r="M206"/>
          <cell r="N206"/>
          <cell r="O206"/>
          <cell r="P206"/>
          <cell r="Q206"/>
          <cell r="R206"/>
          <cell r="S206"/>
          <cell r="T206"/>
          <cell r="U206"/>
          <cell r="V206"/>
          <cell r="W206"/>
          <cell r="X206"/>
          <cell r="Y206"/>
          <cell r="Z206"/>
          <cell r="AA206"/>
          <cell r="AB206"/>
          <cell r="AC206"/>
          <cell r="AD206"/>
          <cell r="AE206"/>
        </row>
        <row r="207">
          <cell r="G207"/>
          <cell r="H207"/>
          <cell r="I207"/>
          <cell r="J207"/>
          <cell r="K207"/>
          <cell r="L207"/>
          <cell r="M207"/>
          <cell r="N207"/>
          <cell r="O207"/>
          <cell r="P207"/>
          <cell r="Q207"/>
          <cell r="R207"/>
          <cell r="S207"/>
          <cell r="T207"/>
          <cell r="U207"/>
          <cell r="V207"/>
          <cell r="W207"/>
          <cell r="X207"/>
          <cell r="Y207"/>
          <cell r="Z207"/>
          <cell r="AA207"/>
          <cell r="AB207"/>
          <cell r="AC207"/>
          <cell r="AD207"/>
          <cell r="AE207"/>
        </row>
        <row r="208">
          <cell r="G208"/>
          <cell r="H208"/>
          <cell r="I208"/>
          <cell r="J208"/>
          <cell r="K208"/>
          <cell r="L208"/>
          <cell r="M208"/>
          <cell r="N208"/>
          <cell r="O208"/>
          <cell r="P208"/>
          <cell r="Q208"/>
          <cell r="R208"/>
          <cell r="S208"/>
          <cell r="T208"/>
          <cell r="U208"/>
          <cell r="V208"/>
          <cell r="W208"/>
          <cell r="X208"/>
          <cell r="Y208"/>
          <cell r="Z208"/>
          <cell r="AA208"/>
          <cell r="AB208"/>
          <cell r="AC208"/>
          <cell r="AD208"/>
          <cell r="AE208"/>
        </row>
        <row r="209">
          <cell r="G209"/>
          <cell r="H209"/>
          <cell r="I209"/>
          <cell r="J209"/>
          <cell r="K209"/>
          <cell r="L209"/>
          <cell r="M209"/>
          <cell r="N209"/>
          <cell r="O209"/>
          <cell r="P209"/>
          <cell r="Q209"/>
          <cell r="R209"/>
          <cell r="S209"/>
          <cell r="T209"/>
          <cell r="U209"/>
          <cell r="V209"/>
          <cell r="W209"/>
          <cell r="X209"/>
          <cell r="Y209"/>
          <cell r="Z209"/>
          <cell r="AA209"/>
          <cell r="AB209"/>
          <cell r="AC209"/>
          <cell r="AD209"/>
          <cell r="AE209"/>
        </row>
        <row r="210">
          <cell r="G210"/>
          <cell r="H210"/>
          <cell r="I210"/>
          <cell r="J210"/>
          <cell r="K210"/>
          <cell r="L210"/>
          <cell r="M210"/>
          <cell r="N210"/>
          <cell r="O210"/>
          <cell r="P210"/>
          <cell r="Q210"/>
          <cell r="R210"/>
          <cell r="S210"/>
          <cell r="T210"/>
          <cell r="U210"/>
          <cell r="V210"/>
          <cell r="W210"/>
          <cell r="X210"/>
          <cell r="Y210"/>
          <cell r="Z210"/>
          <cell r="AA210"/>
          <cell r="AB210"/>
          <cell r="AC210"/>
          <cell r="AD210"/>
          <cell r="AE210"/>
        </row>
        <row r="211">
          <cell r="G211"/>
          <cell r="H211"/>
          <cell r="I211"/>
          <cell r="J211"/>
          <cell r="K211"/>
          <cell r="L211"/>
          <cell r="M211"/>
          <cell r="N211"/>
          <cell r="O211"/>
          <cell r="P211"/>
          <cell r="Q211"/>
          <cell r="R211"/>
          <cell r="S211"/>
          <cell r="T211"/>
          <cell r="U211"/>
          <cell r="V211"/>
          <cell r="W211"/>
          <cell r="X211"/>
          <cell r="Y211"/>
          <cell r="Z211"/>
          <cell r="AA211"/>
          <cell r="AB211"/>
          <cell r="AC211"/>
          <cell r="AD211"/>
          <cell r="AE211"/>
        </row>
        <row r="212">
          <cell r="G212"/>
          <cell r="H212"/>
          <cell r="I212"/>
          <cell r="J212"/>
          <cell r="K212"/>
          <cell r="L212"/>
          <cell r="M212"/>
          <cell r="N212"/>
          <cell r="O212"/>
          <cell r="P212"/>
          <cell r="Q212"/>
          <cell r="R212"/>
          <cell r="S212"/>
          <cell r="T212"/>
          <cell r="U212"/>
          <cell r="V212"/>
          <cell r="W212"/>
          <cell r="X212"/>
          <cell r="Y212"/>
          <cell r="Z212"/>
          <cell r="AA212"/>
          <cell r="AB212"/>
          <cell r="AC212"/>
          <cell r="AD212"/>
          <cell r="AE212"/>
        </row>
        <row r="213">
          <cell r="G213"/>
          <cell r="H213"/>
          <cell r="I213"/>
          <cell r="J213"/>
          <cell r="K213"/>
          <cell r="L213"/>
          <cell r="M213"/>
          <cell r="N213"/>
          <cell r="O213"/>
          <cell r="P213"/>
          <cell r="Q213"/>
          <cell r="R213"/>
          <cell r="S213"/>
          <cell r="T213"/>
          <cell r="U213"/>
          <cell r="V213"/>
          <cell r="W213"/>
          <cell r="X213"/>
          <cell r="Y213"/>
          <cell r="Z213"/>
          <cell r="AA213"/>
          <cell r="AB213"/>
          <cell r="AC213"/>
          <cell r="AD213"/>
          <cell r="AE213"/>
        </row>
        <row r="214">
          <cell r="G214"/>
          <cell r="H214"/>
          <cell r="I214"/>
          <cell r="J214"/>
          <cell r="K214"/>
          <cell r="L214"/>
          <cell r="M214"/>
          <cell r="N214"/>
          <cell r="O214"/>
          <cell r="P214"/>
          <cell r="Q214"/>
          <cell r="R214"/>
          <cell r="S214"/>
          <cell r="T214"/>
          <cell r="U214"/>
          <cell r="V214"/>
          <cell r="W214"/>
          <cell r="X214"/>
          <cell r="Y214"/>
          <cell r="Z214"/>
          <cell r="AA214"/>
          <cell r="AB214"/>
          <cell r="AC214"/>
          <cell r="AD214"/>
          <cell r="AE214"/>
        </row>
        <row r="215">
          <cell r="G215"/>
          <cell r="H215"/>
          <cell r="I215"/>
          <cell r="J215"/>
          <cell r="K215"/>
          <cell r="L215"/>
          <cell r="M215"/>
          <cell r="N215"/>
          <cell r="O215"/>
          <cell r="P215"/>
          <cell r="Q215"/>
          <cell r="R215"/>
          <cell r="S215"/>
          <cell r="T215"/>
          <cell r="U215"/>
          <cell r="V215"/>
          <cell r="W215"/>
          <cell r="X215"/>
          <cell r="Y215"/>
          <cell r="Z215"/>
          <cell r="AA215"/>
          <cell r="AB215"/>
          <cell r="AC215"/>
          <cell r="AD215"/>
          <cell r="AE215"/>
        </row>
        <row r="216">
          <cell r="G216"/>
          <cell r="H216"/>
          <cell r="I216"/>
          <cell r="J216"/>
          <cell r="K216"/>
          <cell r="L216"/>
          <cell r="M216"/>
          <cell r="N216"/>
          <cell r="O216"/>
          <cell r="P216"/>
          <cell r="Q216"/>
          <cell r="R216"/>
          <cell r="S216"/>
          <cell r="T216"/>
          <cell r="U216"/>
          <cell r="V216"/>
          <cell r="W216"/>
          <cell r="X216"/>
          <cell r="Y216"/>
          <cell r="Z216"/>
          <cell r="AA216"/>
          <cell r="AB216"/>
          <cell r="AC216"/>
          <cell r="AD216"/>
          <cell r="AE216"/>
        </row>
        <row r="217">
          <cell r="G217"/>
          <cell r="H217"/>
          <cell r="I217"/>
          <cell r="J217"/>
          <cell r="K217"/>
          <cell r="L217"/>
          <cell r="M217"/>
          <cell r="N217"/>
          <cell r="O217"/>
          <cell r="P217"/>
          <cell r="Q217"/>
          <cell r="R217"/>
          <cell r="S217"/>
          <cell r="T217"/>
          <cell r="U217"/>
          <cell r="V217"/>
          <cell r="W217"/>
          <cell r="X217"/>
          <cell r="Y217"/>
          <cell r="Z217"/>
          <cell r="AA217"/>
          <cell r="AB217"/>
          <cell r="AC217"/>
          <cell r="AD217"/>
          <cell r="AE217"/>
        </row>
        <row r="218">
          <cell r="G218"/>
          <cell r="H218"/>
          <cell r="I218"/>
          <cell r="J218"/>
          <cell r="K218"/>
          <cell r="L218"/>
          <cell r="M218"/>
          <cell r="N218"/>
          <cell r="O218"/>
          <cell r="P218"/>
          <cell r="Q218"/>
          <cell r="R218"/>
          <cell r="S218"/>
          <cell r="T218"/>
          <cell r="U218"/>
          <cell r="V218"/>
          <cell r="W218"/>
          <cell r="X218"/>
          <cell r="Y218"/>
          <cell r="Z218"/>
          <cell r="AA218"/>
          <cell r="AB218"/>
          <cell r="AC218"/>
          <cell r="AD218"/>
          <cell r="AE218"/>
        </row>
        <row r="219">
          <cell r="G219"/>
          <cell r="H219"/>
          <cell r="I219"/>
          <cell r="J219"/>
          <cell r="K219"/>
          <cell r="L219"/>
          <cell r="M219"/>
          <cell r="N219"/>
          <cell r="O219"/>
          <cell r="P219"/>
          <cell r="Q219"/>
          <cell r="R219"/>
          <cell r="S219"/>
          <cell r="T219"/>
          <cell r="U219"/>
          <cell r="V219"/>
          <cell r="W219"/>
          <cell r="X219"/>
          <cell r="Y219"/>
          <cell r="Z219"/>
          <cell r="AA219"/>
          <cell r="AB219"/>
          <cell r="AC219"/>
          <cell r="AD219"/>
          <cell r="AE219"/>
        </row>
        <row r="220">
          <cell r="G220"/>
          <cell r="H220"/>
          <cell r="I220"/>
          <cell r="J220"/>
          <cell r="K220"/>
          <cell r="L220"/>
          <cell r="M220"/>
          <cell r="N220"/>
          <cell r="O220"/>
          <cell r="P220"/>
          <cell r="Q220"/>
          <cell r="R220"/>
          <cell r="S220"/>
          <cell r="T220"/>
          <cell r="U220"/>
          <cell r="V220"/>
          <cell r="W220"/>
          <cell r="X220"/>
          <cell r="Y220"/>
          <cell r="Z220"/>
          <cell r="AA220"/>
          <cell r="AB220"/>
          <cell r="AC220"/>
          <cell r="AD220"/>
          <cell r="AE220"/>
        </row>
        <row r="221">
          <cell r="G221"/>
          <cell r="H221"/>
          <cell r="I221"/>
          <cell r="J221"/>
          <cell r="K221"/>
          <cell r="L221"/>
          <cell r="M221"/>
          <cell r="N221"/>
          <cell r="O221"/>
          <cell r="P221"/>
          <cell r="Q221"/>
          <cell r="R221"/>
          <cell r="S221"/>
          <cell r="T221"/>
          <cell r="U221"/>
          <cell r="V221"/>
          <cell r="W221"/>
          <cell r="X221"/>
          <cell r="Y221"/>
          <cell r="Z221"/>
          <cell r="AA221"/>
          <cell r="AB221"/>
          <cell r="AC221"/>
          <cell r="AD221"/>
          <cell r="AE221"/>
        </row>
        <row r="222">
          <cell r="G222"/>
          <cell r="H222"/>
          <cell r="I222"/>
          <cell r="J222"/>
          <cell r="K222"/>
          <cell r="L222"/>
          <cell r="M222"/>
          <cell r="N222"/>
          <cell r="O222"/>
          <cell r="P222"/>
          <cell r="Q222"/>
          <cell r="R222"/>
          <cell r="S222"/>
          <cell r="T222"/>
          <cell r="U222"/>
          <cell r="V222"/>
          <cell r="W222"/>
          <cell r="X222"/>
          <cell r="Y222"/>
          <cell r="Z222"/>
          <cell r="AA222"/>
          <cell r="AB222"/>
          <cell r="AC222"/>
          <cell r="AD222"/>
          <cell r="AE222"/>
        </row>
        <row r="223">
          <cell r="G223"/>
          <cell r="H223"/>
          <cell r="I223"/>
          <cell r="J223"/>
          <cell r="K223"/>
          <cell r="L223"/>
          <cell r="M223"/>
          <cell r="N223"/>
          <cell r="O223"/>
          <cell r="P223"/>
          <cell r="Q223"/>
          <cell r="R223"/>
          <cell r="S223"/>
          <cell r="T223"/>
          <cell r="U223"/>
          <cell r="V223"/>
          <cell r="W223"/>
          <cell r="X223"/>
          <cell r="Y223"/>
          <cell r="Z223"/>
          <cell r="AA223"/>
          <cell r="AB223"/>
          <cell r="AC223"/>
          <cell r="AD223"/>
          <cell r="AE223"/>
        </row>
        <row r="224">
          <cell r="G224"/>
          <cell r="H224"/>
          <cell r="I224"/>
          <cell r="J224"/>
          <cell r="K224"/>
          <cell r="L224"/>
          <cell r="M224"/>
          <cell r="N224"/>
          <cell r="O224"/>
          <cell r="P224"/>
          <cell r="Q224"/>
          <cell r="R224"/>
          <cell r="S224"/>
          <cell r="T224"/>
          <cell r="U224"/>
          <cell r="V224"/>
          <cell r="W224"/>
          <cell r="X224"/>
          <cell r="Y224"/>
          <cell r="Z224"/>
          <cell r="AA224"/>
          <cell r="AB224"/>
          <cell r="AC224"/>
          <cell r="AD224"/>
          <cell r="AE224"/>
        </row>
        <row r="225">
          <cell r="G225"/>
          <cell r="H225"/>
          <cell r="I225"/>
          <cell r="J225"/>
          <cell r="K225"/>
          <cell r="L225"/>
          <cell r="M225"/>
          <cell r="N225"/>
          <cell r="O225"/>
          <cell r="P225"/>
          <cell r="Q225"/>
          <cell r="R225"/>
          <cell r="S225"/>
          <cell r="T225"/>
          <cell r="U225"/>
          <cell r="V225"/>
          <cell r="W225"/>
          <cell r="X225"/>
          <cell r="Y225"/>
          <cell r="Z225"/>
          <cell r="AA225"/>
          <cell r="AB225"/>
          <cell r="AC225"/>
          <cell r="AD225"/>
          <cell r="AE225"/>
        </row>
        <row r="226">
          <cell r="G226"/>
          <cell r="H226"/>
          <cell r="I226"/>
          <cell r="J226"/>
          <cell r="K226"/>
          <cell r="L226"/>
          <cell r="M226"/>
          <cell r="N226"/>
          <cell r="O226"/>
          <cell r="P226"/>
          <cell r="Q226"/>
          <cell r="R226"/>
          <cell r="S226"/>
          <cell r="T226"/>
          <cell r="U226"/>
          <cell r="V226"/>
          <cell r="W226"/>
          <cell r="X226"/>
          <cell r="Y226"/>
          <cell r="Z226"/>
          <cell r="AA226"/>
          <cell r="AB226"/>
          <cell r="AC226"/>
          <cell r="AD226"/>
          <cell r="AE226"/>
        </row>
        <row r="227">
          <cell r="G227"/>
          <cell r="H227"/>
          <cell r="I227"/>
          <cell r="J227"/>
          <cell r="K227"/>
          <cell r="L227"/>
          <cell r="M227"/>
          <cell r="N227"/>
          <cell r="O227"/>
          <cell r="P227"/>
          <cell r="Q227"/>
          <cell r="R227"/>
          <cell r="S227"/>
          <cell r="T227"/>
          <cell r="U227"/>
          <cell r="V227"/>
          <cell r="W227"/>
          <cell r="X227"/>
          <cell r="Y227"/>
          <cell r="Z227"/>
          <cell r="AA227"/>
          <cell r="AB227"/>
          <cell r="AC227"/>
          <cell r="AD227"/>
          <cell r="AE227"/>
        </row>
        <row r="228">
          <cell r="G228"/>
          <cell r="H228"/>
          <cell r="I228"/>
          <cell r="J228"/>
          <cell r="K228"/>
          <cell r="L228"/>
          <cell r="M228"/>
          <cell r="N228"/>
          <cell r="O228"/>
          <cell r="P228"/>
          <cell r="Q228"/>
          <cell r="R228"/>
          <cell r="S228"/>
          <cell r="T228"/>
          <cell r="U228"/>
          <cell r="V228"/>
          <cell r="W228"/>
          <cell r="X228"/>
          <cell r="Y228"/>
          <cell r="Z228"/>
          <cell r="AA228"/>
          <cell r="AB228"/>
          <cell r="AC228"/>
          <cell r="AD228"/>
          <cell r="AE228"/>
        </row>
        <row r="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row>
        <row r="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row>
        <row r="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row>
        <row r="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row>
        <row r="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row>
        <row r="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row>
        <row r="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row>
        <row r="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row>
        <row r="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row>
        <row r="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row>
        <row r="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row>
        <row r="240">
          <cell r="G240"/>
          <cell r="H240"/>
          <cell r="I240"/>
          <cell r="J240"/>
          <cell r="K240"/>
          <cell r="L240"/>
          <cell r="M240"/>
          <cell r="N240"/>
          <cell r="O240"/>
          <cell r="P240"/>
          <cell r="Q240"/>
          <cell r="R240"/>
          <cell r="S240"/>
          <cell r="T240"/>
          <cell r="U240"/>
          <cell r="V240"/>
          <cell r="W240"/>
          <cell r="X240"/>
          <cell r="Y240"/>
          <cell r="Z240"/>
          <cell r="AA240"/>
          <cell r="AB240"/>
          <cell r="AC240"/>
          <cell r="AD240"/>
          <cell r="AE240"/>
        </row>
        <row r="241">
          <cell r="G241"/>
          <cell r="H241"/>
          <cell r="I241"/>
          <cell r="J241"/>
          <cell r="K241"/>
          <cell r="L241"/>
          <cell r="M241"/>
          <cell r="N241"/>
          <cell r="O241"/>
          <cell r="P241"/>
          <cell r="Q241"/>
          <cell r="R241"/>
          <cell r="S241"/>
          <cell r="T241"/>
          <cell r="U241"/>
          <cell r="V241"/>
          <cell r="W241"/>
          <cell r="X241"/>
          <cell r="Y241"/>
          <cell r="Z241"/>
          <cell r="AA241"/>
          <cell r="AB241"/>
          <cell r="AC241"/>
          <cell r="AD241"/>
          <cell r="AE241"/>
        </row>
        <row r="242">
          <cell r="G242"/>
          <cell r="H242"/>
          <cell r="I242"/>
          <cell r="J242"/>
          <cell r="K242"/>
          <cell r="L242"/>
          <cell r="M242"/>
          <cell r="N242"/>
          <cell r="O242"/>
          <cell r="P242"/>
          <cell r="Q242"/>
          <cell r="R242"/>
          <cell r="S242"/>
          <cell r="T242"/>
          <cell r="U242"/>
          <cell r="V242"/>
          <cell r="W242"/>
          <cell r="X242"/>
          <cell r="Y242"/>
          <cell r="Z242"/>
          <cell r="AA242"/>
          <cell r="AB242"/>
          <cell r="AC242"/>
          <cell r="AD242"/>
          <cell r="AE242"/>
        </row>
        <row r="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row>
        <row r="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row>
        <row r="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row>
        <row r="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row>
        <row r="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row>
        <row r="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row>
        <row r="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row>
        <row r="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row>
        <row r="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row>
        <row r="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row>
        <row r="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row>
        <row r="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row>
        <row r="255">
          <cell r="G255"/>
          <cell r="H255"/>
          <cell r="I255"/>
          <cell r="J255"/>
          <cell r="K255"/>
          <cell r="L255"/>
          <cell r="M255"/>
          <cell r="N255"/>
          <cell r="O255"/>
          <cell r="P255"/>
          <cell r="Q255"/>
          <cell r="R255"/>
          <cell r="S255"/>
          <cell r="T255"/>
          <cell r="U255"/>
          <cell r="V255"/>
          <cell r="W255"/>
          <cell r="X255"/>
          <cell r="Y255"/>
          <cell r="Z255"/>
          <cell r="AA255"/>
          <cell r="AB255"/>
          <cell r="AC255"/>
          <cell r="AD255"/>
          <cell r="AE255"/>
        </row>
        <row r="256">
          <cell r="G256"/>
          <cell r="H256"/>
          <cell r="I256"/>
          <cell r="J256"/>
          <cell r="K256"/>
          <cell r="L256"/>
          <cell r="M256"/>
          <cell r="N256"/>
          <cell r="O256"/>
          <cell r="P256"/>
          <cell r="Q256"/>
          <cell r="R256"/>
          <cell r="S256"/>
          <cell r="T256"/>
          <cell r="U256"/>
          <cell r="V256"/>
          <cell r="W256"/>
          <cell r="X256"/>
          <cell r="Y256"/>
          <cell r="Z256"/>
          <cell r="AA256"/>
          <cell r="AB256"/>
          <cell r="AC256"/>
          <cell r="AD256"/>
          <cell r="AE256"/>
        </row>
        <row r="257">
          <cell r="G257"/>
          <cell r="H257"/>
          <cell r="I257"/>
          <cell r="J257"/>
          <cell r="K257"/>
          <cell r="L257"/>
          <cell r="M257"/>
          <cell r="N257"/>
          <cell r="O257"/>
          <cell r="P257"/>
          <cell r="Q257"/>
          <cell r="R257"/>
          <cell r="S257"/>
          <cell r="T257"/>
          <cell r="U257"/>
          <cell r="V257"/>
          <cell r="W257"/>
          <cell r="X257"/>
          <cell r="Y257"/>
          <cell r="Z257"/>
          <cell r="AA257"/>
          <cell r="AB257"/>
          <cell r="AC257"/>
          <cell r="AD257"/>
          <cell r="AE257"/>
        </row>
        <row r="258">
          <cell r="G258"/>
          <cell r="H258"/>
          <cell r="I258"/>
          <cell r="J258"/>
          <cell r="K258"/>
          <cell r="L258"/>
          <cell r="M258"/>
          <cell r="N258"/>
          <cell r="O258"/>
          <cell r="P258"/>
          <cell r="Q258"/>
          <cell r="R258"/>
          <cell r="S258"/>
          <cell r="T258"/>
          <cell r="U258"/>
          <cell r="V258"/>
          <cell r="W258"/>
          <cell r="X258"/>
          <cell r="Y258"/>
          <cell r="Z258"/>
          <cell r="AA258"/>
          <cell r="AB258"/>
          <cell r="AC258"/>
          <cell r="AD258"/>
          <cell r="AE258"/>
        </row>
        <row r="259">
          <cell r="G259"/>
          <cell r="H259"/>
          <cell r="I259"/>
          <cell r="J259"/>
          <cell r="K259"/>
          <cell r="L259"/>
          <cell r="M259"/>
          <cell r="N259"/>
          <cell r="O259"/>
          <cell r="P259"/>
          <cell r="Q259"/>
          <cell r="R259"/>
          <cell r="S259"/>
          <cell r="T259"/>
          <cell r="U259"/>
          <cell r="V259"/>
          <cell r="W259"/>
          <cell r="X259"/>
          <cell r="Y259"/>
          <cell r="Z259"/>
          <cell r="AA259"/>
          <cell r="AB259"/>
          <cell r="AC259"/>
          <cell r="AD259"/>
          <cell r="AE259"/>
        </row>
        <row r="260">
          <cell r="G260"/>
          <cell r="H260"/>
          <cell r="I260"/>
          <cell r="J260"/>
          <cell r="K260"/>
          <cell r="L260"/>
          <cell r="M260"/>
          <cell r="N260"/>
          <cell r="O260"/>
          <cell r="P260"/>
          <cell r="Q260"/>
          <cell r="R260"/>
          <cell r="S260"/>
          <cell r="T260"/>
          <cell r="U260"/>
          <cell r="V260"/>
          <cell r="W260"/>
          <cell r="X260"/>
          <cell r="Y260"/>
          <cell r="Z260"/>
          <cell r="AA260"/>
          <cell r="AB260"/>
          <cell r="AC260"/>
          <cell r="AD260"/>
          <cell r="AE260"/>
        </row>
        <row r="261">
          <cell r="G261"/>
          <cell r="H261"/>
          <cell r="I261"/>
          <cell r="J261"/>
          <cell r="K261"/>
          <cell r="L261"/>
          <cell r="M261"/>
          <cell r="N261"/>
          <cell r="O261"/>
          <cell r="P261"/>
          <cell r="Q261"/>
          <cell r="R261"/>
          <cell r="S261"/>
          <cell r="T261"/>
          <cell r="U261"/>
          <cell r="V261"/>
          <cell r="W261"/>
          <cell r="X261"/>
          <cell r="Y261"/>
          <cell r="Z261"/>
          <cell r="AA261"/>
          <cell r="AB261"/>
          <cell r="AC261"/>
          <cell r="AD261"/>
          <cell r="AE261"/>
        </row>
        <row r="262">
          <cell r="G262"/>
          <cell r="H262"/>
          <cell r="I262"/>
          <cell r="J262"/>
          <cell r="K262"/>
          <cell r="L262"/>
          <cell r="M262"/>
          <cell r="N262"/>
          <cell r="O262"/>
          <cell r="P262"/>
          <cell r="Q262"/>
          <cell r="R262"/>
          <cell r="S262"/>
          <cell r="T262"/>
          <cell r="U262"/>
          <cell r="V262"/>
          <cell r="W262"/>
          <cell r="X262"/>
          <cell r="Y262"/>
          <cell r="Z262"/>
          <cell r="AA262"/>
          <cell r="AB262"/>
          <cell r="AC262"/>
          <cell r="AD262"/>
          <cell r="AE262"/>
        </row>
        <row r="263">
          <cell r="G263"/>
          <cell r="H263"/>
          <cell r="I263"/>
          <cell r="J263"/>
          <cell r="K263"/>
          <cell r="L263"/>
          <cell r="M263"/>
          <cell r="N263"/>
          <cell r="O263"/>
          <cell r="P263"/>
          <cell r="Q263"/>
          <cell r="R263"/>
          <cell r="S263"/>
          <cell r="T263"/>
          <cell r="U263"/>
          <cell r="V263"/>
          <cell r="W263"/>
          <cell r="X263"/>
          <cell r="Y263"/>
          <cell r="Z263"/>
          <cell r="AA263"/>
          <cell r="AB263"/>
          <cell r="AC263"/>
          <cell r="AD263"/>
          <cell r="AE263"/>
        </row>
        <row r="264">
          <cell r="G264"/>
          <cell r="H264"/>
          <cell r="I264"/>
          <cell r="J264"/>
          <cell r="K264"/>
          <cell r="L264"/>
          <cell r="M264"/>
          <cell r="N264"/>
          <cell r="O264"/>
          <cell r="P264"/>
          <cell r="Q264"/>
          <cell r="R264"/>
          <cell r="S264"/>
          <cell r="T264"/>
          <cell r="U264"/>
          <cell r="V264"/>
          <cell r="W264"/>
          <cell r="X264"/>
          <cell r="Y264"/>
          <cell r="Z264"/>
          <cell r="AA264"/>
          <cell r="AB264"/>
          <cell r="AC264"/>
          <cell r="AD264"/>
          <cell r="AE264"/>
        </row>
        <row r="265">
          <cell r="G265"/>
          <cell r="H265"/>
          <cell r="I265"/>
          <cell r="J265"/>
          <cell r="K265"/>
          <cell r="L265"/>
          <cell r="M265"/>
          <cell r="N265"/>
          <cell r="O265"/>
          <cell r="P265"/>
          <cell r="Q265"/>
          <cell r="R265"/>
          <cell r="S265"/>
          <cell r="T265"/>
          <cell r="U265"/>
          <cell r="V265"/>
          <cell r="W265"/>
          <cell r="X265"/>
          <cell r="Y265"/>
          <cell r="Z265"/>
          <cell r="AA265"/>
          <cell r="AB265"/>
          <cell r="AC265"/>
          <cell r="AD265"/>
          <cell r="AE265"/>
        </row>
        <row r="266">
          <cell r="G266"/>
          <cell r="H266"/>
          <cell r="I266"/>
          <cell r="J266"/>
          <cell r="K266"/>
          <cell r="L266"/>
          <cell r="M266"/>
          <cell r="N266"/>
          <cell r="O266"/>
          <cell r="P266"/>
          <cell r="Q266"/>
          <cell r="R266"/>
          <cell r="S266"/>
          <cell r="T266"/>
          <cell r="U266"/>
          <cell r="V266"/>
          <cell r="W266"/>
          <cell r="X266"/>
          <cell r="Y266"/>
          <cell r="Z266"/>
          <cell r="AA266"/>
          <cell r="AB266"/>
          <cell r="AC266"/>
          <cell r="AD266"/>
          <cell r="AE266"/>
        </row>
        <row r="267">
          <cell r="G267"/>
          <cell r="H267"/>
          <cell r="I267"/>
          <cell r="J267"/>
          <cell r="K267"/>
          <cell r="L267"/>
          <cell r="M267"/>
          <cell r="N267"/>
          <cell r="O267"/>
          <cell r="P267"/>
          <cell r="Q267"/>
          <cell r="R267"/>
          <cell r="S267"/>
          <cell r="T267"/>
          <cell r="U267"/>
          <cell r="V267"/>
          <cell r="W267"/>
          <cell r="X267"/>
          <cell r="Y267"/>
          <cell r="Z267"/>
          <cell r="AA267"/>
          <cell r="AB267"/>
          <cell r="AC267"/>
          <cell r="AD267"/>
          <cell r="AE267"/>
        </row>
        <row r="268">
          <cell r="G268"/>
          <cell r="H268"/>
          <cell r="I268"/>
          <cell r="J268"/>
          <cell r="K268"/>
          <cell r="L268"/>
          <cell r="M268"/>
          <cell r="N268"/>
          <cell r="O268"/>
          <cell r="P268"/>
          <cell r="Q268"/>
          <cell r="R268"/>
          <cell r="S268"/>
          <cell r="T268"/>
          <cell r="U268"/>
          <cell r="V268"/>
          <cell r="W268"/>
          <cell r="X268"/>
          <cell r="Y268"/>
          <cell r="Z268"/>
          <cell r="AA268"/>
          <cell r="AB268"/>
          <cell r="AC268"/>
          <cell r="AD268"/>
          <cell r="AE268"/>
        </row>
        <row r="269">
          <cell r="G269"/>
          <cell r="H269"/>
          <cell r="I269"/>
          <cell r="J269"/>
          <cell r="K269"/>
          <cell r="L269"/>
          <cell r="M269"/>
          <cell r="N269"/>
          <cell r="O269"/>
          <cell r="P269"/>
          <cell r="Q269"/>
          <cell r="R269"/>
          <cell r="S269"/>
          <cell r="T269"/>
          <cell r="U269"/>
          <cell r="V269"/>
          <cell r="W269"/>
          <cell r="X269"/>
          <cell r="Y269"/>
          <cell r="Z269"/>
          <cell r="AA269"/>
          <cell r="AB269"/>
          <cell r="AC269"/>
          <cell r="AD269"/>
          <cell r="AE269"/>
        </row>
        <row r="270">
          <cell r="G270"/>
          <cell r="H270"/>
          <cell r="I270"/>
          <cell r="J270"/>
          <cell r="K270"/>
          <cell r="L270"/>
          <cell r="M270"/>
          <cell r="N270"/>
          <cell r="O270"/>
          <cell r="P270"/>
          <cell r="Q270"/>
          <cell r="R270"/>
          <cell r="S270"/>
          <cell r="T270"/>
          <cell r="U270"/>
          <cell r="V270"/>
          <cell r="W270"/>
          <cell r="X270"/>
          <cell r="Y270"/>
          <cell r="Z270"/>
          <cell r="AA270"/>
          <cell r="AB270"/>
          <cell r="AC270"/>
          <cell r="AD270"/>
          <cell r="AE270"/>
        </row>
        <row r="271">
          <cell r="G271"/>
          <cell r="H271"/>
          <cell r="I271"/>
          <cell r="J271"/>
          <cell r="K271"/>
          <cell r="L271"/>
          <cell r="M271"/>
          <cell r="N271"/>
          <cell r="O271"/>
          <cell r="P271"/>
          <cell r="Q271"/>
          <cell r="R271"/>
          <cell r="S271"/>
          <cell r="T271"/>
          <cell r="U271"/>
          <cell r="V271"/>
          <cell r="W271"/>
          <cell r="X271"/>
          <cell r="Y271"/>
          <cell r="Z271"/>
          <cell r="AA271"/>
          <cell r="AB271"/>
          <cell r="AC271"/>
          <cell r="AD271"/>
          <cell r="AE271"/>
        </row>
        <row r="272">
          <cell r="G272"/>
          <cell r="H272"/>
          <cell r="I272"/>
          <cell r="J272"/>
          <cell r="K272"/>
          <cell r="L272"/>
          <cell r="M272"/>
          <cell r="N272"/>
          <cell r="O272"/>
          <cell r="P272"/>
          <cell r="Q272"/>
          <cell r="R272"/>
          <cell r="S272"/>
          <cell r="T272"/>
          <cell r="U272"/>
          <cell r="V272"/>
          <cell r="W272"/>
          <cell r="X272"/>
          <cell r="Y272"/>
          <cell r="Z272"/>
          <cell r="AA272"/>
          <cell r="AB272"/>
          <cell r="AC272"/>
          <cell r="AD272"/>
          <cell r="AE272"/>
        </row>
        <row r="273">
          <cell r="G273"/>
          <cell r="H273"/>
          <cell r="I273"/>
          <cell r="J273"/>
          <cell r="K273"/>
          <cell r="L273"/>
          <cell r="M273"/>
          <cell r="N273"/>
          <cell r="O273"/>
          <cell r="P273"/>
          <cell r="Q273"/>
          <cell r="R273"/>
          <cell r="S273"/>
          <cell r="T273"/>
          <cell r="U273"/>
          <cell r="V273"/>
          <cell r="W273"/>
          <cell r="X273"/>
          <cell r="Y273"/>
          <cell r="Z273"/>
          <cell r="AA273"/>
          <cell r="AB273"/>
          <cell r="AC273"/>
          <cell r="AD273"/>
          <cell r="AE273"/>
        </row>
        <row r="274">
          <cell r="G274"/>
          <cell r="H274"/>
          <cell r="I274"/>
          <cell r="J274"/>
          <cell r="K274"/>
          <cell r="L274"/>
          <cell r="M274"/>
          <cell r="N274"/>
          <cell r="O274"/>
          <cell r="P274"/>
          <cell r="Q274"/>
          <cell r="R274"/>
          <cell r="S274"/>
          <cell r="T274"/>
          <cell r="U274"/>
          <cell r="V274"/>
          <cell r="W274"/>
          <cell r="X274"/>
          <cell r="Y274"/>
          <cell r="Z274"/>
          <cell r="AA274"/>
          <cell r="AB274"/>
          <cell r="AC274"/>
          <cell r="AD274"/>
          <cell r="AE274"/>
        </row>
        <row r="275">
          <cell r="G275"/>
          <cell r="H275"/>
          <cell r="I275"/>
          <cell r="J275"/>
          <cell r="K275"/>
          <cell r="L275"/>
          <cell r="M275"/>
          <cell r="N275"/>
          <cell r="O275"/>
          <cell r="P275"/>
          <cell r="Q275"/>
          <cell r="R275"/>
          <cell r="S275"/>
          <cell r="T275"/>
          <cell r="U275"/>
          <cell r="V275"/>
          <cell r="W275"/>
          <cell r="X275"/>
          <cell r="Y275"/>
          <cell r="Z275"/>
          <cell r="AA275"/>
          <cell r="AB275"/>
          <cell r="AC275"/>
          <cell r="AD275"/>
          <cell r="AE275"/>
        </row>
        <row r="276">
          <cell r="G276"/>
          <cell r="H276"/>
          <cell r="I276"/>
          <cell r="J276"/>
          <cell r="K276"/>
          <cell r="L276"/>
          <cell r="M276"/>
          <cell r="N276"/>
          <cell r="O276"/>
          <cell r="P276"/>
          <cell r="Q276"/>
          <cell r="R276"/>
          <cell r="S276"/>
          <cell r="T276"/>
          <cell r="U276"/>
          <cell r="V276"/>
          <cell r="W276"/>
          <cell r="X276"/>
          <cell r="Y276"/>
          <cell r="Z276"/>
          <cell r="AA276"/>
          <cell r="AB276"/>
          <cell r="AC276"/>
          <cell r="AD276"/>
          <cell r="AE276"/>
        </row>
        <row r="277">
          <cell r="G277"/>
          <cell r="H277"/>
          <cell r="I277"/>
          <cell r="J277"/>
          <cell r="K277"/>
          <cell r="L277"/>
          <cell r="M277"/>
          <cell r="N277"/>
          <cell r="O277"/>
          <cell r="P277"/>
          <cell r="Q277"/>
          <cell r="R277"/>
          <cell r="S277"/>
          <cell r="T277"/>
          <cell r="U277"/>
          <cell r="V277"/>
          <cell r="W277"/>
          <cell r="X277"/>
          <cell r="Y277"/>
          <cell r="Z277"/>
          <cell r="AA277"/>
          <cell r="AB277"/>
          <cell r="AC277"/>
          <cell r="AD277"/>
          <cell r="AE277"/>
        </row>
        <row r="278">
          <cell r="G278"/>
          <cell r="H278"/>
          <cell r="I278"/>
          <cell r="J278"/>
          <cell r="K278"/>
          <cell r="L278"/>
          <cell r="M278"/>
          <cell r="N278"/>
          <cell r="O278"/>
          <cell r="P278"/>
          <cell r="Q278"/>
          <cell r="R278"/>
          <cell r="S278"/>
          <cell r="T278"/>
          <cell r="U278"/>
          <cell r="V278"/>
          <cell r="W278"/>
          <cell r="X278"/>
          <cell r="Y278"/>
          <cell r="Z278"/>
          <cell r="AA278"/>
          <cell r="AB278"/>
          <cell r="AC278"/>
          <cell r="AD278"/>
          <cell r="AE278"/>
        </row>
        <row r="279">
          <cell r="G279"/>
          <cell r="H279"/>
          <cell r="I279"/>
          <cell r="J279"/>
          <cell r="K279"/>
          <cell r="L279"/>
          <cell r="M279"/>
          <cell r="N279"/>
          <cell r="O279"/>
          <cell r="P279"/>
          <cell r="Q279"/>
          <cell r="R279"/>
          <cell r="S279"/>
          <cell r="T279"/>
          <cell r="U279"/>
          <cell r="V279"/>
          <cell r="W279"/>
          <cell r="X279"/>
          <cell r="Y279"/>
          <cell r="Z279"/>
          <cell r="AA279"/>
          <cell r="AB279"/>
          <cell r="AC279"/>
          <cell r="AD279"/>
          <cell r="AE279"/>
        </row>
        <row r="280">
          <cell r="G280"/>
          <cell r="H280"/>
          <cell r="I280"/>
          <cell r="J280"/>
          <cell r="K280"/>
          <cell r="L280"/>
          <cell r="M280"/>
          <cell r="N280"/>
          <cell r="O280"/>
          <cell r="P280"/>
          <cell r="Q280"/>
          <cell r="R280"/>
          <cell r="S280"/>
          <cell r="T280"/>
          <cell r="U280"/>
          <cell r="V280"/>
          <cell r="W280"/>
          <cell r="X280"/>
          <cell r="Y280"/>
          <cell r="Z280"/>
          <cell r="AA280"/>
          <cell r="AB280"/>
          <cell r="AC280"/>
          <cell r="AD280"/>
          <cell r="AE280"/>
        </row>
        <row r="281">
          <cell r="G281"/>
          <cell r="H281"/>
          <cell r="I281"/>
          <cell r="J281"/>
          <cell r="K281"/>
          <cell r="L281"/>
          <cell r="M281"/>
          <cell r="N281"/>
          <cell r="O281"/>
          <cell r="P281"/>
          <cell r="Q281"/>
          <cell r="R281"/>
          <cell r="S281"/>
          <cell r="T281"/>
          <cell r="U281"/>
          <cell r="V281"/>
          <cell r="W281"/>
          <cell r="X281"/>
          <cell r="Y281"/>
          <cell r="Z281"/>
          <cell r="AA281"/>
          <cell r="AB281"/>
          <cell r="AC281"/>
          <cell r="AD281"/>
          <cell r="AE281"/>
        </row>
        <row r="282">
          <cell r="G282"/>
          <cell r="H282"/>
          <cell r="I282"/>
          <cell r="J282"/>
          <cell r="K282"/>
          <cell r="L282"/>
          <cell r="M282"/>
          <cell r="N282"/>
          <cell r="O282"/>
          <cell r="P282"/>
          <cell r="Q282"/>
          <cell r="R282"/>
          <cell r="S282"/>
          <cell r="T282"/>
          <cell r="U282"/>
          <cell r="V282"/>
          <cell r="W282"/>
          <cell r="X282"/>
          <cell r="Y282"/>
          <cell r="Z282"/>
          <cell r="AA282"/>
          <cell r="AB282"/>
          <cell r="AC282"/>
          <cell r="AD282"/>
          <cell r="AE282"/>
        </row>
        <row r="283">
          <cell r="G283"/>
          <cell r="H283"/>
          <cell r="I283"/>
          <cell r="J283"/>
          <cell r="K283"/>
          <cell r="L283"/>
          <cell r="M283"/>
          <cell r="N283"/>
          <cell r="O283"/>
          <cell r="P283"/>
          <cell r="Q283"/>
          <cell r="R283"/>
          <cell r="S283"/>
          <cell r="T283"/>
          <cell r="U283"/>
          <cell r="V283"/>
          <cell r="W283"/>
          <cell r="X283"/>
          <cell r="Y283"/>
          <cell r="Z283"/>
          <cell r="AA283"/>
          <cell r="AB283"/>
          <cell r="AC283"/>
          <cell r="AD283"/>
          <cell r="AE283"/>
        </row>
        <row r="284">
          <cell r="G284"/>
          <cell r="H284"/>
          <cell r="I284"/>
          <cell r="J284"/>
          <cell r="K284"/>
          <cell r="L284"/>
          <cell r="M284"/>
          <cell r="N284"/>
          <cell r="O284"/>
          <cell r="P284"/>
          <cell r="Q284"/>
          <cell r="R284"/>
          <cell r="S284"/>
          <cell r="T284"/>
          <cell r="U284"/>
          <cell r="V284"/>
          <cell r="W284"/>
          <cell r="X284"/>
          <cell r="Y284"/>
          <cell r="Z284"/>
          <cell r="AA284"/>
          <cell r="AB284"/>
          <cell r="AC284"/>
          <cell r="AD284"/>
          <cell r="AE284"/>
        </row>
        <row r="285">
          <cell r="G285"/>
          <cell r="H285"/>
          <cell r="I285"/>
          <cell r="J285"/>
          <cell r="K285"/>
          <cell r="L285"/>
          <cell r="M285"/>
          <cell r="N285"/>
          <cell r="O285"/>
          <cell r="P285"/>
          <cell r="Q285"/>
          <cell r="R285"/>
          <cell r="S285"/>
          <cell r="T285"/>
          <cell r="U285"/>
          <cell r="V285"/>
          <cell r="W285"/>
          <cell r="X285"/>
          <cell r="Y285"/>
          <cell r="Z285"/>
          <cell r="AA285"/>
          <cell r="AB285"/>
          <cell r="AC285"/>
          <cell r="AD285"/>
          <cell r="AE285"/>
        </row>
        <row r="286">
          <cell r="G286"/>
          <cell r="H286"/>
          <cell r="I286"/>
          <cell r="J286"/>
          <cell r="K286"/>
          <cell r="L286"/>
          <cell r="M286"/>
          <cell r="N286"/>
          <cell r="O286"/>
          <cell r="P286"/>
          <cell r="Q286"/>
          <cell r="R286"/>
          <cell r="S286"/>
          <cell r="T286"/>
          <cell r="U286"/>
          <cell r="V286"/>
          <cell r="W286"/>
          <cell r="X286"/>
          <cell r="Y286"/>
          <cell r="Z286"/>
          <cell r="AA286"/>
          <cell r="AB286"/>
          <cell r="AC286"/>
          <cell r="AD286"/>
          <cell r="AE286"/>
        </row>
        <row r="287">
          <cell r="G287"/>
          <cell r="H287"/>
          <cell r="I287"/>
          <cell r="J287"/>
          <cell r="K287"/>
          <cell r="L287"/>
          <cell r="M287"/>
          <cell r="N287"/>
          <cell r="O287"/>
          <cell r="P287"/>
          <cell r="Q287"/>
          <cell r="R287"/>
          <cell r="S287"/>
          <cell r="T287"/>
          <cell r="U287"/>
          <cell r="V287"/>
          <cell r="W287"/>
          <cell r="X287"/>
          <cell r="Y287"/>
          <cell r="Z287"/>
          <cell r="AA287"/>
          <cell r="AB287"/>
          <cell r="AC287"/>
          <cell r="AD287"/>
          <cell r="AE287"/>
        </row>
        <row r="288">
          <cell r="G288"/>
          <cell r="H288"/>
          <cell r="I288"/>
          <cell r="J288"/>
          <cell r="K288"/>
          <cell r="L288"/>
          <cell r="M288"/>
          <cell r="N288"/>
          <cell r="O288"/>
          <cell r="P288"/>
          <cell r="Q288"/>
          <cell r="R288"/>
          <cell r="S288"/>
          <cell r="T288"/>
          <cell r="U288"/>
          <cell r="V288"/>
          <cell r="W288"/>
          <cell r="X288"/>
          <cell r="Y288"/>
          <cell r="Z288"/>
          <cell r="AA288"/>
          <cell r="AB288"/>
          <cell r="AC288"/>
          <cell r="AD288"/>
          <cell r="AE288"/>
        </row>
        <row r="289">
          <cell r="G289"/>
          <cell r="H289"/>
          <cell r="I289"/>
          <cell r="J289"/>
          <cell r="K289"/>
          <cell r="L289"/>
          <cell r="M289"/>
          <cell r="N289"/>
          <cell r="O289"/>
          <cell r="P289"/>
          <cell r="Q289"/>
          <cell r="R289"/>
          <cell r="S289"/>
          <cell r="T289"/>
          <cell r="U289"/>
          <cell r="V289"/>
          <cell r="W289"/>
          <cell r="X289"/>
          <cell r="Y289"/>
          <cell r="Z289"/>
          <cell r="AA289"/>
          <cell r="AB289"/>
          <cell r="AC289"/>
          <cell r="AD289"/>
          <cell r="AE289"/>
        </row>
        <row r="290">
          <cell r="G290"/>
          <cell r="H290"/>
          <cell r="I290"/>
          <cell r="J290"/>
          <cell r="K290"/>
          <cell r="L290"/>
          <cell r="M290"/>
          <cell r="N290"/>
          <cell r="O290"/>
          <cell r="P290"/>
          <cell r="Q290"/>
          <cell r="R290"/>
          <cell r="S290"/>
          <cell r="T290"/>
          <cell r="U290"/>
          <cell r="V290"/>
          <cell r="W290"/>
          <cell r="X290"/>
          <cell r="Y290"/>
          <cell r="Z290"/>
          <cell r="AA290"/>
          <cell r="AB290"/>
          <cell r="AC290"/>
          <cell r="AD290"/>
          <cell r="AE290"/>
        </row>
        <row r="291">
          <cell r="G291"/>
          <cell r="H291"/>
          <cell r="I291"/>
          <cell r="J291"/>
          <cell r="K291"/>
          <cell r="L291"/>
          <cell r="M291"/>
          <cell r="N291"/>
          <cell r="O291"/>
          <cell r="P291"/>
          <cell r="Q291"/>
          <cell r="R291"/>
          <cell r="S291"/>
          <cell r="T291"/>
          <cell r="U291"/>
          <cell r="V291"/>
          <cell r="W291"/>
          <cell r="X291"/>
          <cell r="Y291"/>
          <cell r="Z291"/>
          <cell r="AA291"/>
          <cell r="AB291"/>
          <cell r="AC291"/>
          <cell r="AD291"/>
          <cell r="AE291"/>
        </row>
        <row r="292">
          <cell r="G292"/>
          <cell r="H292"/>
          <cell r="I292"/>
          <cell r="J292"/>
          <cell r="K292"/>
          <cell r="L292"/>
          <cell r="M292"/>
          <cell r="N292"/>
          <cell r="O292"/>
          <cell r="P292"/>
          <cell r="Q292"/>
          <cell r="R292"/>
          <cell r="S292"/>
          <cell r="T292"/>
          <cell r="U292"/>
          <cell r="V292"/>
          <cell r="W292"/>
          <cell r="X292"/>
          <cell r="Y292"/>
          <cell r="Z292"/>
          <cell r="AA292"/>
          <cell r="AB292"/>
          <cell r="AC292"/>
          <cell r="AD292"/>
          <cell r="AE292"/>
        </row>
        <row r="293">
          <cell r="G293"/>
          <cell r="H293"/>
          <cell r="I293"/>
          <cell r="J293"/>
          <cell r="K293"/>
          <cell r="L293"/>
          <cell r="M293"/>
          <cell r="N293"/>
          <cell r="O293"/>
          <cell r="P293"/>
          <cell r="Q293"/>
          <cell r="R293"/>
          <cell r="S293"/>
          <cell r="T293"/>
          <cell r="U293"/>
          <cell r="V293"/>
          <cell r="W293"/>
          <cell r="X293"/>
          <cell r="Y293"/>
          <cell r="Z293"/>
          <cell r="AA293"/>
          <cell r="AB293"/>
          <cell r="AC293"/>
          <cell r="AD293"/>
          <cell r="AE293"/>
        </row>
        <row r="294">
          <cell r="G294"/>
          <cell r="H294"/>
          <cell r="I294"/>
          <cell r="J294"/>
          <cell r="K294"/>
          <cell r="L294"/>
          <cell r="M294"/>
          <cell r="N294"/>
          <cell r="O294"/>
          <cell r="P294"/>
          <cell r="Q294"/>
          <cell r="R294"/>
          <cell r="S294"/>
          <cell r="T294"/>
          <cell r="U294"/>
          <cell r="V294"/>
          <cell r="W294"/>
          <cell r="X294"/>
          <cell r="Y294"/>
          <cell r="Z294"/>
          <cell r="AA294"/>
          <cell r="AB294"/>
          <cell r="AC294"/>
          <cell r="AD294"/>
          <cell r="AE294"/>
        </row>
        <row r="295">
          <cell r="G295"/>
          <cell r="H295"/>
          <cell r="I295"/>
          <cell r="J295"/>
          <cell r="K295"/>
          <cell r="L295"/>
          <cell r="M295"/>
          <cell r="N295"/>
          <cell r="O295"/>
          <cell r="P295"/>
          <cell r="Q295"/>
          <cell r="R295"/>
          <cell r="S295"/>
          <cell r="T295"/>
          <cell r="U295"/>
          <cell r="V295"/>
          <cell r="W295"/>
          <cell r="X295"/>
          <cell r="Y295"/>
          <cell r="Z295"/>
          <cell r="AA295"/>
          <cell r="AB295"/>
          <cell r="AC295"/>
          <cell r="AD295"/>
          <cell r="AE295"/>
        </row>
        <row r="296">
          <cell r="G296"/>
          <cell r="H296"/>
          <cell r="I296"/>
          <cell r="J296"/>
          <cell r="K296"/>
          <cell r="L296"/>
          <cell r="M296"/>
          <cell r="N296"/>
          <cell r="O296"/>
          <cell r="P296"/>
          <cell r="Q296"/>
          <cell r="R296"/>
          <cell r="S296"/>
          <cell r="T296"/>
          <cell r="U296"/>
          <cell r="V296"/>
          <cell r="W296"/>
          <cell r="X296"/>
          <cell r="Y296"/>
          <cell r="Z296"/>
          <cell r="AA296"/>
          <cell r="AB296"/>
          <cell r="AC296"/>
          <cell r="AD296"/>
          <cell r="AE296"/>
        </row>
        <row r="297">
          <cell r="G297"/>
          <cell r="H297"/>
          <cell r="I297"/>
          <cell r="J297"/>
          <cell r="K297"/>
          <cell r="L297"/>
          <cell r="M297"/>
          <cell r="N297"/>
          <cell r="O297"/>
          <cell r="P297"/>
          <cell r="Q297"/>
          <cell r="R297"/>
          <cell r="S297"/>
          <cell r="T297"/>
          <cell r="U297"/>
          <cell r="V297"/>
          <cell r="W297"/>
          <cell r="X297"/>
          <cell r="Y297"/>
          <cell r="Z297"/>
          <cell r="AA297"/>
          <cell r="AB297"/>
          <cell r="AC297"/>
          <cell r="AD297"/>
          <cell r="AE297"/>
        </row>
        <row r="298">
          <cell r="G298"/>
          <cell r="H298"/>
          <cell r="I298"/>
          <cell r="J298"/>
          <cell r="K298"/>
          <cell r="L298"/>
          <cell r="M298"/>
          <cell r="N298"/>
          <cell r="O298"/>
          <cell r="P298"/>
          <cell r="Q298"/>
          <cell r="R298"/>
          <cell r="S298"/>
          <cell r="T298"/>
          <cell r="U298"/>
          <cell r="V298"/>
          <cell r="W298"/>
          <cell r="X298"/>
          <cell r="Y298"/>
          <cell r="Z298"/>
          <cell r="AA298"/>
          <cell r="AB298"/>
          <cell r="AC298"/>
          <cell r="AD298"/>
          <cell r="AE298"/>
        </row>
        <row r="299">
          <cell r="G299"/>
          <cell r="H299"/>
          <cell r="I299"/>
          <cell r="J299"/>
          <cell r="K299"/>
          <cell r="L299"/>
          <cell r="M299"/>
          <cell r="N299"/>
          <cell r="O299"/>
          <cell r="P299"/>
          <cell r="Q299"/>
          <cell r="R299"/>
          <cell r="S299"/>
          <cell r="T299"/>
          <cell r="U299"/>
          <cell r="V299"/>
          <cell r="W299"/>
          <cell r="X299"/>
          <cell r="Y299"/>
          <cell r="Z299"/>
          <cell r="AA299"/>
          <cell r="AB299"/>
          <cell r="AC299"/>
          <cell r="AD299"/>
          <cell r="AE299"/>
        </row>
        <row r="300">
          <cell r="G300"/>
          <cell r="H300"/>
          <cell r="I300"/>
          <cell r="J300"/>
          <cell r="K300"/>
          <cell r="L300"/>
          <cell r="M300"/>
          <cell r="N300"/>
          <cell r="O300"/>
          <cell r="P300"/>
          <cell r="Q300"/>
          <cell r="R300"/>
          <cell r="S300"/>
          <cell r="T300"/>
          <cell r="U300"/>
          <cell r="V300"/>
          <cell r="W300"/>
          <cell r="X300"/>
          <cell r="Y300"/>
          <cell r="Z300"/>
          <cell r="AA300"/>
          <cell r="AB300"/>
          <cell r="AC300"/>
          <cell r="AD300"/>
          <cell r="AE300"/>
        </row>
        <row r="301">
          <cell r="G301"/>
          <cell r="H301"/>
          <cell r="I301"/>
          <cell r="J301"/>
          <cell r="K301"/>
          <cell r="L301"/>
          <cell r="M301"/>
          <cell r="N301"/>
          <cell r="O301"/>
          <cell r="P301"/>
          <cell r="Q301"/>
          <cell r="R301"/>
          <cell r="S301"/>
          <cell r="T301"/>
          <cell r="U301"/>
          <cell r="V301"/>
          <cell r="W301"/>
          <cell r="X301"/>
          <cell r="Y301"/>
          <cell r="Z301"/>
          <cell r="AA301"/>
          <cell r="AB301"/>
          <cell r="AC301"/>
          <cell r="AD301"/>
          <cell r="AE301"/>
        </row>
        <row r="302">
          <cell r="G302"/>
          <cell r="H302"/>
          <cell r="I302"/>
          <cell r="J302"/>
          <cell r="K302"/>
          <cell r="L302"/>
          <cell r="M302"/>
          <cell r="N302"/>
          <cell r="O302"/>
          <cell r="P302"/>
          <cell r="Q302"/>
          <cell r="R302"/>
          <cell r="S302"/>
          <cell r="T302"/>
          <cell r="U302"/>
          <cell r="V302"/>
          <cell r="W302"/>
          <cell r="X302"/>
          <cell r="Y302"/>
          <cell r="Z302"/>
          <cell r="AA302"/>
          <cell r="AB302"/>
          <cell r="AC302"/>
          <cell r="AD302"/>
          <cell r="AE302"/>
        </row>
        <row r="303">
          <cell r="G303"/>
          <cell r="H303"/>
          <cell r="I303"/>
          <cell r="J303"/>
          <cell r="K303"/>
          <cell r="L303"/>
          <cell r="M303"/>
          <cell r="N303"/>
          <cell r="O303"/>
          <cell r="P303"/>
          <cell r="Q303"/>
          <cell r="R303"/>
          <cell r="S303"/>
          <cell r="T303"/>
          <cell r="U303"/>
          <cell r="V303"/>
          <cell r="W303"/>
          <cell r="X303"/>
          <cell r="Y303"/>
          <cell r="Z303"/>
          <cell r="AA303"/>
          <cell r="AB303"/>
          <cell r="AC303"/>
          <cell r="AD303"/>
          <cell r="AE303"/>
        </row>
        <row r="304">
          <cell r="G304"/>
          <cell r="H304"/>
          <cell r="I304"/>
          <cell r="J304"/>
          <cell r="K304"/>
          <cell r="L304"/>
          <cell r="M304"/>
          <cell r="N304"/>
          <cell r="O304"/>
          <cell r="P304"/>
          <cell r="Q304"/>
          <cell r="R304"/>
          <cell r="S304"/>
          <cell r="T304"/>
          <cell r="U304"/>
          <cell r="V304"/>
          <cell r="W304"/>
          <cell r="X304"/>
          <cell r="Y304"/>
          <cell r="Z304"/>
          <cell r="AA304"/>
          <cell r="AB304"/>
          <cell r="AC304"/>
          <cell r="AD304"/>
          <cell r="AE304"/>
        </row>
        <row r="305">
          <cell r="G305"/>
          <cell r="H305"/>
          <cell r="I305"/>
          <cell r="J305"/>
          <cell r="K305"/>
          <cell r="L305"/>
          <cell r="M305"/>
          <cell r="N305"/>
          <cell r="O305"/>
          <cell r="P305"/>
          <cell r="Q305"/>
          <cell r="R305"/>
          <cell r="S305"/>
          <cell r="T305"/>
          <cell r="U305"/>
          <cell r="V305"/>
          <cell r="W305"/>
          <cell r="X305"/>
          <cell r="Y305"/>
          <cell r="Z305"/>
          <cell r="AA305"/>
          <cell r="AB305"/>
          <cell r="AC305"/>
          <cell r="AD305"/>
          <cell r="AE305"/>
        </row>
        <row r="306">
          <cell r="G306"/>
          <cell r="H306"/>
          <cell r="I306"/>
          <cell r="J306"/>
          <cell r="K306"/>
          <cell r="L306"/>
          <cell r="M306"/>
          <cell r="N306"/>
          <cell r="O306"/>
          <cell r="P306"/>
          <cell r="Q306"/>
          <cell r="R306"/>
          <cell r="S306"/>
          <cell r="T306"/>
          <cell r="U306"/>
          <cell r="V306"/>
          <cell r="W306"/>
          <cell r="X306"/>
          <cell r="Y306"/>
          <cell r="Z306"/>
          <cell r="AA306"/>
          <cell r="AB306"/>
          <cell r="AC306"/>
          <cell r="AD306"/>
          <cell r="AE306"/>
        </row>
        <row r="307">
          <cell r="G307"/>
          <cell r="H307"/>
          <cell r="I307"/>
          <cell r="J307"/>
          <cell r="K307"/>
          <cell r="L307"/>
          <cell r="M307"/>
          <cell r="N307"/>
          <cell r="O307"/>
          <cell r="P307"/>
          <cell r="Q307"/>
          <cell r="R307"/>
          <cell r="S307"/>
          <cell r="T307"/>
          <cell r="U307"/>
          <cell r="V307"/>
          <cell r="W307"/>
          <cell r="X307"/>
          <cell r="Y307"/>
          <cell r="Z307"/>
          <cell r="AA307"/>
          <cell r="AB307"/>
          <cell r="AC307"/>
          <cell r="AD307"/>
          <cell r="AE307"/>
        </row>
        <row r="308">
          <cell r="G308"/>
          <cell r="H308"/>
          <cell r="I308"/>
          <cell r="J308"/>
          <cell r="K308"/>
          <cell r="L308"/>
          <cell r="M308"/>
          <cell r="N308"/>
          <cell r="O308"/>
          <cell r="P308"/>
          <cell r="Q308"/>
          <cell r="R308"/>
          <cell r="S308"/>
          <cell r="T308"/>
          <cell r="U308"/>
          <cell r="V308"/>
          <cell r="W308"/>
          <cell r="X308"/>
          <cell r="Y308"/>
          <cell r="Z308"/>
          <cell r="AA308"/>
          <cell r="AB308"/>
          <cell r="AC308"/>
          <cell r="AD308"/>
          <cell r="AE308"/>
        </row>
        <row r="309">
          <cell r="G309"/>
          <cell r="H309"/>
          <cell r="I309"/>
          <cell r="J309"/>
          <cell r="K309"/>
          <cell r="L309"/>
          <cell r="M309"/>
          <cell r="N309"/>
          <cell r="O309"/>
          <cell r="P309"/>
          <cell r="Q309"/>
          <cell r="R309"/>
          <cell r="S309"/>
          <cell r="T309"/>
          <cell r="U309"/>
          <cell r="V309"/>
          <cell r="W309"/>
          <cell r="X309"/>
          <cell r="Y309"/>
          <cell r="Z309"/>
          <cell r="AA309"/>
          <cell r="AB309"/>
          <cell r="AC309"/>
          <cell r="AD309"/>
          <cell r="AE309"/>
        </row>
        <row r="310">
          <cell r="G310"/>
          <cell r="H310"/>
          <cell r="I310"/>
          <cell r="J310"/>
          <cell r="K310"/>
          <cell r="L310"/>
          <cell r="M310"/>
          <cell r="N310"/>
          <cell r="O310"/>
          <cell r="P310"/>
          <cell r="Q310"/>
          <cell r="R310"/>
          <cell r="S310"/>
          <cell r="T310"/>
          <cell r="U310"/>
          <cell r="V310"/>
          <cell r="W310"/>
          <cell r="X310"/>
          <cell r="Y310"/>
          <cell r="Z310"/>
          <cell r="AA310"/>
          <cell r="AB310"/>
          <cell r="AC310"/>
          <cell r="AD310"/>
          <cell r="AE310"/>
        </row>
        <row r="311">
          <cell r="G311"/>
          <cell r="H311"/>
          <cell r="I311"/>
          <cell r="J311"/>
          <cell r="K311"/>
          <cell r="L311"/>
          <cell r="M311"/>
          <cell r="N311"/>
          <cell r="O311"/>
          <cell r="P311"/>
          <cell r="Q311"/>
          <cell r="R311"/>
          <cell r="S311"/>
          <cell r="T311"/>
          <cell r="U311"/>
          <cell r="V311"/>
          <cell r="W311"/>
          <cell r="X311"/>
          <cell r="Y311"/>
          <cell r="Z311"/>
          <cell r="AA311"/>
          <cell r="AB311"/>
          <cell r="AC311"/>
          <cell r="AD311"/>
          <cell r="AE311"/>
        </row>
        <row r="312">
          <cell r="G312"/>
          <cell r="H312"/>
          <cell r="I312"/>
          <cell r="J312"/>
          <cell r="K312"/>
          <cell r="L312"/>
          <cell r="M312"/>
          <cell r="N312"/>
          <cell r="O312"/>
          <cell r="P312"/>
          <cell r="Q312"/>
          <cell r="R312"/>
          <cell r="S312"/>
          <cell r="T312"/>
          <cell r="U312"/>
          <cell r="V312"/>
          <cell r="W312"/>
          <cell r="X312"/>
          <cell r="Y312"/>
          <cell r="Z312"/>
          <cell r="AA312"/>
          <cell r="AB312"/>
          <cell r="AC312"/>
          <cell r="AD312"/>
          <cell r="AE312"/>
        </row>
        <row r="313">
          <cell r="G313"/>
          <cell r="H313"/>
          <cell r="I313"/>
          <cell r="J313"/>
          <cell r="K313"/>
          <cell r="L313"/>
          <cell r="M313"/>
          <cell r="N313"/>
          <cell r="O313"/>
          <cell r="P313"/>
          <cell r="Q313"/>
          <cell r="R313"/>
          <cell r="S313"/>
          <cell r="T313"/>
          <cell r="U313"/>
          <cell r="V313"/>
          <cell r="W313"/>
          <cell r="X313"/>
          <cell r="Y313"/>
          <cell r="Z313"/>
          <cell r="AA313"/>
          <cell r="AB313"/>
          <cell r="AC313"/>
          <cell r="AD313"/>
          <cell r="AE313"/>
        </row>
        <row r="314">
          <cell r="G314"/>
          <cell r="H314"/>
          <cell r="I314"/>
          <cell r="J314"/>
          <cell r="K314"/>
          <cell r="L314"/>
          <cell r="M314"/>
          <cell r="N314"/>
          <cell r="O314"/>
          <cell r="P314"/>
          <cell r="Q314"/>
          <cell r="R314"/>
          <cell r="S314"/>
          <cell r="T314"/>
          <cell r="U314"/>
          <cell r="V314"/>
          <cell r="W314"/>
          <cell r="X314"/>
          <cell r="Y314"/>
          <cell r="Z314"/>
          <cell r="AA314"/>
          <cell r="AB314"/>
          <cell r="AC314"/>
          <cell r="AD314"/>
          <cell r="AE314"/>
        </row>
        <row r="315">
          <cell r="G315"/>
          <cell r="H315"/>
          <cell r="I315"/>
          <cell r="J315"/>
          <cell r="K315"/>
          <cell r="L315"/>
          <cell r="M315"/>
          <cell r="N315"/>
          <cell r="O315"/>
          <cell r="P315"/>
          <cell r="Q315"/>
          <cell r="R315"/>
          <cell r="S315"/>
          <cell r="T315"/>
          <cell r="U315"/>
          <cell r="V315"/>
          <cell r="W315"/>
          <cell r="X315"/>
          <cell r="Y315"/>
          <cell r="Z315"/>
          <cell r="AA315"/>
          <cell r="AB315"/>
          <cell r="AC315"/>
          <cell r="AD315"/>
          <cell r="AE315"/>
        </row>
        <row r="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row>
        <row r="317">
          <cell r="G317"/>
          <cell r="H317"/>
          <cell r="I317"/>
          <cell r="J317"/>
          <cell r="K317"/>
          <cell r="L317"/>
          <cell r="M317"/>
          <cell r="N317"/>
          <cell r="O317"/>
          <cell r="P317"/>
          <cell r="Q317"/>
          <cell r="R317"/>
          <cell r="S317"/>
          <cell r="T317"/>
          <cell r="U317"/>
          <cell r="V317"/>
          <cell r="W317"/>
          <cell r="X317"/>
          <cell r="Y317"/>
          <cell r="Z317"/>
          <cell r="AA317"/>
          <cell r="AB317"/>
          <cell r="AC317"/>
          <cell r="AD317"/>
          <cell r="AE317"/>
        </row>
        <row r="318">
          <cell r="G318"/>
          <cell r="H318"/>
          <cell r="I318"/>
          <cell r="J318"/>
          <cell r="K318"/>
          <cell r="L318"/>
          <cell r="M318"/>
          <cell r="N318"/>
          <cell r="O318"/>
          <cell r="P318"/>
          <cell r="Q318"/>
          <cell r="R318"/>
          <cell r="S318"/>
          <cell r="T318"/>
          <cell r="U318"/>
          <cell r="V318"/>
          <cell r="W318"/>
          <cell r="X318"/>
          <cell r="Y318"/>
          <cell r="Z318"/>
          <cell r="AA318"/>
          <cell r="AB318"/>
          <cell r="AC318"/>
          <cell r="AD318"/>
          <cell r="AE318"/>
        </row>
        <row r="319">
          <cell r="G319"/>
          <cell r="H319"/>
          <cell r="I319"/>
          <cell r="J319"/>
          <cell r="K319"/>
          <cell r="L319"/>
          <cell r="M319"/>
          <cell r="N319"/>
          <cell r="O319"/>
          <cell r="P319"/>
          <cell r="Q319"/>
          <cell r="R319"/>
          <cell r="S319"/>
          <cell r="T319"/>
          <cell r="U319"/>
          <cell r="V319"/>
          <cell r="W319"/>
          <cell r="X319"/>
          <cell r="Y319"/>
          <cell r="Z319"/>
          <cell r="AA319"/>
          <cell r="AB319"/>
          <cell r="AC319"/>
          <cell r="AD319"/>
          <cell r="AE319"/>
        </row>
        <row r="320">
          <cell r="G320"/>
          <cell r="H320"/>
          <cell r="I320"/>
          <cell r="J320"/>
          <cell r="K320"/>
          <cell r="L320"/>
          <cell r="M320"/>
          <cell r="N320"/>
          <cell r="O320"/>
          <cell r="P320"/>
          <cell r="Q320"/>
          <cell r="R320"/>
          <cell r="S320"/>
          <cell r="T320"/>
          <cell r="U320"/>
          <cell r="V320"/>
          <cell r="W320"/>
          <cell r="X320"/>
          <cell r="Y320"/>
          <cell r="Z320"/>
          <cell r="AA320"/>
          <cell r="AB320"/>
          <cell r="AC320"/>
          <cell r="AD320"/>
          <cell r="AE320"/>
        </row>
        <row r="321">
          <cell r="G321"/>
          <cell r="H321"/>
          <cell r="I321"/>
          <cell r="J321"/>
          <cell r="K321"/>
          <cell r="L321"/>
          <cell r="M321"/>
          <cell r="N321"/>
          <cell r="O321"/>
          <cell r="P321"/>
          <cell r="Q321"/>
          <cell r="R321"/>
          <cell r="S321"/>
          <cell r="T321"/>
          <cell r="U321"/>
          <cell r="V321"/>
          <cell r="W321"/>
          <cell r="X321"/>
          <cell r="Y321"/>
          <cell r="Z321"/>
          <cell r="AA321"/>
          <cell r="AB321"/>
          <cell r="AC321"/>
          <cell r="AD321"/>
          <cell r="AE321"/>
        </row>
        <row r="322">
          <cell r="G322"/>
          <cell r="H322"/>
          <cell r="I322"/>
          <cell r="J322"/>
          <cell r="K322"/>
          <cell r="L322"/>
          <cell r="M322"/>
          <cell r="N322"/>
          <cell r="O322"/>
          <cell r="P322"/>
          <cell r="Q322"/>
          <cell r="R322"/>
          <cell r="S322"/>
          <cell r="T322"/>
          <cell r="U322"/>
          <cell r="V322"/>
          <cell r="W322"/>
          <cell r="X322"/>
          <cell r="Y322"/>
          <cell r="Z322"/>
          <cell r="AA322"/>
          <cell r="AB322"/>
          <cell r="AC322"/>
          <cell r="AD322"/>
          <cell r="AE322"/>
        </row>
        <row r="323">
          <cell r="G323"/>
          <cell r="H323"/>
          <cell r="I323"/>
          <cell r="J323"/>
          <cell r="K323"/>
          <cell r="L323"/>
          <cell r="M323"/>
          <cell r="N323"/>
          <cell r="O323"/>
          <cell r="P323"/>
          <cell r="Q323"/>
          <cell r="R323"/>
          <cell r="S323"/>
          <cell r="T323"/>
          <cell r="U323"/>
          <cell r="V323"/>
          <cell r="W323"/>
          <cell r="X323"/>
          <cell r="Y323"/>
          <cell r="Z323"/>
          <cell r="AA323"/>
          <cell r="AB323"/>
          <cell r="AC323"/>
          <cell r="AD323"/>
          <cell r="AE323"/>
        </row>
        <row r="324">
          <cell r="G324"/>
          <cell r="H324"/>
          <cell r="I324"/>
          <cell r="J324"/>
          <cell r="K324"/>
          <cell r="L324"/>
          <cell r="M324"/>
          <cell r="N324"/>
          <cell r="O324"/>
          <cell r="P324"/>
          <cell r="Q324"/>
          <cell r="R324"/>
          <cell r="S324"/>
          <cell r="T324"/>
          <cell r="U324"/>
          <cell r="V324"/>
          <cell r="W324"/>
          <cell r="X324"/>
          <cell r="Y324"/>
          <cell r="Z324"/>
          <cell r="AA324"/>
          <cell r="AB324"/>
          <cell r="AC324"/>
          <cell r="AD324"/>
          <cell r="AE324"/>
        </row>
        <row r="325">
          <cell r="G325"/>
          <cell r="H325"/>
          <cell r="I325"/>
          <cell r="J325"/>
          <cell r="K325"/>
          <cell r="L325"/>
          <cell r="M325"/>
          <cell r="N325"/>
          <cell r="O325"/>
          <cell r="P325"/>
          <cell r="Q325"/>
          <cell r="R325"/>
          <cell r="S325"/>
          <cell r="T325"/>
          <cell r="U325"/>
          <cell r="V325"/>
          <cell r="W325"/>
          <cell r="X325"/>
          <cell r="Y325"/>
          <cell r="Z325"/>
          <cell r="AA325"/>
          <cell r="AB325"/>
          <cell r="AC325"/>
          <cell r="AD325"/>
          <cell r="AE325"/>
        </row>
        <row r="326">
          <cell r="G326"/>
          <cell r="H326"/>
          <cell r="I326"/>
          <cell r="J326"/>
          <cell r="K326"/>
          <cell r="L326"/>
          <cell r="M326"/>
          <cell r="N326"/>
          <cell r="O326"/>
          <cell r="P326"/>
          <cell r="Q326"/>
          <cell r="R326"/>
          <cell r="S326"/>
          <cell r="T326"/>
          <cell r="U326"/>
          <cell r="V326"/>
          <cell r="W326"/>
          <cell r="X326"/>
          <cell r="Y326"/>
          <cell r="Z326"/>
          <cell r="AA326"/>
          <cell r="AB326"/>
          <cell r="AC326"/>
          <cell r="AD326"/>
          <cell r="AE326"/>
        </row>
        <row r="327">
          <cell r="G327"/>
          <cell r="H327"/>
          <cell r="I327"/>
          <cell r="J327"/>
          <cell r="K327"/>
          <cell r="L327"/>
          <cell r="M327"/>
          <cell r="N327"/>
          <cell r="O327"/>
          <cell r="P327"/>
          <cell r="Q327"/>
          <cell r="R327"/>
          <cell r="S327"/>
          <cell r="T327"/>
          <cell r="U327"/>
          <cell r="V327"/>
          <cell r="W327"/>
          <cell r="X327"/>
          <cell r="Y327"/>
          <cell r="Z327"/>
          <cell r="AA327"/>
          <cell r="AB327"/>
          <cell r="AC327"/>
          <cell r="AD327"/>
          <cell r="AE327"/>
        </row>
        <row r="328">
          <cell r="G328"/>
          <cell r="H328"/>
          <cell r="I328"/>
          <cell r="J328"/>
          <cell r="K328"/>
          <cell r="L328"/>
          <cell r="M328"/>
          <cell r="N328"/>
          <cell r="O328"/>
          <cell r="P328"/>
          <cell r="Q328"/>
          <cell r="R328"/>
          <cell r="S328"/>
          <cell r="T328"/>
          <cell r="U328"/>
          <cell r="V328"/>
          <cell r="W328"/>
          <cell r="X328"/>
          <cell r="Y328"/>
          <cell r="Z328"/>
          <cell r="AA328"/>
          <cell r="AB328"/>
          <cell r="AC328"/>
          <cell r="AD328"/>
          <cell r="AE328"/>
        </row>
        <row r="329">
          <cell r="G329"/>
          <cell r="H329"/>
          <cell r="I329"/>
          <cell r="J329"/>
          <cell r="K329"/>
          <cell r="L329"/>
          <cell r="M329"/>
          <cell r="N329"/>
          <cell r="O329"/>
          <cell r="P329"/>
          <cell r="Q329"/>
          <cell r="R329"/>
          <cell r="S329"/>
          <cell r="T329"/>
          <cell r="U329"/>
          <cell r="V329"/>
          <cell r="W329"/>
          <cell r="X329"/>
          <cell r="Y329"/>
          <cell r="Z329"/>
          <cell r="AA329"/>
          <cell r="AB329"/>
          <cell r="AC329"/>
          <cell r="AD329"/>
          <cell r="AE329"/>
        </row>
        <row r="330">
          <cell r="G330"/>
          <cell r="H330"/>
          <cell r="I330"/>
          <cell r="J330"/>
          <cell r="K330"/>
          <cell r="L330"/>
          <cell r="M330"/>
          <cell r="N330"/>
          <cell r="O330"/>
          <cell r="P330"/>
          <cell r="Q330"/>
          <cell r="R330"/>
          <cell r="S330"/>
          <cell r="T330"/>
          <cell r="U330"/>
          <cell r="V330"/>
          <cell r="W330"/>
          <cell r="X330"/>
          <cell r="Y330"/>
          <cell r="Z330"/>
          <cell r="AA330"/>
          <cell r="AB330"/>
          <cell r="AC330"/>
          <cell r="AD330"/>
          <cell r="AE330"/>
        </row>
        <row r="331">
          <cell r="G331"/>
          <cell r="H331"/>
          <cell r="I331"/>
          <cell r="J331"/>
          <cell r="K331"/>
          <cell r="L331"/>
          <cell r="M331"/>
          <cell r="N331"/>
          <cell r="O331"/>
          <cell r="P331"/>
          <cell r="Q331"/>
          <cell r="R331"/>
          <cell r="S331"/>
          <cell r="T331"/>
          <cell r="U331"/>
          <cell r="V331"/>
          <cell r="W331"/>
          <cell r="X331"/>
          <cell r="Y331"/>
          <cell r="Z331"/>
          <cell r="AA331"/>
          <cell r="AB331"/>
          <cell r="AC331"/>
          <cell r="AD331"/>
          <cell r="AE331"/>
        </row>
        <row r="332">
          <cell r="G332"/>
          <cell r="H332"/>
          <cell r="I332"/>
          <cell r="J332"/>
          <cell r="K332"/>
          <cell r="L332"/>
          <cell r="M332"/>
          <cell r="N332"/>
          <cell r="O332"/>
          <cell r="P332"/>
          <cell r="Q332"/>
          <cell r="R332"/>
          <cell r="S332"/>
          <cell r="T332"/>
          <cell r="U332"/>
          <cell r="V332"/>
          <cell r="W332"/>
          <cell r="X332"/>
          <cell r="Y332"/>
          <cell r="Z332"/>
          <cell r="AA332"/>
          <cell r="AB332"/>
          <cell r="AC332"/>
          <cell r="AD332"/>
          <cell r="AE332"/>
        </row>
        <row r="333">
          <cell r="G333"/>
          <cell r="H333"/>
          <cell r="I333"/>
          <cell r="J333"/>
          <cell r="K333"/>
          <cell r="L333"/>
          <cell r="M333"/>
          <cell r="N333"/>
          <cell r="O333"/>
          <cell r="P333"/>
          <cell r="Q333"/>
          <cell r="R333"/>
          <cell r="S333"/>
          <cell r="T333"/>
          <cell r="U333"/>
          <cell r="V333"/>
          <cell r="W333"/>
          <cell r="X333"/>
          <cell r="Y333"/>
          <cell r="Z333"/>
          <cell r="AA333"/>
          <cell r="AB333"/>
          <cell r="AC333"/>
          <cell r="AD333"/>
          <cell r="AE333"/>
        </row>
        <row r="334">
          <cell r="G334"/>
          <cell r="H334"/>
          <cell r="I334"/>
          <cell r="J334"/>
          <cell r="K334"/>
          <cell r="L334"/>
          <cell r="M334"/>
          <cell r="N334"/>
          <cell r="O334"/>
          <cell r="P334"/>
          <cell r="Q334"/>
          <cell r="R334"/>
          <cell r="S334"/>
          <cell r="T334"/>
          <cell r="U334"/>
          <cell r="V334"/>
          <cell r="W334"/>
          <cell r="X334"/>
          <cell r="Y334"/>
          <cell r="Z334"/>
          <cell r="AA334"/>
          <cell r="AB334"/>
          <cell r="AC334"/>
          <cell r="AD334"/>
          <cell r="AE334"/>
        </row>
        <row r="335">
          <cell r="G335"/>
          <cell r="H335"/>
          <cell r="I335"/>
          <cell r="J335"/>
          <cell r="K335"/>
          <cell r="L335"/>
          <cell r="M335"/>
          <cell r="N335"/>
          <cell r="O335"/>
          <cell r="P335"/>
          <cell r="Q335"/>
          <cell r="R335"/>
          <cell r="S335"/>
          <cell r="T335"/>
          <cell r="U335"/>
          <cell r="V335"/>
          <cell r="W335"/>
          <cell r="X335"/>
          <cell r="Y335"/>
          <cell r="Z335"/>
          <cell r="AA335"/>
          <cell r="AB335"/>
          <cell r="AC335"/>
          <cell r="AD335"/>
          <cell r="AE335"/>
        </row>
        <row r="336">
          <cell r="G336"/>
          <cell r="H336"/>
          <cell r="I336"/>
          <cell r="J336"/>
          <cell r="K336"/>
          <cell r="L336"/>
          <cell r="M336"/>
          <cell r="N336"/>
          <cell r="O336"/>
          <cell r="P336"/>
          <cell r="Q336"/>
          <cell r="R336"/>
          <cell r="S336"/>
          <cell r="T336"/>
          <cell r="U336"/>
          <cell r="V336"/>
          <cell r="W336"/>
          <cell r="X336"/>
          <cell r="Y336"/>
          <cell r="Z336"/>
          <cell r="AA336"/>
          <cell r="AB336"/>
          <cell r="AC336"/>
          <cell r="AD336"/>
          <cell r="AE336"/>
        </row>
        <row r="337">
          <cell r="G337"/>
          <cell r="H337"/>
          <cell r="I337"/>
          <cell r="J337"/>
          <cell r="K337"/>
          <cell r="L337"/>
          <cell r="M337"/>
          <cell r="N337"/>
          <cell r="O337"/>
          <cell r="P337"/>
          <cell r="Q337"/>
          <cell r="R337"/>
          <cell r="S337"/>
          <cell r="T337"/>
          <cell r="U337"/>
          <cell r="V337"/>
          <cell r="W337"/>
          <cell r="X337"/>
          <cell r="Y337"/>
          <cell r="Z337"/>
          <cell r="AA337"/>
          <cell r="AB337"/>
          <cell r="AC337"/>
          <cell r="AD337"/>
          <cell r="AE337"/>
        </row>
        <row r="338">
          <cell r="G338"/>
          <cell r="H338"/>
          <cell r="I338"/>
          <cell r="J338"/>
          <cell r="K338"/>
          <cell r="L338"/>
          <cell r="M338"/>
          <cell r="N338"/>
          <cell r="O338"/>
          <cell r="P338"/>
          <cell r="Q338"/>
          <cell r="R338"/>
          <cell r="S338"/>
          <cell r="T338"/>
          <cell r="U338"/>
          <cell r="V338"/>
          <cell r="W338"/>
          <cell r="X338"/>
          <cell r="Y338"/>
          <cell r="Z338"/>
          <cell r="AA338"/>
          <cell r="AB338"/>
          <cell r="AC338"/>
          <cell r="AD338"/>
          <cell r="AE338"/>
        </row>
        <row r="339">
          <cell r="G339"/>
          <cell r="H339"/>
          <cell r="I339"/>
          <cell r="J339"/>
          <cell r="K339"/>
          <cell r="L339"/>
          <cell r="M339"/>
          <cell r="N339"/>
          <cell r="O339"/>
          <cell r="P339"/>
          <cell r="Q339"/>
          <cell r="R339"/>
          <cell r="S339"/>
          <cell r="T339"/>
          <cell r="U339"/>
          <cell r="V339"/>
          <cell r="W339"/>
          <cell r="X339"/>
          <cell r="Y339"/>
          <cell r="Z339"/>
          <cell r="AA339"/>
          <cell r="AB339"/>
          <cell r="AC339"/>
          <cell r="AD339"/>
          <cell r="AE339"/>
        </row>
        <row r="340">
          <cell r="G340"/>
          <cell r="H340"/>
          <cell r="I340"/>
          <cell r="J340"/>
          <cell r="K340"/>
          <cell r="L340"/>
          <cell r="M340"/>
          <cell r="N340"/>
          <cell r="O340"/>
          <cell r="P340"/>
          <cell r="Q340"/>
          <cell r="R340"/>
          <cell r="S340"/>
          <cell r="T340"/>
          <cell r="U340"/>
          <cell r="V340"/>
          <cell r="W340"/>
          <cell r="X340"/>
          <cell r="Y340"/>
          <cell r="Z340"/>
          <cell r="AA340"/>
          <cell r="AB340"/>
          <cell r="AC340"/>
          <cell r="AD340"/>
          <cell r="AE340"/>
        </row>
        <row r="341">
          <cell r="G341"/>
          <cell r="H341"/>
          <cell r="I341"/>
          <cell r="J341"/>
          <cell r="K341"/>
          <cell r="L341"/>
          <cell r="M341"/>
          <cell r="N341"/>
          <cell r="O341"/>
          <cell r="P341"/>
          <cell r="Q341"/>
          <cell r="R341"/>
          <cell r="S341"/>
          <cell r="T341"/>
          <cell r="U341"/>
          <cell r="V341"/>
          <cell r="W341"/>
          <cell r="X341"/>
          <cell r="Y341"/>
          <cell r="Z341"/>
          <cell r="AA341"/>
          <cell r="AB341"/>
          <cell r="AC341"/>
          <cell r="AD341"/>
          <cell r="AE341"/>
        </row>
        <row r="342">
          <cell r="G342"/>
          <cell r="H342"/>
          <cell r="I342"/>
          <cell r="J342"/>
          <cell r="K342"/>
          <cell r="L342"/>
          <cell r="M342"/>
          <cell r="N342"/>
          <cell r="O342"/>
          <cell r="P342"/>
          <cell r="Q342"/>
          <cell r="R342"/>
          <cell r="S342"/>
          <cell r="T342"/>
          <cell r="U342"/>
          <cell r="V342"/>
          <cell r="W342"/>
          <cell r="X342"/>
          <cell r="Y342"/>
          <cell r="Z342"/>
          <cell r="AA342"/>
          <cell r="AB342"/>
          <cell r="AC342"/>
          <cell r="AD342"/>
          <cell r="AE342"/>
        </row>
        <row r="343">
          <cell r="G343"/>
          <cell r="H343"/>
          <cell r="I343"/>
          <cell r="J343"/>
          <cell r="K343"/>
          <cell r="L343"/>
          <cell r="M343"/>
          <cell r="N343"/>
          <cell r="O343"/>
          <cell r="P343"/>
          <cell r="Q343"/>
          <cell r="R343"/>
          <cell r="S343"/>
          <cell r="T343"/>
          <cell r="U343"/>
          <cell r="V343"/>
          <cell r="W343"/>
          <cell r="X343"/>
          <cell r="Y343"/>
          <cell r="Z343"/>
          <cell r="AA343"/>
          <cell r="AB343"/>
          <cell r="AC343"/>
          <cell r="AD343"/>
          <cell r="AE343"/>
        </row>
        <row r="344">
          <cell r="G344"/>
          <cell r="H344"/>
          <cell r="I344"/>
          <cell r="J344"/>
          <cell r="K344"/>
          <cell r="L344"/>
          <cell r="M344"/>
          <cell r="N344"/>
          <cell r="O344"/>
          <cell r="P344"/>
          <cell r="Q344"/>
          <cell r="R344"/>
          <cell r="S344"/>
          <cell r="T344"/>
          <cell r="U344"/>
          <cell r="V344"/>
          <cell r="W344"/>
          <cell r="X344"/>
          <cell r="Y344"/>
          <cell r="Z344"/>
          <cell r="AA344"/>
          <cell r="AB344"/>
          <cell r="AC344"/>
          <cell r="AD344"/>
          <cell r="AE344"/>
        </row>
        <row r="345">
          <cell r="G345"/>
          <cell r="H345"/>
          <cell r="I345"/>
          <cell r="J345"/>
          <cell r="K345"/>
          <cell r="L345"/>
          <cell r="M345"/>
          <cell r="N345"/>
          <cell r="O345"/>
          <cell r="P345"/>
          <cell r="Q345"/>
          <cell r="R345"/>
          <cell r="S345"/>
          <cell r="T345"/>
          <cell r="U345"/>
          <cell r="V345"/>
          <cell r="W345"/>
          <cell r="X345"/>
          <cell r="Y345"/>
          <cell r="Z345"/>
          <cell r="AA345"/>
          <cell r="AB345"/>
          <cell r="AC345"/>
          <cell r="AD345"/>
          <cell r="AE345"/>
        </row>
        <row r="346">
          <cell r="G346"/>
          <cell r="H346"/>
          <cell r="I346"/>
          <cell r="J346"/>
          <cell r="K346"/>
          <cell r="L346"/>
          <cell r="M346"/>
          <cell r="N346"/>
          <cell r="O346"/>
          <cell r="P346"/>
          <cell r="Q346"/>
          <cell r="R346"/>
          <cell r="S346"/>
          <cell r="T346"/>
          <cell r="U346"/>
          <cell r="V346"/>
          <cell r="W346"/>
          <cell r="X346"/>
          <cell r="Y346"/>
          <cell r="Z346"/>
          <cell r="AA346"/>
          <cell r="AB346"/>
          <cell r="AC346"/>
          <cell r="AD346"/>
          <cell r="AE346"/>
        </row>
        <row r="347">
          <cell r="G347"/>
          <cell r="H347"/>
          <cell r="I347"/>
          <cell r="J347"/>
          <cell r="K347"/>
          <cell r="L347"/>
          <cell r="M347"/>
          <cell r="N347"/>
          <cell r="O347"/>
          <cell r="P347"/>
          <cell r="Q347"/>
          <cell r="R347"/>
          <cell r="S347"/>
          <cell r="T347"/>
          <cell r="U347"/>
          <cell r="V347"/>
          <cell r="W347"/>
          <cell r="X347"/>
          <cell r="Y347"/>
          <cell r="Z347"/>
          <cell r="AA347"/>
          <cell r="AB347"/>
          <cell r="AC347"/>
          <cell r="AD347"/>
          <cell r="AE347"/>
        </row>
        <row r="348">
          <cell r="G348"/>
          <cell r="H348"/>
          <cell r="I348"/>
          <cell r="J348"/>
          <cell r="K348"/>
          <cell r="L348"/>
          <cell r="M348"/>
          <cell r="N348"/>
          <cell r="O348"/>
          <cell r="P348"/>
          <cell r="Q348"/>
          <cell r="R348"/>
          <cell r="S348"/>
          <cell r="T348"/>
          <cell r="U348"/>
          <cell r="V348"/>
          <cell r="W348"/>
          <cell r="X348"/>
          <cell r="Y348"/>
          <cell r="Z348"/>
          <cell r="AA348"/>
          <cell r="AB348"/>
          <cell r="AC348"/>
          <cell r="AD348"/>
          <cell r="AE348"/>
        </row>
        <row r="349">
          <cell r="G349"/>
          <cell r="H349"/>
          <cell r="I349"/>
          <cell r="J349"/>
          <cell r="K349"/>
          <cell r="L349"/>
          <cell r="M349"/>
          <cell r="N349"/>
          <cell r="O349"/>
          <cell r="P349"/>
          <cell r="Q349"/>
          <cell r="R349"/>
          <cell r="S349"/>
          <cell r="T349"/>
          <cell r="U349"/>
          <cell r="V349"/>
          <cell r="W349"/>
          <cell r="X349"/>
          <cell r="Y349"/>
          <cell r="Z349"/>
          <cell r="AA349"/>
          <cell r="AB349"/>
          <cell r="AC349"/>
          <cell r="AD349"/>
          <cell r="AE349"/>
        </row>
        <row r="350">
          <cell r="G350"/>
          <cell r="H350"/>
          <cell r="I350"/>
          <cell r="J350"/>
          <cell r="K350"/>
          <cell r="L350"/>
          <cell r="M350"/>
          <cell r="N350"/>
          <cell r="O350"/>
          <cell r="P350"/>
          <cell r="Q350"/>
          <cell r="R350"/>
          <cell r="S350"/>
          <cell r="T350"/>
          <cell r="U350"/>
          <cell r="V350"/>
          <cell r="W350"/>
          <cell r="X350"/>
          <cell r="Y350"/>
          <cell r="Z350"/>
          <cell r="AA350"/>
          <cell r="AB350"/>
          <cell r="AC350"/>
          <cell r="AD350"/>
          <cell r="AE350"/>
        </row>
        <row r="351">
          <cell r="G351"/>
          <cell r="H351"/>
          <cell r="I351"/>
          <cell r="J351"/>
          <cell r="K351"/>
          <cell r="L351"/>
          <cell r="M351"/>
          <cell r="N351"/>
          <cell r="O351"/>
          <cell r="P351"/>
          <cell r="Q351"/>
          <cell r="R351"/>
          <cell r="S351"/>
          <cell r="T351"/>
          <cell r="U351"/>
          <cell r="V351"/>
          <cell r="W351"/>
          <cell r="X351"/>
          <cell r="Y351"/>
          <cell r="Z351"/>
          <cell r="AA351"/>
          <cell r="AB351"/>
          <cell r="AC351"/>
          <cell r="AD351"/>
          <cell r="AE351"/>
        </row>
        <row r="352">
          <cell r="G352"/>
          <cell r="H352"/>
          <cell r="I352"/>
          <cell r="J352"/>
          <cell r="K352"/>
          <cell r="L352"/>
          <cell r="M352"/>
          <cell r="N352"/>
          <cell r="O352"/>
          <cell r="P352"/>
          <cell r="Q352"/>
          <cell r="R352"/>
          <cell r="S352"/>
          <cell r="T352"/>
          <cell r="U352"/>
          <cell r="V352"/>
          <cell r="W352"/>
          <cell r="X352"/>
          <cell r="Y352"/>
          <cell r="Z352"/>
          <cell r="AA352"/>
          <cell r="AB352"/>
          <cell r="AC352"/>
          <cell r="AD352"/>
          <cell r="AE352"/>
        </row>
        <row r="353">
          <cell r="G353"/>
          <cell r="H353"/>
          <cell r="I353"/>
          <cell r="J353"/>
          <cell r="K353"/>
          <cell r="L353"/>
          <cell r="M353"/>
          <cell r="N353"/>
          <cell r="O353"/>
          <cell r="P353"/>
          <cell r="Q353"/>
          <cell r="R353"/>
          <cell r="S353"/>
          <cell r="T353"/>
          <cell r="U353"/>
          <cell r="V353"/>
          <cell r="W353"/>
          <cell r="X353"/>
          <cell r="Y353"/>
          <cell r="Z353"/>
          <cell r="AA353"/>
          <cell r="AB353"/>
          <cell r="AC353"/>
          <cell r="AD353"/>
          <cell r="AE353"/>
        </row>
        <row r="354">
          <cell r="G354"/>
          <cell r="H354"/>
          <cell r="I354"/>
          <cell r="J354"/>
          <cell r="K354"/>
          <cell r="L354"/>
          <cell r="M354"/>
          <cell r="N354"/>
          <cell r="O354"/>
          <cell r="P354"/>
          <cell r="Q354"/>
          <cell r="R354"/>
          <cell r="S354"/>
          <cell r="T354"/>
          <cell r="U354"/>
          <cell r="V354"/>
          <cell r="W354"/>
          <cell r="X354"/>
          <cell r="Y354"/>
          <cell r="Z354"/>
          <cell r="AA354"/>
          <cell r="AB354"/>
          <cell r="AC354"/>
          <cell r="AD354"/>
          <cell r="AE354"/>
        </row>
        <row r="355">
          <cell r="G355"/>
          <cell r="H355"/>
          <cell r="I355"/>
          <cell r="J355"/>
          <cell r="K355"/>
          <cell r="L355"/>
          <cell r="M355"/>
          <cell r="N355"/>
          <cell r="O355"/>
          <cell r="P355"/>
          <cell r="Q355"/>
          <cell r="R355"/>
          <cell r="S355"/>
          <cell r="T355"/>
          <cell r="U355"/>
          <cell r="V355"/>
          <cell r="W355"/>
          <cell r="X355"/>
          <cell r="Y355"/>
          <cell r="Z355"/>
          <cell r="AA355"/>
          <cell r="AB355"/>
          <cell r="AC355"/>
          <cell r="AD355"/>
          <cell r="AE355"/>
        </row>
        <row r="356">
          <cell r="G356"/>
          <cell r="H356"/>
          <cell r="I356"/>
          <cell r="J356"/>
          <cell r="K356"/>
          <cell r="L356"/>
          <cell r="M356"/>
          <cell r="N356"/>
          <cell r="O356"/>
          <cell r="P356"/>
          <cell r="Q356"/>
          <cell r="R356"/>
          <cell r="S356"/>
          <cell r="T356"/>
          <cell r="U356"/>
          <cell r="V356"/>
          <cell r="W356"/>
          <cell r="X356"/>
          <cell r="Y356"/>
          <cell r="Z356"/>
          <cell r="AA356"/>
          <cell r="AB356"/>
          <cell r="AC356"/>
          <cell r="AD356"/>
          <cell r="AE356"/>
        </row>
        <row r="357">
          <cell r="G357"/>
          <cell r="H357"/>
          <cell r="I357"/>
          <cell r="J357"/>
          <cell r="K357"/>
          <cell r="L357"/>
          <cell r="M357"/>
          <cell r="N357"/>
          <cell r="O357"/>
          <cell r="P357"/>
          <cell r="Q357"/>
          <cell r="R357"/>
          <cell r="S357"/>
          <cell r="T357"/>
          <cell r="U357"/>
          <cell r="V357"/>
          <cell r="W357"/>
          <cell r="X357"/>
          <cell r="Y357"/>
          <cell r="Z357"/>
          <cell r="AA357"/>
          <cell r="AB357"/>
          <cell r="AC357"/>
          <cell r="AD357"/>
          <cell r="AE357"/>
        </row>
        <row r="358">
          <cell r="G358"/>
          <cell r="H358"/>
          <cell r="I358"/>
          <cell r="J358"/>
          <cell r="K358"/>
          <cell r="L358"/>
          <cell r="M358"/>
          <cell r="N358"/>
          <cell r="O358"/>
          <cell r="P358"/>
          <cell r="Q358"/>
          <cell r="R358"/>
          <cell r="S358"/>
          <cell r="T358"/>
          <cell r="U358"/>
          <cell r="V358"/>
          <cell r="W358"/>
          <cell r="X358"/>
          <cell r="Y358"/>
          <cell r="Z358"/>
          <cell r="AA358"/>
          <cell r="AB358"/>
          <cell r="AC358"/>
          <cell r="AD358"/>
          <cell r="AE358"/>
        </row>
        <row r="359">
          <cell r="G359"/>
          <cell r="H359"/>
          <cell r="I359"/>
          <cell r="J359"/>
          <cell r="K359"/>
          <cell r="L359"/>
          <cell r="M359"/>
          <cell r="N359"/>
          <cell r="O359"/>
          <cell r="P359"/>
          <cell r="Q359"/>
          <cell r="R359"/>
          <cell r="S359"/>
          <cell r="T359"/>
          <cell r="U359"/>
          <cell r="V359"/>
          <cell r="W359"/>
          <cell r="X359"/>
          <cell r="Y359"/>
          <cell r="Z359"/>
          <cell r="AA359"/>
          <cell r="AB359"/>
          <cell r="AC359"/>
          <cell r="AD359"/>
          <cell r="AE359"/>
        </row>
        <row r="360">
          <cell r="G360"/>
          <cell r="H360"/>
          <cell r="I360"/>
          <cell r="J360"/>
          <cell r="K360"/>
          <cell r="L360"/>
          <cell r="M360"/>
          <cell r="N360"/>
          <cell r="O360"/>
          <cell r="P360"/>
          <cell r="Q360"/>
          <cell r="R360"/>
          <cell r="S360"/>
          <cell r="T360"/>
          <cell r="U360"/>
          <cell r="V360"/>
          <cell r="W360"/>
          <cell r="X360"/>
          <cell r="Y360"/>
          <cell r="Z360"/>
          <cell r="AA360"/>
          <cell r="AB360"/>
          <cell r="AC360"/>
          <cell r="AD360"/>
          <cell r="AE360"/>
        </row>
        <row r="361">
          <cell r="G361"/>
          <cell r="H361"/>
          <cell r="I361"/>
          <cell r="J361"/>
          <cell r="K361"/>
          <cell r="L361"/>
          <cell r="M361"/>
          <cell r="N361"/>
          <cell r="O361"/>
          <cell r="P361"/>
          <cell r="Q361"/>
          <cell r="R361"/>
          <cell r="S361"/>
          <cell r="T361"/>
          <cell r="U361"/>
          <cell r="V361"/>
          <cell r="W361"/>
          <cell r="X361"/>
          <cell r="Y361"/>
          <cell r="Z361"/>
          <cell r="AA361"/>
          <cell r="AB361"/>
          <cell r="AC361"/>
          <cell r="AD361"/>
          <cell r="AE361"/>
        </row>
        <row r="362">
          <cell r="G362"/>
          <cell r="H362"/>
          <cell r="I362"/>
          <cell r="J362"/>
          <cell r="K362"/>
          <cell r="L362"/>
          <cell r="M362"/>
          <cell r="N362"/>
          <cell r="O362"/>
          <cell r="P362"/>
          <cell r="Q362"/>
          <cell r="R362"/>
          <cell r="S362"/>
          <cell r="T362"/>
          <cell r="U362"/>
          <cell r="V362"/>
          <cell r="W362"/>
          <cell r="X362"/>
          <cell r="Y362"/>
          <cell r="Z362"/>
          <cell r="AA362"/>
          <cell r="AB362"/>
          <cell r="AC362"/>
          <cell r="AD362"/>
          <cell r="AE362"/>
        </row>
        <row r="363">
          <cell r="G363"/>
          <cell r="H363"/>
          <cell r="I363"/>
          <cell r="J363"/>
          <cell r="K363"/>
          <cell r="L363"/>
          <cell r="M363"/>
          <cell r="N363"/>
          <cell r="O363"/>
          <cell r="P363"/>
          <cell r="Q363"/>
          <cell r="R363"/>
          <cell r="S363"/>
          <cell r="T363"/>
          <cell r="U363"/>
          <cell r="V363"/>
          <cell r="W363"/>
          <cell r="X363"/>
          <cell r="Y363"/>
          <cell r="Z363"/>
          <cell r="AA363"/>
          <cell r="AB363"/>
          <cell r="AC363"/>
          <cell r="AD363"/>
          <cell r="AE363"/>
        </row>
        <row r="364">
          <cell r="G364"/>
          <cell r="H364"/>
          <cell r="I364"/>
          <cell r="J364"/>
          <cell r="K364"/>
          <cell r="L364"/>
          <cell r="M364"/>
          <cell r="N364"/>
          <cell r="O364"/>
          <cell r="P364"/>
          <cell r="Q364"/>
          <cell r="R364"/>
          <cell r="S364"/>
          <cell r="T364"/>
          <cell r="U364"/>
          <cell r="V364"/>
          <cell r="W364"/>
          <cell r="X364"/>
          <cell r="Y364"/>
          <cell r="Z364"/>
          <cell r="AA364"/>
          <cell r="AB364"/>
          <cell r="AC364"/>
          <cell r="AD364"/>
          <cell r="AE364"/>
        </row>
        <row r="365">
          <cell r="G365"/>
          <cell r="H365"/>
          <cell r="I365"/>
          <cell r="J365"/>
          <cell r="K365"/>
          <cell r="L365"/>
          <cell r="M365"/>
          <cell r="N365"/>
          <cell r="O365"/>
          <cell r="P365"/>
          <cell r="Q365"/>
          <cell r="R365"/>
          <cell r="S365"/>
          <cell r="T365"/>
          <cell r="U365"/>
          <cell r="V365"/>
          <cell r="W365"/>
          <cell r="X365"/>
          <cell r="Y365"/>
          <cell r="Z365"/>
          <cell r="AA365"/>
          <cell r="AB365"/>
          <cell r="AC365"/>
          <cell r="AD365"/>
          <cell r="AE365"/>
        </row>
        <row r="366">
          <cell r="G366"/>
          <cell r="H366"/>
          <cell r="I366"/>
          <cell r="J366"/>
          <cell r="K366"/>
          <cell r="L366"/>
          <cell r="M366"/>
          <cell r="N366"/>
          <cell r="O366"/>
          <cell r="P366"/>
          <cell r="Q366"/>
          <cell r="R366"/>
          <cell r="S366"/>
          <cell r="T366"/>
          <cell r="U366"/>
          <cell r="V366"/>
          <cell r="W366"/>
          <cell r="X366"/>
          <cell r="Y366"/>
          <cell r="Z366"/>
          <cell r="AA366"/>
          <cell r="AB366"/>
          <cell r="AC366"/>
          <cell r="AD366"/>
          <cell r="AE366"/>
        </row>
        <row r="367">
          <cell r="G367"/>
          <cell r="H367"/>
          <cell r="I367"/>
          <cell r="J367"/>
          <cell r="K367"/>
          <cell r="L367"/>
          <cell r="M367"/>
          <cell r="N367"/>
          <cell r="O367"/>
          <cell r="P367"/>
          <cell r="Q367"/>
          <cell r="R367"/>
          <cell r="S367"/>
          <cell r="T367"/>
          <cell r="U367"/>
          <cell r="V367"/>
          <cell r="W367"/>
          <cell r="X367"/>
          <cell r="Y367"/>
          <cell r="Z367"/>
          <cell r="AA367"/>
          <cell r="AB367"/>
          <cell r="AC367"/>
          <cell r="AD367"/>
          <cell r="AE367"/>
        </row>
        <row r="368">
          <cell r="G368"/>
          <cell r="H368"/>
          <cell r="I368"/>
          <cell r="J368"/>
          <cell r="K368"/>
          <cell r="L368"/>
          <cell r="M368"/>
          <cell r="N368"/>
          <cell r="O368"/>
          <cell r="P368"/>
          <cell r="Q368"/>
          <cell r="R368"/>
          <cell r="S368"/>
          <cell r="T368"/>
          <cell r="U368"/>
          <cell r="V368"/>
          <cell r="W368"/>
          <cell r="X368"/>
          <cell r="Y368"/>
          <cell r="Z368"/>
          <cell r="AA368"/>
          <cell r="AB368"/>
          <cell r="AC368"/>
          <cell r="AD368"/>
          <cell r="AE368"/>
        </row>
        <row r="369">
          <cell r="G369"/>
          <cell r="H369"/>
          <cell r="I369"/>
          <cell r="J369"/>
          <cell r="K369"/>
          <cell r="L369"/>
          <cell r="M369"/>
          <cell r="N369"/>
          <cell r="O369"/>
          <cell r="P369"/>
          <cell r="Q369"/>
          <cell r="R369"/>
          <cell r="S369"/>
          <cell r="T369"/>
          <cell r="U369"/>
          <cell r="V369"/>
          <cell r="W369"/>
          <cell r="X369"/>
          <cell r="Y369"/>
          <cell r="Z369"/>
          <cell r="AA369"/>
          <cell r="AB369"/>
          <cell r="AC369"/>
          <cell r="AD369"/>
          <cell r="AE369"/>
        </row>
        <row r="370">
          <cell r="G370"/>
          <cell r="H370"/>
          <cell r="I370"/>
          <cell r="J370"/>
          <cell r="K370"/>
          <cell r="L370"/>
          <cell r="M370"/>
          <cell r="N370"/>
          <cell r="O370"/>
          <cell r="P370"/>
          <cell r="Q370"/>
          <cell r="R370"/>
          <cell r="S370"/>
          <cell r="T370"/>
          <cell r="U370"/>
          <cell r="V370"/>
          <cell r="W370"/>
          <cell r="X370"/>
          <cell r="Y370"/>
          <cell r="Z370"/>
          <cell r="AA370"/>
          <cell r="AB370"/>
          <cell r="AC370"/>
          <cell r="AD370"/>
          <cell r="AE370"/>
        </row>
        <row r="371">
          <cell r="G371"/>
          <cell r="H371"/>
          <cell r="I371"/>
          <cell r="J371"/>
          <cell r="K371"/>
          <cell r="L371"/>
          <cell r="M371"/>
          <cell r="N371"/>
          <cell r="O371"/>
          <cell r="P371"/>
          <cell r="Q371"/>
          <cell r="R371"/>
          <cell r="S371"/>
          <cell r="T371"/>
          <cell r="U371"/>
          <cell r="V371"/>
          <cell r="W371"/>
          <cell r="X371"/>
          <cell r="Y371"/>
          <cell r="Z371"/>
          <cell r="AA371"/>
          <cell r="AB371"/>
          <cell r="AC371"/>
          <cell r="AD371"/>
          <cell r="AE371"/>
        </row>
        <row r="372">
          <cell r="G372"/>
          <cell r="H372"/>
          <cell r="I372"/>
          <cell r="J372"/>
          <cell r="K372"/>
          <cell r="L372"/>
          <cell r="M372"/>
          <cell r="N372"/>
          <cell r="O372"/>
          <cell r="P372"/>
          <cell r="Q372"/>
          <cell r="R372"/>
          <cell r="S372"/>
          <cell r="T372"/>
          <cell r="U372"/>
          <cell r="V372"/>
          <cell r="W372"/>
          <cell r="X372"/>
          <cell r="Y372"/>
          <cell r="Z372"/>
          <cell r="AA372"/>
          <cell r="AB372"/>
          <cell r="AC372"/>
          <cell r="AD372"/>
          <cell r="AE372"/>
        </row>
        <row r="373">
          <cell r="G373"/>
          <cell r="H373"/>
          <cell r="I373"/>
          <cell r="J373"/>
          <cell r="K373"/>
          <cell r="L373"/>
          <cell r="M373"/>
          <cell r="N373"/>
          <cell r="O373"/>
          <cell r="P373"/>
          <cell r="Q373"/>
          <cell r="R373"/>
          <cell r="S373"/>
          <cell r="T373"/>
          <cell r="U373"/>
          <cell r="V373"/>
          <cell r="W373"/>
          <cell r="X373"/>
          <cell r="Y373"/>
          <cell r="Z373"/>
          <cell r="AA373"/>
          <cell r="AB373"/>
          <cell r="AC373"/>
          <cell r="AD373"/>
          <cell r="AE373"/>
        </row>
        <row r="374">
          <cell r="G374"/>
          <cell r="H374"/>
          <cell r="I374"/>
          <cell r="J374"/>
          <cell r="K374"/>
          <cell r="L374"/>
          <cell r="M374"/>
          <cell r="N374"/>
          <cell r="O374"/>
          <cell r="P374"/>
          <cell r="Q374"/>
          <cell r="R374"/>
          <cell r="S374"/>
          <cell r="T374"/>
          <cell r="U374"/>
          <cell r="V374"/>
          <cell r="W374"/>
          <cell r="X374"/>
          <cell r="Y374"/>
          <cell r="Z374"/>
          <cell r="AA374"/>
          <cell r="AB374"/>
          <cell r="AC374"/>
          <cell r="AD374"/>
          <cell r="AE374"/>
        </row>
        <row r="375">
          <cell r="G375"/>
          <cell r="H375"/>
          <cell r="I375"/>
          <cell r="J375"/>
          <cell r="K375"/>
          <cell r="L375"/>
          <cell r="M375"/>
          <cell r="N375"/>
          <cell r="O375"/>
          <cell r="P375"/>
          <cell r="Q375"/>
          <cell r="R375"/>
          <cell r="S375"/>
          <cell r="T375"/>
          <cell r="U375"/>
          <cell r="V375"/>
          <cell r="W375"/>
          <cell r="X375"/>
          <cell r="Y375"/>
          <cell r="Z375"/>
          <cell r="AA375"/>
          <cell r="AB375"/>
          <cell r="AC375"/>
          <cell r="AD375"/>
          <cell r="AE375"/>
        </row>
        <row r="376">
          <cell r="G376"/>
          <cell r="H376"/>
          <cell r="I376"/>
          <cell r="J376"/>
          <cell r="K376"/>
          <cell r="L376"/>
          <cell r="M376"/>
          <cell r="N376"/>
          <cell r="O376"/>
          <cell r="P376"/>
          <cell r="Q376"/>
          <cell r="R376"/>
          <cell r="S376"/>
          <cell r="T376"/>
          <cell r="U376"/>
          <cell r="V376"/>
          <cell r="W376"/>
          <cell r="X376"/>
          <cell r="Y376"/>
          <cell r="Z376"/>
          <cell r="AA376"/>
          <cell r="AB376"/>
          <cell r="AC376"/>
          <cell r="AD376"/>
          <cell r="AE376"/>
        </row>
        <row r="377">
          <cell r="G377"/>
          <cell r="H377"/>
          <cell r="I377"/>
          <cell r="J377"/>
          <cell r="K377"/>
          <cell r="L377"/>
          <cell r="M377"/>
          <cell r="N377"/>
          <cell r="O377"/>
          <cell r="P377"/>
          <cell r="Q377"/>
          <cell r="R377"/>
          <cell r="S377"/>
          <cell r="T377"/>
          <cell r="U377"/>
          <cell r="V377"/>
          <cell r="W377"/>
          <cell r="X377"/>
          <cell r="Y377"/>
          <cell r="Z377"/>
          <cell r="AA377"/>
          <cell r="AB377"/>
          <cell r="AC377"/>
          <cell r="AD377"/>
          <cell r="AE377"/>
        </row>
        <row r="378">
          <cell r="G378"/>
          <cell r="H378"/>
          <cell r="I378"/>
          <cell r="J378"/>
          <cell r="K378"/>
          <cell r="L378"/>
          <cell r="M378"/>
          <cell r="N378"/>
          <cell r="O378"/>
          <cell r="P378"/>
          <cell r="Q378"/>
          <cell r="R378"/>
          <cell r="S378"/>
          <cell r="T378"/>
          <cell r="U378"/>
          <cell r="V378"/>
          <cell r="W378"/>
          <cell r="X378"/>
          <cell r="Y378"/>
          <cell r="Z378"/>
          <cell r="AA378"/>
          <cell r="AB378"/>
          <cell r="AC378"/>
          <cell r="AD378"/>
          <cell r="AE378"/>
        </row>
        <row r="379">
          <cell r="G379"/>
          <cell r="H379"/>
          <cell r="I379"/>
          <cell r="J379"/>
          <cell r="K379"/>
          <cell r="L379"/>
          <cell r="M379"/>
          <cell r="N379"/>
          <cell r="O379"/>
          <cell r="P379"/>
          <cell r="Q379"/>
          <cell r="R379"/>
          <cell r="S379"/>
          <cell r="T379"/>
          <cell r="U379"/>
          <cell r="V379"/>
          <cell r="W379"/>
          <cell r="X379"/>
          <cell r="Y379"/>
          <cell r="Z379"/>
          <cell r="AA379"/>
          <cell r="AB379"/>
          <cell r="AC379"/>
          <cell r="AD379"/>
          <cell r="AE379"/>
        </row>
        <row r="380">
          <cell r="G380"/>
          <cell r="H380"/>
          <cell r="I380"/>
          <cell r="J380"/>
          <cell r="K380"/>
          <cell r="L380"/>
          <cell r="M380"/>
          <cell r="N380"/>
          <cell r="O380"/>
          <cell r="P380"/>
          <cell r="Q380"/>
          <cell r="R380"/>
          <cell r="S380"/>
          <cell r="T380"/>
          <cell r="U380"/>
          <cell r="V380"/>
          <cell r="W380"/>
          <cell r="X380"/>
          <cell r="Y380"/>
          <cell r="Z380"/>
          <cell r="AA380"/>
          <cell r="AB380"/>
          <cell r="AC380"/>
          <cell r="AD380"/>
          <cell r="AE380"/>
        </row>
        <row r="381">
          <cell r="G381"/>
          <cell r="H381"/>
          <cell r="I381"/>
          <cell r="J381"/>
          <cell r="K381"/>
          <cell r="L381"/>
          <cell r="M381"/>
          <cell r="N381"/>
          <cell r="O381"/>
          <cell r="P381"/>
          <cell r="Q381"/>
          <cell r="R381"/>
          <cell r="S381"/>
          <cell r="T381"/>
          <cell r="U381"/>
          <cell r="V381"/>
          <cell r="W381"/>
          <cell r="X381"/>
          <cell r="Y381"/>
          <cell r="Z381"/>
          <cell r="AA381"/>
          <cell r="AB381"/>
          <cell r="AC381"/>
          <cell r="AD381"/>
          <cell r="AE381"/>
        </row>
        <row r="382">
          <cell r="G382"/>
          <cell r="H382"/>
          <cell r="I382"/>
          <cell r="J382"/>
          <cell r="K382"/>
          <cell r="L382"/>
          <cell r="M382"/>
          <cell r="N382"/>
          <cell r="O382"/>
          <cell r="P382"/>
          <cell r="Q382"/>
          <cell r="R382"/>
          <cell r="S382"/>
          <cell r="T382"/>
          <cell r="U382"/>
          <cell r="V382"/>
          <cell r="W382"/>
          <cell r="X382"/>
          <cell r="Y382"/>
          <cell r="Z382"/>
          <cell r="AA382"/>
          <cell r="AB382"/>
          <cell r="AC382"/>
          <cell r="AD382"/>
          <cell r="AE382"/>
        </row>
        <row r="383">
          <cell r="G383"/>
          <cell r="H383"/>
          <cell r="I383"/>
          <cell r="J383"/>
          <cell r="K383"/>
          <cell r="L383"/>
          <cell r="M383"/>
          <cell r="N383"/>
          <cell r="O383"/>
          <cell r="P383"/>
          <cell r="Q383"/>
          <cell r="R383"/>
          <cell r="S383"/>
          <cell r="T383"/>
          <cell r="U383"/>
          <cell r="V383"/>
          <cell r="W383"/>
          <cell r="X383"/>
          <cell r="Y383"/>
          <cell r="Z383"/>
          <cell r="AA383"/>
          <cell r="AB383"/>
          <cell r="AC383"/>
          <cell r="AD383"/>
          <cell r="AE383"/>
        </row>
        <row r="384">
          <cell r="G384"/>
          <cell r="H384"/>
          <cell r="I384"/>
          <cell r="J384"/>
          <cell r="K384"/>
          <cell r="L384"/>
          <cell r="M384"/>
          <cell r="N384"/>
          <cell r="O384"/>
          <cell r="P384"/>
          <cell r="Q384"/>
          <cell r="R384"/>
          <cell r="S384"/>
          <cell r="T384"/>
          <cell r="U384"/>
          <cell r="V384"/>
          <cell r="W384"/>
          <cell r="X384"/>
          <cell r="Y384"/>
          <cell r="Z384"/>
          <cell r="AA384"/>
          <cell r="AB384"/>
          <cell r="AC384"/>
          <cell r="AD384"/>
          <cell r="AE384"/>
        </row>
        <row r="385">
          <cell r="G385"/>
          <cell r="H385"/>
          <cell r="I385"/>
          <cell r="J385"/>
          <cell r="K385"/>
          <cell r="L385"/>
          <cell r="M385"/>
          <cell r="N385"/>
          <cell r="O385"/>
          <cell r="P385"/>
          <cell r="Q385"/>
          <cell r="R385"/>
          <cell r="S385"/>
          <cell r="T385"/>
          <cell r="U385"/>
          <cell r="V385"/>
          <cell r="W385"/>
          <cell r="X385"/>
          <cell r="Y385"/>
          <cell r="Z385"/>
          <cell r="AA385"/>
          <cell r="AB385"/>
          <cell r="AC385"/>
          <cell r="AD385"/>
          <cell r="AE385"/>
        </row>
        <row r="386">
          <cell r="G386"/>
          <cell r="H386"/>
          <cell r="I386"/>
          <cell r="J386"/>
          <cell r="K386"/>
          <cell r="L386"/>
          <cell r="M386"/>
          <cell r="N386"/>
          <cell r="O386"/>
          <cell r="P386"/>
          <cell r="Q386"/>
          <cell r="R386"/>
          <cell r="S386"/>
          <cell r="T386"/>
          <cell r="U386"/>
          <cell r="V386"/>
          <cell r="W386"/>
          <cell r="X386"/>
          <cell r="Y386"/>
          <cell r="Z386"/>
          <cell r="AA386"/>
          <cell r="AB386"/>
          <cell r="AC386"/>
          <cell r="AD386"/>
          <cell r="AE386"/>
        </row>
        <row r="387">
          <cell r="G387"/>
          <cell r="H387"/>
          <cell r="I387"/>
          <cell r="J387"/>
          <cell r="K387"/>
          <cell r="L387"/>
          <cell r="M387"/>
          <cell r="N387"/>
          <cell r="O387"/>
          <cell r="P387"/>
          <cell r="Q387"/>
          <cell r="R387"/>
          <cell r="S387"/>
          <cell r="T387"/>
          <cell r="U387"/>
          <cell r="V387"/>
          <cell r="W387"/>
          <cell r="X387"/>
          <cell r="Y387"/>
          <cell r="Z387"/>
          <cell r="AA387"/>
          <cell r="AB387"/>
          <cell r="AC387"/>
          <cell r="AD387"/>
          <cell r="AE387"/>
        </row>
        <row r="388">
          <cell r="G388"/>
          <cell r="H388"/>
          <cell r="I388"/>
          <cell r="J388"/>
          <cell r="K388"/>
          <cell r="L388"/>
          <cell r="M388"/>
          <cell r="N388"/>
          <cell r="O388"/>
          <cell r="P388"/>
          <cell r="Q388"/>
          <cell r="R388"/>
          <cell r="S388"/>
          <cell r="T388"/>
          <cell r="U388"/>
          <cell r="V388"/>
          <cell r="W388"/>
          <cell r="X388"/>
          <cell r="Y388"/>
          <cell r="Z388"/>
          <cell r="AA388"/>
          <cell r="AB388"/>
          <cell r="AC388"/>
          <cell r="AD388"/>
          <cell r="AE388"/>
        </row>
        <row r="389">
          <cell r="G389"/>
          <cell r="H389"/>
          <cell r="I389"/>
          <cell r="J389"/>
          <cell r="K389"/>
          <cell r="L389"/>
          <cell r="M389"/>
          <cell r="N389"/>
          <cell r="O389"/>
          <cell r="P389"/>
          <cell r="Q389"/>
          <cell r="R389"/>
          <cell r="S389"/>
          <cell r="T389"/>
          <cell r="U389"/>
          <cell r="V389"/>
          <cell r="W389"/>
          <cell r="X389"/>
          <cell r="Y389"/>
          <cell r="Z389"/>
          <cell r="AA389"/>
          <cell r="AB389"/>
          <cell r="AC389"/>
          <cell r="AD389"/>
          <cell r="AE389"/>
        </row>
        <row r="390">
          <cell r="G390"/>
          <cell r="H390"/>
          <cell r="I390"/>
          <cell r="J390"/>
          <cell r="K390"/>
          <cell r="L390"/>
          <cell r="M390"/>
          <cell r="N390"/>
          <cell r="O390"/>
          <cell r="P390"/>
          <cell r="Q390"/>
          <cell r="R390"/>
          <cell r="S390"/>
          <cell r="T390"/>
          <cell r="U390"/>
          <cell r="V390"/>
          <cell r="W390"/>
          <cell r="X390"/>
          <cell r="Y390"/>
          <cell r="Z390"/>
          <cell r="AA390"/>
          <cell r="AB390"/>
          <cell r="AC390"/>
          <cell r="AD390"/>
          <cell r="AE390"/>
        </row>
        <row r="391">
          <cell r="G391"/>
          <cell r="H391"/>
          <cell r="I391"/>
          <cell r="J391"/>
          <cell r="K391"/>
          <cell r="L391"/>
          <cell r="M391"/>
          <cell r="N391"/>
          <cell r="O391"/>
          <cell r="P391"/>
          <cell r="Q391"/>
          <cell r="R391"/>
          <cell r="S391"/>
          <cell r="T391"/>
          <cell r="U391"/>
          <cell r="V391"/>
          <cell r="W391"/>
          <cell r="X391"/>
          <cell r="Y391"/>
          <cell r="Z391"/>
          <cell r="AA391"/>
          <cell r="AB391"/>
          <cell r="AC391"/>
          <cell r="AD391"/>
          <cell r="AE391"/>
        </row>
        <row r="392">
          <cell r="G392"/>
          <cell r="H392"/>
          <cell r="I392"/>
          <cell r="J392"/>
          <cell r="K392"/>
          <cell r="L392"/>
          <cell r="M392"/>
          <cell r="N392"/>
          <cell r="O392"/>
          <cell r="P392"/>
          <cell r="Q392"/>
          <cell r="R392"/>
          <cell r="S392"/>
          <cell r="T392"/>
          <cell r="U392"/>
          <cell r="V392"/>
          <cell r="W392"/>
          <cell r="X392"/>
          <cell r="Y392"/>
          <cell r="Z392"/>
          <cell r="AA392"/>
          <cell r="AB392"/>
          <cell r="AC392"/>
          <cell r="AD392"/>
          <cell r="AE392"/>
        </row>
        <row r="393">
          <cell r="G393"/>
          <cell r="H393"/>
          <cell r="I393"/>
          <cell r="J393"/>
          <cell r="K393"/>
          <cell r="L393"/>
          <cell r="M393"/>
          <cell r="N393"/>
          <cell r="O393"/>
          <cell r="P393"/>
          <cell r="Q393"/>
          <cell r="R393"/>
          <cell r="S393"/>
          <cell r="T393"/>
          <cell r="U393"/>
          <cell r="V393"/>
          <cell r="W393"/>
          <cell r="X393"/>
          <cell r="Y393"/>
          <cell r="Z393"/>
          <cell r="AA393"/>
          <cell r="AB393"/>
          <cell r="AC393"/>
          <cell r="AD393"/>
          <cell r="AE393"/>
        </row>
        <row r="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row>
        <row r="395">
          <cell r="G395"/>
          <cell r="H395"/>
          <cell r="I395"/>
          <cell r="J395"/>
          <cell r="K395"/>
          <cell r="L395"/>
          <cell r="M395"/>
          <cell r="N395"/>
          <cell r="O395"/>
          <cell r="P395"/>
          <cell r="Q395"/>
          <cell r="R395"/>
          <cell r="S395"/>
          <cell r="T395"/>
          <cell r="U395"/>
          <cell r="V395"/>
          <cell r="W395"/>
          <cell r="X395"/>
          <cell r="Y395"/>
          <cell r="Z395"/>
          <cell r="AA395"/>
          <cell r="AB395"/>
          <cell r="AC395"/>
          <cell r="AD395"/>
          <cell r="AE395"/>
        </row>
        <row r="396">
          <cell r="G396"/>
          <cell r="H396"/>
          <cell r="I396"/>
          <cell r="J396"/>
          <cell r="K396"/>
          <cell r="L396"/>
          <cell r="M396"/>
          <cell r="N396"/>
          <cell r="O396"/>
          <cell r="P396"/>
          <cell r="Q396"/>
          <cell r="R396"/>
          <cell r="S396"/>
          <cell r="T396"/>
          <cell r="U396"/>
          <cell r="V396"/>
          <cell r="W396"/>
          <cell r="X396"/>
          <cell r="Y396"/>
          <cell r="Z396"/>
          <cell r="AA396"/>
          <cell r="AB396"/>
          <cell r="AC396"/>
          <cell r="AD396"/>
          <cell r="AE396"/>
        </row>
        <row r="397">
          <cell r="G397"/>
          <cell r="H397"/>
          <cell r="I397"/>
          <cell r="J397"/>
          <cell r="K397"/>
          <cell r="L397"/>
          <cell r="M397"/>
          <cell r="N397"/>
          <cell r="O397"/>
          <cell r="P397"/>
          <cell r="Q397"/>
          <cell r="R397"/>
          <cell r="S397"/>
          <cell r="T397"/>
          <cell r="U397"/>
          <cell r="V397"/>
          <cell r="W397"/>
          <cell r="X397"/>
          <cell r="Y397"/>
          <cell r="Z397"/>
          <cell r="AA397"/>
          <cell r="AB397"/>
          <cell r="AC397"/>
          <cell r="AD397"/>
          <cell r="AE397"/>
        </row>
        <row r="398">
          <cell r="G398"/>
          <cell r="H398"/>
          <cell r="I398"/>
          <cell r="J398"/>
          <cell r="K398"/>
          <cell r="L398"/>
          <cell r="M398"/>
          <cell r="N398"/>
          <cell r="O398"/>
          <cell r="P398"/>
          <cell r="Q398"/>
          <cell r="R398"/>
          <cell r="S398"/>
          <cell r="T398"/>
          <cell r="U398"/>
          <cell r="V398"/>
          <cell r="W398"/>
          <cell r="X398"/>
          <cell r="Y398"/>
          <cell r="Z398"/>
          <cell r="AA398"/>
          <cell r="AB398"/>
          <cell r="AC398"/>
          <cell r="AD398"/>
          <cell r="AE398"/>
        </row>
        <row r="399">
          <cell r="G399"/>
          <cell r="H399"/>
          <cell r="I399"/>
          <cell r="J399"/>
          <cell r="K399"/>
          <cell r="L399"/>
          <cell r="M399"/>
          <cell r="N399"/>
          <cell r="O399"/>
          <cell r="P399"/>
          <cell r="Q399"/>
          <cell r="R399"/>
          <cell r="S399"/>
          <cell r="T399"/>
          <cell r="U399"/>
          <cell r="V399"/>
          <cell r="W399"/>
          <cell r="X399"/>
          <cell r="Y399"/>
          <cell r="Z399"/>
          <cell r="AA399"/>
          <cell r="AB399"/>
          <cell r="AC399"/>
          <cell r="AD399"/>
          <cell r="AE399"/>
        </row>
        <row r="400">
          <cell r="G400"/>
          <cell r="H400"/>
          <cell r="I400"/>
          <cell r="J400"/>
          <cell r="K400"/>
          <cell r="L400"/>
          <cell r="M400"/>
          <cell r="N400"/>
          <cell r="O400"/>
          <cell r="P400"/>
          <cell r="Q400"/>
          <cell r="R400"/>
          <cell r="S400"/>
          <cell r="T400"/>
          <cell r="U400"/>
          <cell r="V400"/>
          <cell r="W400"/>
          <cell r="X400"/>
          <cell r="Y400"/>
          <cell r="Z400"/>
          <cell r="AA400"/>
          <cell r="AB400"/>
          <cell r="AC400"/>
          <cell r="AD400"/>
          <cell r="AE400"/>
        </row>
        <row r="401">
          <cell r="G401"/>
          <cell r="H401"/>
          <cell r="I401"/>
          <cell r="J401"/>
          <cell r="K401"/>
          <cell r="L401"/>
          <cell r="M401"/>
          <cell r="N401"/>
          <cell r="O401"/>
          <cell r="P401"/>
          <cell r="Q401"/>
          <cell r="R401"/>
          <cell r="S401"/>
          <cell r="T401"/>
          <cell r="U401"/>
          <cell r="V401"/>
          <cell r="W401"/>
          <cell r="X401"/>
          <cell r="Y401"/>
          <cell r="Z401"/>
          <cell r="AA401"/>
          <cell r="AB401"/>
          <cell r="AC401"/>
          <cell r="AD401"/>
          <cell r="AE401"/>
        </row>
        <row r="402">
          <cell r="G402"/>
          <cell r="H402"/>
          <cell r="I402"/>
          <cell r="J402"/>
          <cell r="K402"/>
          <cell r="L402"/>
          <cell r="M402"/>
          <cell r="N402"/>
          <cell r="O402"/>
          <cell r="P402"/>
          <cell r="Q402"/>
          <cell r="R402"/>
          <cell r="S402"/>
          <cell r="T402"/>
          <cell r="U402"/>
          <cell r="V402"/>
          <cell r="W402"/>
          <cell r="X402"/>
          <cell r="Y402"/>
          <cell r="Z402"/>
          <cell r="AA402"/>
          <cell r="AB402"/>
          <cell r="AC402"/>
          <cell r="AD402"/>
          <cell r="AE402"/>
        </row>
        <row r="403">
          <cell r="G403"/>
          <cell r="H403"/>
          <cell r="I403"/>
          <cell r="J403"/>
          <cell r="K403"/>
          <cell r="L403"/>
          <cell r="M403"/>
          <cell r="N403"/>
          <cell r="O403"/>
          <cell r="P403"/>
          <cell r="Q403"/>
          <cell r="R403"/>
          <cell r="S403"/>
          <cell r="T403"/>
          <cell r="U403"/>
          <cell r="V403"/>
          <cell r="W403"/>
          <cell r="X403"/>
          <cell r="Y403"/>
          <cell r="Z403"/>
          <cell r="AA403"/>
          <cell r="AB403"/>
          <cell r="AC403"/>
          <cell r="AD403"/>
          <cell r="AE403"/>
        </row>
        <row r="404">
          <cell r="G404"/>
          <cell r="H404"/>
          <cell r="I404"/>
          <cell r="J404"/>
          <cell r="K404"/>
          <cell r="L404"/>
          <cell r="M404"/>
          <cell r="N404"/>
          <cell r="O404"/>
          <cell r="P404"/>
          <cell r="Q404"/>
          <cell r="R404"/>
          <cell r="S404"/>
          <cell r="T404"/>
          <cell r="U404"/>
          <cell r="V404"/>
          <cell r="W404"/>
          <cell r="X404"/>
          <cell r="Y404"/>
          <cell r="Z404"/>
          <cell r="AA404"/>
          <cell r="AB404"/>
          <cell r="AC404"/>
          <cell r="AD404"/>
          <cell r="AE404"/>
        </row>
        <row r="405">
          <cell r="G405"/>
          <cell r="H405"/>
          <cell r="I405"/>
          <cell r="J405"/>
          <cell r="K405"/>
          <cell r="L405"/>
          <cell r="M405"/>
          <cell r="N405"/>
          <cell r="O405"/>
          <cell r="P405"/>
          <cell r="Q405"/>
          <cell r="R405"/>
          <cell r="S405"/>
          <cell r="T405"/>
          <cell r="U405"/>
          <cell r="V405"/>
          <cell r="W405"/>
          <cell r="X405"/>
          <cell r="Y405"/>
          <cell r="Z405"/>
          <cell r="AA405"/>
          <cell r="AB405"/>
          <cell r="AC405"/>
          <cell r="AD405"/>
          <cell r="AE405"/>
        </row>
        <row r="406">
          <cell r="G406"/>
          <cell r="H406"/>
          <cell r="I406"/>
          <cell r="J406"/>
          <cell r="K406"/>
          <cell r="L406"/>
          <cell r="M406"/>
          <cell r="N406"/>
          <cell r="O406"/>
          <cell r="P406"/>
          <cell r="Q406"/>
          <cell r="R406"/>
          <cell r="S406"/>
          <cell r="T406"/>
          <cell r="U406"/>
          <cell r="V406"/>
          <cell r="W406"/>
          <cell r="X406"/>
          <cell r="Y406"/>
          <cell r="Z406"/>
          <cell r="AA406"/>
          <cell r="AB406"/>
          <cell r="AC406"/>
          <cell r="AD406"/>
          <cell r="AE406"/>
        </row>
        <row r="407">
          <cell r="G407"/>
          <cell r="H407"/>
          <cell r="I407"/>
          <cell r="J407"/>
          <cell r="K407"/>
          <cell r="L407"/>
          <cell r="M407"/>
          <cell r="N407"/>
          <cell r="O407"/>
          <cell r="P407"/>
          <cell r="Q407"/>
          <cell r="R407"/>
          <cell r="S407"/>
          <cell r="T407"/>
          <cell r="U407"/>
          <cell r="V407"/>
          <cell r="W407"/>
          <cell r="X407"/>
          <cell r="Y407"/>
          <cell r="Z407"/>
          <cell r="AA407"/>
          <cell r="AB407"/>
          <cell r="AC407"/>
          <cell r="AD407"/>
          <cell r="AE407"/>
        </row>
        <row r="408">
          <cell r="G408"/>
          <cell r="H408"/>
          <cell r="I408"/>
          <cell r="J408"/>
          <cell r="K408"/>
          <cell r="L408"/>
          <cell r="M408"/>
          <cell r="N408"/>
          <cell r="O408"/>
          <cell r="P408"/>
          <cell r="Q408"/>
          <cell r="R408"/>
          <cell r="S408"/>
          <cell r="T408"/>
          <cell r="U408"/>
          <cell r="V408"/>
          <cell r="W408"/>
          <cell r="X408"/>
          <cell r="Y408"/>
          <cell r="Z408"/>
          <cell r="AA408"/>
          <cell r="AB408"/>
          <cell r="AC408"/>
          <cell r="AD408"/>
          <cell r="AE408"/>
        </row>
        <row r="409">
          <cell r="G409"/>
          <cell r="H409"/>
          <cell r="I409"/>
          <cell r="J409"/>
          <cell r="K409"/>
          <cell r="L409"/>
          <cell r="M409"/>
          <cell r="N409"/>
          <cell r="O409"/>
          <cell r="P409"/>
          <cell r="Q409"/>
          <cell r="R409"/>
          <cell r="S409"/>
          <cell r="T409"/>
          <cell r="U409"/>
          <cell r="V409"/>
          <cell r="W409"/>
          <cell r="X409"/>
          <cell r="Y409"/>
          <cell r="Z409"/>
          <cell r="AA409"/>
          <cell r="AB409"/>
          <cell r="AC409"/>
          <cell r="AD409"/>
          <cell r="AE409"/>
        </row>
        <row r="410">
          <cell r="G410"/>
          <cell r="H410"/>
          <cell r="I410"/>
          <cell r="J410"/>
          <cell r="K410"/>
          <cell r="L410"/>
          <cell r="M410"/>
          <cell r="N410"/>
          <cell r="O410"/>
          <cell r="P410"/>
          <cell r="Q410"/>
          <cell r="R410"/>
          <cell r="S410"/>
          <cell r="T410"/>
          <cell r="U410"/>
          <cell r="V410"/>
          <cell r="W410"/>
          <cell r="X410"/>
          <cell r="Y410"/>
          <cell r="Z410"/>
          <cell r="AA410"/>
          <cell r="AB410"/>
          <cell r="AC410"/>
          <cell r="AD410"/>
          <cell r="AE410"/>
        </row>
        <row r="411">
          <cell r="G411"/>
          <cell r="H411"/>
          <cell r="I411"/>
          <cell r="J411"/>
          <cell r="K411"/>
          <cell r="L411"/>
          <cell r="M411"/>
          <cell r="N411"/>
          <cell r="O411"/>
          <cell r="P411"/>
          <cell r="Q411"/>
          <cell r="R411"/>
          <cell r="S411"/>
          <cell r="T411"/>
          <cell r="U411"/>
          <cell r="V411"/>
          <cell r="W411"/>
          <cell r="X411"/>
          <cell r="Y411"/>
          <cell r="Z411"/>
          <cell r="AA411"/>
          <cell r="AB411"/>
          <cell r="AC411"/>
          <cell r="AD411"/>
          <cell r="AE411"/>
        </row>
        <row r="412">
          <cell r="G412"/>
          <cell r="H412"/>
          <cell r="I412"/>
          <cell r="J412"/>
          <cell r="K412"/>
          <cell r="L412"/>
          <cell r="M412"/>
          <cell r="N412"/>
          <cell r="O412"/>
          <cell r="P412"/>
          <cell r="Q412"/>
          <cell r="R412"/>
          <cell r="S412"/>
          <cell r="T412"/>
          <cell r="U412"/>
          <cell r="V412"/>
          <cell r="W412"/>
          <cell r="X412"/>
          <cell r="Y412"/>
          <cell r="Z412"/>
          <cell r="AA412"/>
          <cell r="AB412"/>
          <cell r="AC412"/>
          <cell r="AD412"/>
          <cell r="AE412"/>
        </row>
        <row r="413">
          <cell r="G413"/>
          <cell r="H413"/>
          <cell r="I413"/>
          <cell r="J413"/>
          <cell r="K413"/>
          <cell r="L413"/>
          <cell r="M413"/>
          <cell r="N413"/>
          <cell r="O413"/>
          <cell r="P413"/>
          <cell r="Q413"/>
          <cell r="R413"/>
          <cell r="S413"/>
          <cell r="T413"/>
          <cell r="U413"/>
          <cell r="V413"/>
          <cell r="W413"/>
          <cell r="X413"/>
          <cell r="Y413"/>
          <cell r="Z413"/>
          <cell r="AA413"/>
          <cell r="AB413"/>
          <cell r="AC413"/>
          <cell r="AD413"/>
          <cell r="AE413"/>
        </row>
        <row r="414">
          <cell r="G414"/>
          <cell r="H414"/>
          <cell r="I414"/>
          <cell r="J414"/>
          <cell r="K414"/>
          <cell r="L414"/>
          <cell r="M414"/>
          <cell r="N414"/>
          <cell r="O414"/>
          <cell r="P414"/>
          <cell r="Q414"/>
          <cell r="R414"/>
          <cell r="S414"/>
          <cell r="T414"/>
          <cell r="U414"/>
          <cell r="V414"/>
          <cell r="W414"/>
          <cell r="X414"/>
          <cell r="Y414"/>
          <cell r="Z414"/>
          <cell r="AA414"/>
          <cell r="AB414"/>
          <cell r="AC414"/>
          <cell r="AD414"/>
          <cell r="AE414"/>
        </row>
        <row r="415">
          <cell r="G415"/>
          <cell r="H415"/>
          <cell r="I415"/>
          <cell r="J415"/>
          <cell r="K415"/>
          <cell r="L415"/>
          <cell r="M415"/>
          <cell r="N415"/>
          <cell r="O415"/>
          <cell r="P415"/>
          <cell r="Q415"/>
          <cell r="R415"/>
          <cell r="S415"/>
          <cell r="T415"/>
          <cell r="U415"/>
          <cell r="V415"/>
          <cell r="W415"/>
          <cell r="X415"/>
          <cell r="Y415"/>
          <cell r="Z415"/>
          <cell r="AA415"/>
          <cell r="AB415"/>
          <cell r="AC415"/>
          <cell r="AD415"/>
          <cell r="AE415"/>
        </row>
        <row r="416">
          <cell r="G416"/>
          <cell r="H416"/>
          <cell r="I416"/>
          <cell r="J416"/>
          <cell r="K416"/>
          <cell r="L416"/>
          <cell r="M416"/>
          <cell r="N416"/>
          <cell r="O416"/>
          <cell r="P416"/>
          <cell r="Q416"/>
          <cell r="R416"/>
          <cell r="S416"/>
          <cell r="T416"/>
          <cell r="U416"/>
          <cell r="V416"/>
          <cell r="W416"/>
          <cell r="X416"/>
          <cell r="Y416"/>
          <cell r="Z416"/>
          <cell r="AA416"/>
          <cell r="AB416"/>
          <cell r="AC416"/>
          <cell r="AD416"/>
          <cell r="AE416"/>
        </row>
        <row r="417">
          <cell r="G417"/>
          <cell r="H417"/>
          <cell r="I417"/>
          <cell r="J417"/>
          <cell r="K417"/>
          <cell r="L417"/>
          <cell r="M417"/>
          <cell r="N417"/>
          <cell r="O417"/>
          <cell r="P417"/>
          <cell r="Q417"/>
          <cell r="R417"/>
          <cell r="S417"/>
          <cell r="T417"/>
          <cell r="U417"/>
          <cell r="V417"/>
          <cell r="W417"/>
          <cell r="X417"/>
          <cell r="Y417"/>
          <cell r="Z417"/>
          <cell r="AA417"/>
          <cell r="AB417"/>
          <cell r="AC417"/>
          <cell r="AD417"/>
          <cell r="AE417"/>
        </row>
        <row r="418">
          <cell r="G418"/>
          <cell r="H418"/>
          <cell r="I418"/>
          <cell r="J418"/>
          <cell r="K418"/>
          <cell r="L418"/>
          <cell r="M418"/>
          <cell r="N418"/>
          <cell r="O418"/>
          <cell r="P418"/>
          <cell r="Q418"/>
          <cell r="R418"/>
          <cell r="S418"/>
          <cell r="T418"/>
          <cell r="U418"/>
          <cell r="V418"/>
          <cell r="W418"/>
          <cell r="X418"/>
          <cell r="Y418"/>
          <cell r="Z418"/>
          <cell r="AA418"/>
          <cell r="AB418"/>
          <cell r="AC418"/>
          <cell r="AD418"/>
          <cell r="AE418"/>
        </row>
        <row r="419">
          <cell r="G419"/>
          <cell r="H419"/>
          <cell r="I419"/>
          <cell r="J419"/>
          <cell r="K419"/>
          <cell r="L419"/>
          <cell r="M419"/>
          <cell r="N419"/>
          <cell r="O419"/>
          <cell r="P419"/>
          <cell r="Q419"/>
          <cell r="R419"/>
          <cell r="S419"/>
          <cell r="T419"/>
          <cell r="U419"/>
          <cell r="V419"/>
          <cell r="W419"/>
          <cell r="X419"/>
          <cell r="Y419"/>
          <cell r="Z419"/>
          <cell r="AA419"/>
          <cell r="AB419"/>
          <cell r="AC419"/>
          <cell r="AD419"/>
          <cell r="AE419"/>
        </row>
        <row r="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row>
        <row r="421">
          <cell r="G421"/>
          <cell r="H421"/>
          <cell r="I421"/>
          <cell r="J421"/>
          <cell r="K421"/>
          <cell r="L421"/>
          <cell r="M421"/>
          <cell r="N421"/>
          <cell r="O421"/>
          <cell r="P421"/>
          <cell r="Q421"/>
          <cell r="R421"/>
          <cell r="S421"/>
          <cell r="T421"/>
          <cell r="U421"/>
          <cell r="V421"/>
          <cell r="W421"/>
          <cell r="X421"/>
          <cell r="Y421"/>
          <cell r="Z421"/>
          <cell r="AA421"/>
          <cell r="AB421"/>
          <cell r="AC421"/>
          <cell r="AD421"/>
          <cell r="AE421"/>
        </row>
        <row r="422">
          <cell r="G422"/>
          <cell r="H422"/>
          <cell r="I422"/>
          <cell r="J422"/>
          <cell r="K422"/>
          <cell r="L422"/>
          <cell r="M422"/>
          <cell r="N422"/>
          <cell r="O422"/>
          <cell r="P422"/>
          <cell r="Q422"/>
          <cell r="R422"/>
          <cell r="S422"/>
          <cell r="T422"/>
          <cell r="U422"/>
          <cell r="V422"/>
          <cell r="W422"/>
          <cell r="X422"/>
          <cell r="Y422"/>
          <cell r="Z422"/>
          <cell r="AA422"/>
          <cell r="AB422"/>
          <cell r="AC422"/>
          <cell r="AD422"/>
          <cell r="AE422"/>
        </row>
        <row r="423">
          <cell r="G423"/>
          <cell r="H423"/>
          <cell r="I423"/>
          <cell r="J423"/>
          <cell r="K423"/>
          <cell r="L423"/>
          <cell r="M423"/>
          <cell r="N423"/>
          <cell r="O423"/>
          <cell r="P423"/>
          <cell r="Q423"/>
          <cell r="R423"/>
          <cell r="S423"/>
          <cell r="T423"/>
          <cell r="U423"/>
          <cell r="V423"/>
          <cell r="W423"/>
          <cell r="X423"/>
          <cell r="Y423"/>
          <cell r="Z423"/>
          <cell r="AA423"/>
          <cell r="AB423"/>
          <cell r="AC423"/>
          <cell r="AD423"/>
          <cell r="AE423"/>
        </row>
        <row r="424">
          <cell r="G424"/>
          <cell r="H424"/>
          <cell r="I424"/>
          <cell r="J424"/>
          <cell r="K424"/>
          <cell r="L424"/>
          <cell r="M424"/>
          <cell r="N424"/>
          <cell r="O424"/>
          <cell r="P424"/>
          <cell r="Q424"/>
          <cell r="R424"/>
          <cell r="S424"/>
          <cell r="T424"/>
          <cell r="U424"/>
          <cell r="V424"/>
          <cell r="W424"/>
          <cell r="X424"/>
          <cell r="Y424"/>
          <cell r="Z424"/>
          <cell r="AA424"/>
          <cell r="AB424"/>
          <cell r="AC424"/>
          <cell r="AD424"/>
          <cell r="AE424"/>
        </row>
        <row r="425">
          <cell r="G425"/>
          <cell r="H425"/>
          <cell r="I425"/>
          <cell r="J425"/>
          <cell r="K425"/>
          <cell r="L425"/>
          <cell r="M425"/>
          <cell r="N425"/>
          <cell r="O425"/>
          <cell r="P425"/>
          <cell r="Q425"/>
          <cell r="R425"/>
          <cell r="S425"/>
          <cell r="T425"/>
          <cell r="U425"/>
          <cell r="V425"/>
          <cell r="W425"/>
          <cell r="X425"/>
          <cell r="Y425"/>
          <cell r="Z425"/>
          <cell r="AA425"/>
          <cell r="AB425"/>
          <cell r="AC425"/>
          <cell r="AD425"/>
          <cell r="AE425"/>
        </row>
        <row r="426">
          <cell r="G426"/>
          <cell r="H426"/>
          <cell r="I426"/>
          <cell r="J426"/>
          <cell r="K426"/>
          <cell r="L426"/>
          <cell r="M426"/>
          <cell r="N426"/>
          <cell r="O426"/>
          <cell r="P426"/>
          <cell r="Q426"/>
          <cell r="R426"/>
          <cell r="S426"/>
          <cell r="T426"/>
          <cell r="U426"/>
          <cell r="V426"/>
          <cell r="W426"/>
          <cell r="X426"/>
          <cell r="Y426"/>
          <cell r="Z426"/>
          <cell r="AA426"/>
          <cell r="AB426"/>
          <cell r="AC426"/>
          <cell r="AD426"/>
          <cell r="AE426"/>
        </row>
        <row r="427">
          <cell r="G427"/>
          <cell r="H427"/>
          <cell r="I427"/>
          <cell r="J427"/>
          <cell r="K427"/>
          <cell r="L427"/>
          <cell r="M427"/>
          <cell r="N427"/>
          <cell r="O427"/>
          <cell r="P427"/>
          <cell r="Q427"/>
          <cell r="R427"/>
          <cell r="S427"/>
          <cell r="T427"/>
          <cell r="U427"/>
          <cell r="V427"/>
          <cell r="W427"/>
          <cell r="X427"/>
          <cell r="Y427"/>
          <cell r="Z427"/>
          <cell r="AA427"/>
          <cell r="AB427"/>
          <cell r="AC427"/>
          <cell r="AD427"/>
          <cell r="AE427"/>
        </row>
        <row r="428">
          <cell r="G428"/>
          <cell r="H428"/>
          <cell r="I428"/>
          <cell r="J428"/>
          <cell r="K428"/>
          <cell r="L428"/>
          <cell r="M428"/>
          <cell r="N428"/>
          <cell r="O428"/>
          <cell r="P428"/>
          <cell r="Q428"/>
          <cell r="R428"/>
          <cell r="S428"/>
          <cell r="T428"/>
          <cell r="U428"/>
          <cell r="V428"/>
          <cell r="W428"/>
          <cell r="X428"/>
          <cell r="Y428"/>
          <cell r="Z428"/>
          <cell r="AA428"/>
          <cell r="AB428"/>
          <cell r="AC428"/>
          <cell r="AD428"/>
          <cell r="AE428"/>
        </row>
        <row r="429">
          <cell r="G429"/>
          <cell r="H429"/>
          <cell r="I429"/>
          <cell r="J429"/>
          <cell r="K429"/>
          <cell r="L429"/>
          <cell r="M429"/>
          <cell r="N429"/>
          <cell r="O429"/>
          <cell r="P429"/>
          <cell r="Q429"/>
          <cell r="R429"/>
          <cell r="S429"/>
          <cell r="T429"/>
          <cell r="U429"/>
          <cell r="V429"/>
          <cell r="W429"/>
          <cell r="X429"/>
          <cell r="Y429"/>
          <cell r="Z429"/>
          <cell r="AA429"/>
          <cell r="AB429"/>
          <cell r="AC429"/>
          <cell r="AD429"/>
          <cell r="AE429"/>
        </row>
        <row r="430">
          <cell r="G430"/>
          <cell r="H430"/>
          <cell r="I430"/>
          <cell r="J430"/>
          <cell r="K430"/>
          <cell r="L430"/>
          <cell r="M430"/>
          <cell r="N430"/>
          <cell r="O430"/>
          <cell r="P430"/>
          <cell r="Q430"/>
          <cell r="R430"/>
          <cell r="S430"/>
          <cell r="T430"/>
          <cell r="U430"/>
          <cell r="V430"/>
          <cell r="W430"/>
          <cell r="X430"/>
          <cell r="Y430"/>
          <cell r="Z430"/>
          <cell r="AA430"/>
          <cell r="AB430"/>
          <cell r="AC430"/>
          <cell r="AD430"/>
          <cell r="AE430"/>
        </row>
        <row r="431">
          <cell r="G431"/>
          <cell r="H431"/>
          <cell r="I431"/>
          <cell r="J431"/>
          <cell r="K431"/>
          <cell r="L431"/>
          <cell r="M431"/>
          <cell r="N431"/>
          <cell r="O431"/>
          <cell r="P431"/>
          <cell r="Q431"/>
          <cell r="R431"/>
          <cell r="S431"/>
          <cell r="T431"/>
          <cell r="U431"/>
          <cell r="V431"/>
          <cell r="W431"/>
          <cell r="X431"/>
          <cell r="Y431"/>
          <cell r="Z431"/>
          <cell r="AA431"/>
          <cell r="AB431"/>
          <cell r="AC431"/>
          <cell r="AD431"/>
          <cell r="AE431"/>
        </row>
        <row r="432">
          <cell r="G432"/>
          <cell r="H432"/>
          <cell r="I432"/>
          <cell r="J432"/>
          <cell r="K432"/>
          <cell r="L432"/>
          <cell r="M432"/>
          <cell r="N432"/>
          <cell r="O432"/>
          <cell r="P432"/>
          <cell r="Q432"/>
          <cell r="R432"/>
          <cell r="S432"/>
          <cell r="T432"/>
          <cell r="U432"/>
          <cell r="V432"/>
          <cell r="W432"/>
          <cell r="X432"/>
          <cell r="Y432"/>
          <cell r="Z432"/>
          <cell r="AA432"/>
          <cell r="AB432"/>
          <cell r="AC432"/>
          <cell r="AD432"/>
          <cell r="AE432"/>
        </row>
        <row r="433">
          <cell r="G433"/>
          <cell r="H433"/>
          <cell r="I433"/>
          <cell r="J433"/>
          <cell r="K433"/>
          <cell r="L433"/>
          <cell r="M433"/>
          <cell r="N433"/>
          <cell r="O433"/>
          <cell r="P433"/>
          <cell r="Q433"/>
          <cell r="R433"/>
          <cell r="S433"/>
          <cell r="T433"/>
          <cell r="U433"/>
          <cell r="V433"/>
          <cell r="W433"/>
          <cell r="X433"/>
          <cell r="Y433"/>
          <cell r="Z433"/>
          <cell r="AA433"/>
          <cell r="AB433"/>
          <cell r="AC433"/>
          <cell r="AD433"/>
          <cell r="AE433"/>
        </row>
        <row r="434">
          <cell r="G434"/>
          <cell r="H434"/>
          <cell r="I434"/>
          <cell r="J434"/>
          <cell r="K434"/>
          <cell r="L434"/>
          <cell r="M434"/>
          <cell r="N434"/>
          <cell r="O434"/>
          <cell r="P434"/>
          <cell r="Q434"/>
          <cell r="R434"/>
          <cell r="S434"/>
          <cell r="T434"/>
          <cell r="U434"/>
          <cell r="V434"/>
          <cell r="W434"/>
          <cell r="X434"/>
          <cell r="Y434"/>
          <cell r="Z434"/>
          <cell r="AA434"/>
          <cell r="AB434"/>
          <cell r="AC434"/>
          <cell r="AD434"/>
          <cell r="AE434"/>
        </row>
        <row r="435">
          <cell r="G435"/>
          <cell r="H435"/>
          <cell r="I435"/>
          <cell r="J435"/>
          <cell r="K435"/>
          <cell r="L435"/>
          <cell r="M435"/>
          <cell r="N435"/>
          <cell r="O435"/>
          <cell r="P435"/>
          <cell r="Q435"/>
          <cell r="R435"/>
          <cell r="S435"/>
          <cell r="T435"/>
          <cell r="U435"/>
          <cell r="V435"/>
          <cell r="W435"/>
          <cell r="X435"/>
          <cell r="Y435"/>
          <cell r="Z435"/>
          <cell r="AA435"/>
          <cell r="AB435"/>
          <cell r="AC435"/>
          <cell r="AD435"/>
          <cell r="AE435"/>
        </row>
        <row r="436">
          <cell r="G436"/>
          <cell r="H436"/>
          <cell r="I436"/>
          <cell r="J436"/>
          <cell r="K436"/>
          <cell r="L436"/>
          <cell r="M436"/>
          <cell r="N436"/>
          <cell r="O436"/>
          <cell r="P436"/>
          <cell r="Q436"/>
          <cell r="R436"/>
          <cell r="S436"/>
          <cell r="T436"/>
          <cell r="U436"/>
          <cell r="V436"/>
          <cell r="W436"/>
          <cell r="X436"/>
          <cell r="Y436"/>
          <cell r="Z436"/>
          <cell r="AA436"/>
          <cell r="AB436"/>
          <cell r="AC436"/>
          <cell r="AD436"/>
          <cell r="AE436"/>
        </row>
        <row r="437">
          <cell r="G437"/>
          <cell r="H437"/>
          <cell r="I437"/>
          <cell r="J437"/>
          <cell r="K437"/>
          <cell r="L437"/>
          <cell r="M437"/>
          <cell r="N437"/>
          <cell r="O437"/>
          <cell r="P437"/>
          <cell r="Q437"/>
          <cell r="R437"/>
          <cell r="S437"/>
          <cell r="T437"/>
          <cell r="U437"/>
          <cell r="V437"/>
          <cell r="W437"/>
          <cell r="X437"/>
          <cell r="Y437"/>
          <cell r="Z437"/>
          <cell r="AA437"/>
          <cell r="AB437"/>
          <cell r="AC437"/>
          <cell r="AD437"/>
          <cell r="AE437"/>
        </row>
        <row r="438">
          <cell r="G438"/>
          <cell r="H438"/>
          <cell r="I438"/>
          <cell r="J438"/>
          <cell r="K438"/>
          <cell r="L438"/>
          <cell r="M438"/>
          <cell r="N438"/>
          <cell r="O438"/>
          <cell r="P438"/>
          <cell r="Q438"/>
          <cell r="R438"/>
          <cell r="S438"/>
          <cell r="T438"/>
          <cell r="U438"/>
          <cell r="V438"/>
          <cell r="W438"/>
          <cell r="X438"/>
          <cell r="Y438"/>
          <cell r="Z438"/>
          <cell r="AA438"/>
          <cell r="AB438"/>
          <cell r="AC438"/>
          <cell r="AD438"/>
          <cell r="AE438"/>
        </row>
        <row r="439">
          <cell r="G439"/>
          <cell r="H439"/>
          <cell r="I439"/>
          <cell r="J439"/>
          <cell r="K439"/>
          <cell r="L439"/>
          <cell r="M439"/>
          <cell r="N439"/>
          <cell r="O439"/>
          <cell r="P439"/>
          <cell r="Q439"/>
          <cell r="R439"/>
          <cell r="S439"/>
          <cell r="T439"/>
          <cell r="U439"/>
          <cell r="V439"/>
          <cell r="W439"/>
          <cell r="X439"/>
          <cell r="Y439"/>
          <cell r="Z439"/>
          <cell r="AA439"/>
          <cell r="AB439"/>
          <cell r="AC439"/>
          <cell r="AD439"/>
          <cell r="AE439"/>
        </row>
        <row r="440">
          <cell r="G440"/>
          <cell r="H440"/>
          <cell r="I440"/>
          <cell r="J440"/>
          <cell r="K440"/>
          <cell r="L440"/>
          <cell r="M440"/>
          <cell r="N440"/>
          <cell r="O440"/>
          <cell r="P440"/>
          <cell r="Q440"/>
          <cell r="R440"/>
          <cell r="S440"/>
          <cell r="T440"/>
          <cell r="U440"/>
          <cell r="V440"/>
          <cell r="W440"/>
          <cell r="X440"/>
          <cell r="Y440"/>
          <cell r="Z440"/>
          <cell r="AA440"/>
          <cell r="AB440"/>
          <cell r="AC440"/>
          <cell r="AD440"/>
          <cell r="AE440"/>
        </row>
        <row r="441">
          <cell r="G441"/>
          <cell r="H441"/>
          <cell r="I441"/>
          <cell r="J441"/>
          <cell r="K441"/>
          <cell r="L441"/>
          <cell r="M441"/>
          <cell r="N441"/>
          <cell r="O441"/>
          <cell r="P441"/>
          <cell r="Q441"/>
          <cell r="R441"/>
          <cell r="S441"/>
          <cell r="T441"/>
          <cell r="U441"/>
          <cell r="V441"/>
          <cell r="W441"/>
          <cell r="X441"/>
          <cell r="Y441"/>
          <cell r="Z441"/>
          <cell r="AA441"/>
          <cell r="AB441"/>
          <cell r="AC441"/>
          <cell r="AD441"/>
          <cell r="AE441"/>
        </row>
        <row r="442">
          <cell r="G442"/>
          <cell r="H442"/>
          <cell r="I442"/>
          <cell r="J442"/>
          <cell r="K442"/>
          <cell r="L442"/>
          <cell r="M442"/>
          <cell r="N442"/>
          <cell r="O442"/>
          <cell r="P442"/>
          <cell r="Q442"/>
          <cell r="R442"/>
          <cell r="S442"/>
          <cell r="T442"/>
          <cell r="U442"/>
          <cell r="V442"/>
          <cell r="W442"/>
          <cell r="X442"/>
          <cell r="Y442"/>
          <cell r="Z442"/>
          <cell r="AA442"/>
          <cell r="AB442"/>
          <cell r="AC442"/>
          <cell r="AD442"/>
          <cell r="AE442"/>
        </row>
        <row r="443">
          <cell r="G443"/>
          <cell r="H443"/>
          <cell r="I443"/>
          <cell r="J443"/>
          <cell r="K443"/>
          <cell r="L443"/>
          <cell r="M443"/>
          <cell r="N443"/>
          <cell r="O443"/>
          <cell r="P443"/>
          <cell r="Q443"/>
          <cell r="R443"/>
          <cell r="S443"/>
          <cell r="T443"/>
          <cell r="U443"/>
          <cell r="V443"/>
          <cell r="W443"/>
          <cell r="X443"/>
          <cell r="Y443"/>
          <cell r="Z443"/>
          <cell r="AA443"/>
          <cell r="AB443"/>
          <cell r="AC443"/>
          <cell r="AD443"/>
          <cell r="AE443"/>
        </row>
        <row r="444">
          <cell r="G444"/>
          <cell r="H444"/>
          <cell r="I444"/>
          <cell r="J444"/>
          <cell r="K444"/>
          <cell r="L444"/>
          <cell r="M444"/>
          <cell r="N444"/>
          <cell r="O444"/>
          <cell r="P444"/>
          <cell r="Q444"/>
          <cell r="R444"/>
          <cell r="S444"/>
          <cell r="T444"/>
          <cell r="U444"/>
          <cell r="V444"/>
          <cell r="W444"/>
          <cell r="X444"/>
          <cell r="Y444"/>
          <cell r="Z444"/>
          <cell r="AA444"/>
          <cell r="AB444"/>
          <cell r="AC444"/>
          <cell r="AD444"/>
          <cell r="AE444"/>
        </row>
        <row r="445">
          <cell r="G445"/>
          <cell r="H445"/>
          <cell r="I445"/>
          <cell r="J445"/>
          <cell r="K445"/>
          <cell r="L445"/>
          <cell r="M445"/>
          <cell r="N445"/>
          <cell r="O445"/>
          <cell r="P445"/>
          <cell r="Q445"/>
          <cell r="R445"/>
          <cell r="S445"/>
          <cell r="T445"/>
          <cell r="U445"/>
          <cell r="V445"/>
          <cell r="W445"/>
          <cell r="X445"/>
          <cell r="Y445"/>
          <cell r="Z445"/>
          <cell r="AA445"/>
          <cell r="AB445"/>
          <cell r="AC445"/>
          <cell r="AD445"/>
          <cell r="AE445"/>
        </row>
        <row r="446">
          <cell r="G446"/>
          <cell r="H446"/>
          <cell r="I446"/>
          <cell r="J446"/>
          <cell r="K446"/>
          <cell r="L446"/>
          <cell r="M446"/>
          <cell r="N446"/>
          <cell r="O446"/>
          <cell r="P446"/>
          <cell r="Q446"/>
          <cell r="R446"/>
          <cell r="S446"/>
          <cell r="T446"/>
          <cell r="U446"/>
          <cell r="V446"/>
          <cell r="W446"/>
          <cell r="X446"/>
          <cell r="Y446"/>
          <cell r="Z446"/>
          <cell r="AA446"/>
          <cell r="AB446"/>
          <cell r="AC446"/>
          <cell r="AD446"/>
          <cell r="AE446"/>
        </row>
        <row r="447">
          <cell r="G447"/>
          <cell r="H447"/>
          <cell r="I447"/>
          <cell r="J447"/>
          <cell r="K447"/>
          <cell r="L447"/>
          <cell r="M447"/>
          <cell r="N447"/>
          <cell r="O447"/>
          <cell r="P447"/>
          <cell r="Q447"/>
          <cell r="R447"/>
          <cell r="S447"/>
          <cell r="T447"/>
          <cell r="U447"/>
          <cell r="V447"/>
          <cell r="W447"/>
          <cell r="X447"/>
          <cell r="Y447"/>
          <cell r="Z447"/>
          <cell r="AA447"/>
          <cell r="AB447"/>
          <cell r="AC447"/>
          <cell r="AD447"/>
          <cell r="AE447"/>
        </row>
        <row r="448">
          <cell r="G448"/>
          <cell r="H448"/>
          <cell r="I448"/>
          <cell r="J448"/>
          <cell r="K448"/>
          <cell r="L448"/>
          <cell r="M448"/>
          <cell r="N448"/>
          <cell r="O448"/>
          <cell r="P448"/>
          <cell r="Q448"/>
          <cell r="R448"/>
          <cell r="S448"/>
          <cell r="T448"/>
          <cell r="U448"/>
          <cell r="V448"/>
          <cell r="W448"/>
          <cell r="X448"/>
          <cell r="Y448"/>
          <cell r="Z448"/>
          <cell r="AA448"/>
          <cell r="AB448"/>
          <cell r="AC448"/>
          <cell r="AD448"/>
          <cell r="AE448"/>
        </row>
        <row r="449">
          <cell r="G449"/>
          <cell r="H449"/>
          <cell r="I449"/>
          <cell r="J449"/>
          <cell r="K449"/>
          <cell r="L449"/>
          <cell r="M449"/>
          <cell r="N449"/>
          <cell r="O449"/>
          <cell r="P449"/>
          <cell r="Q449"/>
          <cell r="R449"/>
          <cell r="S449"/>
          <cell r="T449"/>
          <cell r="U449"/>
          <cell r="V449"/>
          <cell r="W449"/>
          <cell r="X449"/>
          <cell r="Y449"/>
          <cell r="Z449"/>
          <cell r="AA449"/>
          <cell r="AB449"/>
          <cell r="AC449"/>
          <cell r="AD449"/>
          <cell r="AE449"/>
        </row>
        <row r="450">
          <cell r="G450"/>
          <cell r="H450"/>
          <cell r="I450"/>
          <cell r="J450"/>
          <cell r="K450"/>
          <cell r="L450"/>
          <cell r="M450"/>
          <cell r="N450"/>
          <cell r="O450"/>
          <cell r="P450"/>
          <cell r="Q450"/>
          <cell r="R450"/>
          <cell r="S450"/>
          <cell r="T450"/>
          <cell r="U450"/>
          <cell r="V450"/>
          <cell r="W450"/>
          <cell r="X450"/>
          <cell r="Y450"/>
          <cell r="Z450"/>
          <cell r="AA450"/>
          <cell r="AB450"/>
          <cell r="AC450"/>
          <cell r="AD450"/>
          <cell r="AE450"/>
        </row>
        <row r="451">
          <cell r="G451"/>
          <cell r="H451"/>
          <cell r="I451"/>
          <cell r="J451"/>
          <cell r="K451"/>
          <cell r="L451"/>
          <cell r="M451"/>
          <cell r="N451"/>
          <cell r="O451"/>
          <cell r="P451"/>
          <cell r="Q451"/>
          <cell r="R451"/>
          <cell r="S451"/>
          <cell r="T451"/>
          <cell r="U451"/>
          <cell r="V451"/>
          <cell r="W451"/>
          <cell r="X451"/>
          <cell r="Y451"/>
          <cell r="Z451"/>
          <cell r="AA451"/>
          <cell r="AB451"/>
          <cell r="AC451"/>
          <cell r="AD451"/>
          <cell r="AE451"/>
        </row>
        <row r="452">
          <cell r="G452"/>
          <cell r="H452"/>
          <cell r="I452"/>
          <cell r="J452"/>
          <cell r="K452"/>
          <cell r="L452"/>
          <cell r="M452"/>
          <cell r="N452"/>
          <cell r="O452"/>
          <cell r="P452"/>
          <cell r="Q452"/>
          <cell r="R452"/>
          <cell r="S452"/>
          <cell r="T452"/>
          <cell r="U452"/>
          <cell r="V452"/>
          <cell r="W452"/>
          <cell r="X452"/>
          <cell r="Y452"/>
          <cell r="Z452"/>
          <cell r="AA452"/>
          <cell r="AB452"/>
          <cell r="AC452"/>
          <cell r="AD452"/>
          <cell r="AE452"/>
        </row>
        <row r="453">
          <cell r="G453"/>
          <cell r="H453"/>
          <cell r="I453"/>
          <cell r="J453"/>
          <cell r="K453"/>
          <cell r="L453"/>
          <cell r="M453"/>
          <cell r="N453"/>
          <cell r="O453"/>
          <cell r="P453"/>
          <cell r="Q453"/>
          <cell r="R453"/>
          <cell r="S453"/>
          <cell r="T453"/>
          <cell r="U453"/>
          <cell r="V453"/>
          <cell r="W453"/>
          <cell r="X453"/>
          <cell r="Y453"/>
          <cell r="Z453"/>
          <cell r="AA453"/>
          <cell r="AB453"/>
          <cell r="AC453"/>
          <cell r="AD453"/>
          <cell r="AE453"/>
        </row>
        <row r="454">
          <cell r="G454"/>
          <cell r="H454"/>
          <cell r="I454"/>
          <cell r="J454"/>
          <cell r="K454"/>
          <cell r="L454"/>
          <cell r="M454"/>
          <cell r="N454"/>
          <cell r="O454"/>
          <cell r="P454"/>
          <cell r="Q454"/>
          <cell r="R454"/>
          <cell r="S454"/>
          <cell r="T454"/>
          <cell r="U454"/>
          <cell r="V454"/>
          <cell r="W454"/>
          <cell r="X454"/>
          <cell r="Y454"/>
          <cell r="Z454"/>
          <cell r="AA454"/>
          <cell r="AB454"/>
          <cell r="AC454"/>
          <cell r="AD454"/>
          <cell r="AE454"/>
        </row>
        <row r="455">
          <cell r="G455"/>
          <cell r="H455"/>
          <cell r="I455"/>
          <cell r="J455"/>
          <cell r="K455"/>
          <cell r="L455"/>
          <cell r="M455"/>
          <cell r="N455"/>
          <cell r="O455"/>
          <cell r="P455"/>
          <cell r="Q455"/>
          <cell r="R455"/>
          <cell r="S455"/>
          <cell r="T455"/>
          <cell r="U455"/>
          <cell r="V455"/>
          <cell r="W455"/>
          <cell r="X455"/>
          <cell r="Y455"/>
          <cell r="Z455"/>
          <cell r="AA455"/>
          <cell r="AB455"/>
          <cell r="AC455"/>
          <cell r="AD455"/>
          <cell r="AE455"/>
        </row>
        <row r="456">
          <cell r="G456"/>
          <cell r="H456"/>
          <cell r="I456"/>
          <cell r="J456"/>
          <cell r="K456"/>
          <cell r="L456"/>
          <cell r="M456"/>
          <cell r="N456"/>
          <cell r="O456"/>
          <cell r="P456"/>
          <cell r="Q456"/>
          <cell r="R456"/>
          <cell r="S456"/>
          <cell r="T456"/>
          <cell r="U456"/>
          <cell r="V456"/>
          <cell r="W456"/>
          <cell r="X456"/>
          <cell r="Y456"/>
          <cell r="Z456"/>
          <cell r="AA456"/>
          <cell r="AB456"/>
          <cell r="AC456"/>
          <cell r="AD456"/>
          <cell r="AE456"/>
        </row>
        <row r="457">
          <cell r="G457"/>
          <cell r="H457"/>
          <cell r="I457"/>
          <cell r="J457"/>
          <cell r="K457"/>
          <cell r="L457"/>
          <cell r="M457"/>
          <cell r="N457"/>
          <cell r="O457"/>
          <cell r="P457"/>
          <cell r="Q457"/>
          <cell r="R457"/>
          <cell r="S457"/>
          <cell r="T457"/>
          <cell r="U457"/>
          <cell r="V457"/>
          <cell r="W457"/>
          <cell r="X457"/>
          <cell r="Y457"/>
          <cell r="Z457"/>
          <cell r="AA457"/>
          <cell r="AB457"/>
          <cell r="AC457"/>
          <cell r="AD457"/>
          <cell r="AE457"/>
        </row>
        <row r="458">
          <cell r="G458"/>
          <cell r="H458"/>
          <cell r="I458"/>
          <cell r="J458"/>
          <cell r="K458"/>
          <cell r="L458"/>
          <cell r="M458"/>
          <cell r="N458"/>
          <cell r="O458"/>
          <cell r="P458"/>
          <cell r="Q458"/>
          <cell r="R458"/>
          <cell r="S458"/>
          <cell r="T458"/>
          <cell r="U458"/>
          <cell r="V458"/>
          <cell r="W458"/>
          <cell r="X458"/>
          <cell r="Y458"/>
          <cell r="Z458"/>
          <cell r="AA458"/>
          <cell r="AB458"/>
          <cell r="AC458"/>
          <cell r="AD458"/>
          <cell r="AE458"/>
        </row>
        <row r="459">
          <cell r="G459"/>
          <cell r="H459"/>
          <cell r="I459"/>
          <cell r="J459"/>
          <cell r="K459"/>
          <cell r="L459"/>
          <cell r="M459"/>
          <cell r="N459"/>
          <cell r="O459"/>
          <cell r="P459"/>
          <cell r="Q459"/>
          <cell r="R459"/>
          <cell r="S459"/>
          <cell r="T459"/>
          <cell r="U459"/>
          <cell r="V459"/>
          <cell r="W459"/>
          <cell r="X459"/>
          <cell r="Y459"/>
          <cell r="Z459"/>
          <cell r="AA459"/>
          <cell r="AB459"/>
          <cell r="AC459"/>
          <cell r="AD459"/>
          <cell r="AE459"/>
        </row>
        <row r="460">
          <cell r="G460"/>
          <cell r="H460"/>
          <cell r="I460"/>
          <cell r="J460"/>
          <cell r="K460"/>
          <cell r="L460"/>
          <cell r="M460"/>
          <cell r="N460"/>
          <cell r="O460"/>
          <cell r="P460"/>
          <cell r="Q460"/>
          <cell r="R460"/>
          <cell r="S460"/>
          <cell r="T460"/>
          <cell r="U460"/>
          <cell r="V460"/>
          <cell r="W460"/>
          <cell r="X460"/>
          <cell r="Y460"/>
          <cell r="Z460"/>
          <cell r="AA460"/>
          <cell r="AB460"/>
          <cell r="AC460"/>
          <cell r="AD460"/>
          <cell r="AE460"/>
        </row>
        <row r="461">
          <cell r="G461"/>
          <cell r="H461"/>
          <cell r="I461"/>
          <cell r="J461"/>
          <cell r="K461"/>
          <cell r="L461"/>
          <cell r="M461"/>
          <cell r="N461"/>
          <cell r="O461"/>
          <cell r="P461"/>
          <cell r="Q461"/>
          <cell r="R461"/>
          <cell r="S461"/>
          <cell r="T461"/>
          <cell r="U461"/>
          <cell r="V461"/>
          <cell r="W461"/>
          <cell r="X461"/>
          <cell r="Y461"/>
          <cell r="Z461"/>
          <cell r="AA461"/>
          <cell r="AB461"/>
          <cell r="AC461"/>
          <cell r="AD461"/>
          <cell r="AE461"/>
        </row>
        <row r="462">
          <cell r="G462"/>
          <cell r="H462"/>
          <cell r="I462"/>
          <cell r="J462"/>
          <cell r="K462"/>
          <cell r="L462"/>
          <cell r="M462"/>
          <cell r="N462"/>
          <cell r="O462"/>
          <cell r="P462"/>
          <cell r="Q462"/>
          <cell r="R462"/>
          <cell r="S462"/>
          <cell r="T462"/>
          <cell r="U462"/>
          <cell r="V462"/>
          <cell r="W462"/>
          <cell r="X462"/>
          <cell r="Y462"/>
          <cell r="Z462"/>
          <cell r="AA462"/>
          <cell r="AB462"/>
          <cell r="AC462"/>
          <cell r="AD462"/>
          <cell r="AE462"/>
        </row>
        <row r="463">
          <cell r="G463"/>
          <cell r="H463"/>
          <cell r="I463"/>
          <cell r="J463"/>
          <cell r="K463"/>
          <cell r="L463"/>
          <cell r="M463"/>
          <cell r="N463"/>
          <cell r="O463"/>
          <cell r="P463"/>
          <cell r="Q463"/>
          <cell r="R463"/>
          <cell r="S463"/>
          <cell r="T463"/>
          <cell r="U463"/>
          <cell r="V463"/>
          <cell r="W463"/>
          <cell r="X463"/>
          <cell r="Y463"/>
          <cell r="Z463"/>
          <cell r="AA463"/>
          <cell r="AB463"/>
          <cell r="AC463"/>
          <cell r="AD463"/>
          <cell r="AE463"/>
        </row>
        <row r="464">
          <cell r="G464"/>
          <cell r="H464"/>
          <cell r="I464"/>
          <cell r="J464"/>
          <cell r="K464"/>
          <cell r="L464"/>
          <cell r="M464"/>
          <cell r="N464"/>
          <cell r="O464"/>
          <cell r="P464"/>
          <cell r="Q464"/>
          <cell r="R464"/>
          <cell r="S464"/>
          <cell r="T464"/>
          <cell r="U464"/>
          <cell r="V464"/>
          <cell r="W464"/>
          <cell r="X464"/>
          <cell r="Y464"/>
          <cell r="Z464"/>
          <cell r="AA464"/>
          <cell r="AB464"/>
          <cell r="AC464"/>
          <cell r="AD464"/>
          <cell r="AE464"/>
        </row>
        <row r="465">
          <cell r="G465"/>
          <cell r="H465"/>
          <cell r="I465"/>
          <cell r="J465"/>
          <cell r="K465"/>
          <cell r="L465"/>
          <cell r="M465"/>
          <cell r="N465"/>
          <cell r="O465"/>
          <cell r="P465"/>
          <cell r="Q465"/>
          <cell r="R465"/>
          <cell r="S465"/>
          <cell r="T465"/>
          <cell r="U465"/>
          <cell r="V465"/>
          <cell r="W465"/>
          <cell r="X465"/>
          <cell r="Y465"/>
          <cell r="Z465"/>
          <cell r="AA465"/>
          <cell r="AB465"/>
          <cell r="AC465"/>
          <cell r="AD465"/>
          <cell r="AE465"/>
        </row>
        <row r="466">
          <cell r="G466"/>
          <cell r="H466"/>
          <cell r="I466"/>
          <cell r="J466"/>
          <cell r="K466"/>
          <cell r="L466"/>
          <cell r="M466"/>
          <cell r="N466"/>
          <cell r="O466"/>
          <cell r="P466"/>
          <cell r="Q466"/>
          <cell r="R466"/>
          <cell r="S466"/>
          <cell r="T466"/>
          <cell r="U466"/>
          <cell r="V466"/>
          <cell r="W466"/>
          <cell r="X466"/>
          <cell r="Y466"/>
          <cell r="Z466"/>
          <cell r="AA466"/>
          <cell r="AB466"/>
          <cell r="AC466"/>
          <cell r="AD466"/>
          <cell r="AE466"/>
        </row>
        <row r="467">
          <cell r="G467"/>
          <cell r="H467"/>
          <cell r="I467"/>
          <cell r="J467"/>
          <cell r="K467"/>
          <cell r="L467"/>
          <cell r="M467"/>
          <cell r="N467"/>
          <cell r="O467"/>
          <cell r="P467"/>
          <cell r="Q467"/>
          <cell r="R467"/>
          <cell r="S467"/>
          <cell r="T467"/>
          <cell r="U467"/>
          <cell r="V467"/>
          <cell r="W467"/>
          <cell r="X467"/>
          <cell r="Y467"/>
          <cell r="Z467"/>
          <cell r="AA467"/>
          <cell r="AB467"/>
          <cell r="AC467"/>
          <cell r="AD467"/>
          <cell r="AE467"/>
        </row>
        <row r="468">
          <cell r="G468"/>
          <cell r="H468"/>
          <cell r="I468"/>
          <cell r="J468"/>
          <cell r="K468"/>
          <cell r="L468"/>
          <cell r="M468"/>
          <cell r="N468"/>
          <cell r="O468"/>
          <cell r="P468"/>
          <cell r="Q468"/>
          <cell r="R468"/>
          <cell r="S468"/>
          <cell r="T468"/>
          <cell r="U468"/>
          <cell r="V468"/>
          <cell r="W468"/>
          <cell r="X468"/>
          <cell r="Y468"/>
          <cell r="Z468"/>
          <cell r="AA468"/>
          <cell r="AB468"/>
          <cell r="AC468"/>
          <cell r="AD468"/>
          <cell r="AE468"/>
        </row>
        <row r="469">
          <cell r="G469"/>
          <cell r="H469"/>
          <cell r="I469"/>
          <cell r="J469"/>
          <cell r="K469"/>
          <cell r="L469"/>
          <cell r="M469"/>
          <cell r="N469"/>
          <cell r="O469"/>
          <cell r="P469"/>
          <cell r="Q469"/>
          <cell r="R469"/>
          <cell r="S469"/>
          <cell r="T469"/>
          <cell r="U469"/>
          <cell r="V469"/>
          <cell r="W469"/>
          <cell r="X469"/>
          <cell r="Y469"/>
          <cell r="Z469"/>
          <cell r="AA469"/>
          <cell r="AB469"/>
          <cell r="AC469"/>
          <cell r="AD469"/>
          <cell r="AE469"/>
        </row>
        <row r="470">
          <cell r="G470"/>
          <cell r="H470"/>
          <cell r="I470"/>
          <cell r="J470"/>
          <cell r="K470"/>
          <cell r="L470"/>
          <cell r="M470"/>
          <cell r="N470"/>
          <cell r="O470"/>
          <cell r="P470"/>
          <cell r="Q470"/>
          <cell r="R470"/>
          <cell r="S470"/>
          <cell r="T470"/>
          <cell r="U470"/>
          <cell r="V470"/>
          <cell r="W470"/>
          <cell r="X470"/>
          <cell r="Y470"/>
          <cell r="Z470"/>
          <cell r="AA470"/>
          <cell r="AB470"/>
          <cell r="AC470"/>
          <cell r="AD470"/>
          <cell r="AE470"/>
        </row>
        <row r="471">
          <cell r="G471"/>
          <cell r="H471"/>
          <cell r="I471"/>
          <cell r="J471"/>
          <cell r="K471"/>
          <cell r="L471"/>
          <cell r="M471"/>
          <cell r="N471"/>
          <cell r="O471"/>
          <cell r="P471"/>
          <cell r="Q471"/>
          <cell r="R471"/>
          <cell r="S471"/>
          <cell r="T471"/>
          <cell r="U471"/>
          <cell r="V471"/>
          <cell r="W471"/>
          <cell r="X471"/>
          <cell r="Y471"/>
          <cell r="Z471"/>
          <cell r="AA471"/>
          <cell r="AB471"/>
          <cell r="AC471"/>
          <cell r="AD471"/>
          <cell r="AE471"/>
        </row>
        <row r="472">
          <cell r="G472"/>
          <cell r="H472"/>
          <cell r="I472"/>
          <cell r="J472"/>
          <cell r="K472"/>
          <cell r="L472"/>
          <cell r="M472"/>
          <cell r="N472"/>
          <cell r="O472"/>
          <cell r="P472"/>
          <cell r="Q472"/>
          <cell r="R472"/>
          <cell r="S472"/>
          <cell r="T472"/>
          <cell r="U472"/>
          <cell r="V472"/>
          <cell r="W472"/>
          <cell r="X472"/>
          <cell r="Y472"/>
          <cell r="Z472"/>
          <cell r="AA472"/>
          <cell r="AB472"/>
          <cell r="AC472"/>
          <cell r="AD472"/>
          <cell r="AE472"/>
        </row>
        <row r="473">
          <cell r="G473"/>
          <cell r="H473"/>
          <cell r="I473"/>
          <cell r="J473"/>
          <cell r="K473"/>
          <cell r="L473"/>
          <cell r="M473"/>
          <cell r="N473"/>
          <cell r="O473"/>
          <cell r="P473"/>
          <cell r="Q473"/>
          <cell r="R473"/>
          <cell r="S473"/>
          <cell r="T473"/>
          <cell r="U473"/>
          <cell r="V473"/>
          <cell r="W473"/>
          <cell r="X473"/>
          <cell r="Y473"/>
          <cell r="Z473"/>
          <cell r="AA473"/>
          <cell r="AB473"/>
          <cell r="AC473"/>
          <cell r="AD473"/>
          <cell r="AE473"/>
        </row>
        <row r="474">
          <cell r="G474"/>
          <cell r="H474"/>
          <cell r="I474"/>
          <cell r="J474"/>
          <cell r="K474"/>
          <cell r="L474"/>
          <cell r="M474"/>
          <cell r="N474"/>
          <cell r="O474"/>
          <cell r="P474"/>
          <cell r="Q474"/>
          <cell r="R474"/>
          <cell r="S474"/>
          <cell r="T474"/>
          <cell r="U474"/>
          <cell r="V474"/>
          <cell r="W474"/>
          <cell r="X474"/>
          <cell r="Y474"/>
          <cell r="Z474"/>
          <cell r="AA474"/>
          <cell r="AB474"/>
          <cell r="AC474"/>
          <cell r="AD474"/>
          <cell r="AE474"/>
        </row>
        <row r="475">
          <cell r="G475"/>
          <cell r="H475"/>
          <cell r="I475"/>
          <cell r="J475"/>
          <cell r="K475"/>
          <cell r="L475"/>
          <cell r="M475"/>
          <cell r="N475"/>
          <cell r="O475"/>
          <cell r="P475"/>
          <cell r="Q475"/>
          <cell r="R475"/>
          <cell r="S475"/>
          <cell r="T475"/>
          <cell r="U475"/>
          <cell r="V475"/>
          <cell r="W475"/>
          <cell r="X475"/>
          <cell r="Y475"/>
          <cell r="Z475"/>
          <cell r="AA475"/>
          <cell r="AB475"/>
          <cell r="AC475"/>
          <cell r="AD475"/>
          <cell r="AE475"/>
        </row>
        <row r="476">
          <cell r="G476"/>
          <cell r="H476"/>
          <cell r="I476"/>
          <cell r="J476"/>
          <cell r="K476"/>
          <cell r="L476"/>
          <cell r="M476"/>
          <cell r="N476"/>
          <cell r="O476"/>
          <cell r="P476"/>
          <cell r="Q476"/>
          <cell r="R476"/>
          <cell r="S476"/>
          <cell r="T476"/>
          <cell r="U476"/>
          <cell r="V476"/>
          <cell r="W476"/>
          <cell r="X476"/>
          <cell r="Y476"/>
          <cell r="Z476"/>
          <cell r="AA476"/>
          <cell r="AB476"/>
          <cell r="AC476"/>
          <cell r="AD476"/>
          <cell r="AE476"/>
        </row>
        <row r="477">
          <cell r="G477"/>
          <cell r="H477"/>
          <cell r="I477"/>
          <cell r="J477"/>
          <cell r="K477"/>
          <cell r="L477"/>
          <cell r="M477"/>
          <cell r="N477"/>
          <cell r="O477"/>
          <cell r="P477"/>
          <cell r="Q477"/>
          <cell r="R477"/>
          <cell r="S477"/>
          <cell r="T477"/>
          <cell r="U477"/>
          <cell r="V477"/>
          <cell r="W477"/>
          <cell r="X477"/>
          <cell r="Y477"/>
          <cell r="Z477"/>
          <cell r="AA477"/>
          <cell r="AB477"/>
          <cell r="AC477"/>
          <cell r="AD477"/>
          <cell r="AE477"/>
        </row>
        <row r="478">
          <cell r="G478"/>
          <cell r="H478"/>
          <cell r="I478"/>
          <cell r="J478"/>
          <cell r="K478"/>
          <cell r="L478"/>
          <cell r="M478"/>
          <cell r="N478"/>
          <cell r="O478"/>
          <cell r="P478"/>
          <cell r="Q478"/>
          <cell r="R478"/>
          <cell r="S478"/>
          <cell r="T478"/>
          <cell r="U478"/>
          <cell r="V478"/>
          <cell r="W478"/>
          <cell r="X478"/>
          <cell r="Y478"/>
          <cell r="Z478"/>
          <cell r="AA478"/>
          <cell r="AB478"/>
          <cell r="AC478"/>
          <cell r="AD478"/>
          <cell r="AE478"/>
        </row>
        <row r="479">
          <cell r="G479"/>
          <cell r="H479"/>
          <cell r="I479"/>
          <cell r="J479"/>
          <cell r="K479"/>
          <cell r="L479"/>
          <cell r="M479"/>
          <cell r="N479"/>
          <cell r="O479"/>
          <cell r="P479"/>
          <cell r="Q479"/>
          <cell r="R479"/>
          <cell r="S479"/>
          <cell r="T479"/>
          <cell r="U479"/>
          <cell r="V479"/>
          <cell r="W479"/>
          <cell r="X479"/>
          <cell r="Y479"/>
          <cell r="Z479"/>
          <cell r="AA479"/>
          <cell r="AB479"/>
          <cell r="AC479"/>
          <cell r="AD479"/>
          <cell r="AE479"/>
        </row>
        <row r="480">
          <cell r="G480"/>
          <cell r="H480"/>
          <cell r="I480"/>
          <cell r="J480"/>
          <cell r="K480"/>
          <cell r="L480"/>
          <cell r="M480"/>
          <cell r="N480"/>
          <cell r="O480"/>
          <cell r="P480"/>
          <cell r="Q480"/>
          <cell r="R480"/>
          <cell r="S480"/>
          <cell r="T480"/>
          <cell r="U480"/>
          <cell r="V480"/>
          <cell r="W480"/>
          <cell r="X480"/>
          <cell r="Y480"/>
          <cell r="Z480"/>
          <cell r="AA480"/>
          <cell r="AB480"/>
          <cell r="AC480"/>
          <cell r="AD480"/>
          <cell r="AE480"/>
        </row>
        <row r="481">
          <cell r="G481"/>
          <cell r="H481"/>
          <cell r="I481"/>
          <cell r="J481"/>
          <cell r="K481"/>
          <cell r="L481"/>
          <cell r="M481"/>
          <cell r="N481"/>
          <cell r="O481"/>
          <cell r="P481"/>
          <cell r="Q481"/>
          <cell r="R481"/>
          <cell r="S481"/>
          <cell r="T481"/>
          <cell r="U481"/>
          <cell r="V481"/>
          <cell r="W481"/>
          <cell r="X481"/>
          <cell r="Y481"/>
          <cell r="Z481"/>
          <cell r="AA481"/>
          <cell r="AB481"/>
          <cell r="AC481"/>
          <cell r="AD481"/>
          <cell r="AE481"/>
        </row>
        <row r="482">
          <cell r="G482"/>
          <cell r="H482"/>
          <cell r="I482"/>
          <cell r="J482"/>
          <cell r="K482"/>
          <cell r="L482"/>
          <cell r="M482"/>
          <cell r="N482"/>
          <cell r="O482"/>
          <cell r="P482"/>
          <cell r="Q482"/>
          <cell r="R482"/>
          <cell r="S482"/>
          <cell r="T482"/>
          <cell r="U482"/>
          <cell r="V482"/>
          <cell r="W482"/>
          <cell r="X482"/>
          <cell r="Y482"/>
          <cell r="Z482"/>
          <cell r="AA482"/>
          <cell r="AB482"/>
          <cell r="AC482"/>
          <cell r="AD482"/>
          <cell r="AE482"/>
        </row>
        <row r="483">
          <cell r="G483"/>
          <cell r="H483"/>
          <cell r="I483"/>
          <cell r="J483"/>
          <cell r="K483"/>
          <cell r="L483"/>
          <cell r="M483"/>
          <cell r="N483"/>
          <cell r="O483"/>
          <cell r="P483"/>
          <cell r="Q483"/>
          <cell r="R483"/>
          <cell r="S483"/>
          <cell r="T483"/>
          <cell r="U483"/>
          <cell r="V483"/>
          <cell r="W483"/>
          <cell r="X483"/>
          <cell r="Y483"/>
          <cell r="Z483"/>
          <cell r="AA483"/>
          <cell r="AB483"/>
          <cell r="AC483"/>
          <cell r="AD483"/>
          <cell r="AE483"/>
        </row>
        <row r="484">
          <cell r="G484"/>
          <cell r="H484"/>
          <cell r="I484"/>
          <cell r="J484"/>
          <cell r="K484"/>
          <cell r="L484"/>
          <cell r="M484"/>
          <cell r="N484"/>
          <cell r="O484"/>
          <cell r="P484"/>
          <cell r="Q484"/>
          <cell r="R484"/>
          <cell r="S484"/>
          <cell r="T484"/>
          <cell r="U484"/>
          <cell r="V484"/>
          <cell r="W484"/>
          <cell r="X484"/>
          <cell r="Y484"/>
          <cell r="Z484"/>
          <cell r="AA484"/>
          <cell r="AB484"/>
          <cell r="AC484"/>
          <cell r="AD484"/>
          <cell r="AE484"/>
        </row>
        <row r="485">
          <cell r="G485"/>
          <cell r="H485"/>
          <cell r="I485"/>
          <cell r="J485"/>
          <cell r="K485"/>
          <cell r="L485"/>
          <cell r="M485"/>
          <cell r="N485"/>
          <cell r="O485"/>
          <cell r="P485"/>
          <cell r="Q485"/>
          <cell r="R485"/>
          <cell r="S485"/>
          <cell r="T485"/>
          <cell r="U485"/>
          <cell r="V485"/>
          <cell r="W485"/>
          <cell r="X485"/>
          <cell r="Y485"/>
          <cell r="Z485"/>
          <cell r="AA485"/>
          <cell r="AB485"/>
          <cell r="AC485"/>
          <cell r="AD485"/>
          <cell r="AE485"/>
        </row>
        <row r="486">
          <cell r="G486"/>
          <cell r="H486"/>
          <cell r="I486"/>
          <cell r="J486"/>
          <cell r="K486"/>
          <cell r="L486"/>
          <cell r="M486"/>
          <cell r="N486"/>
          <cell r="O486"/>
          <cell r="P486"/>
          <cell r="Q486"/>
          <cell r="R486"/>
          <cell r="S486"/>
          <cell r="T486"/>
          <cell r="U486"/>
          <cell r="V486"/>
          <cell r="W486"/>
          <cell r="X486"/>
          <cell r="Y486"/>
          <cell r="Z486"/>
          <cell r="AA486"/>
          <cell r="AB486"/>
          <cell r="AC486"/>
          <cell r="AD486"/>
          <cell r="AE486"/>
        </row>
        <row r="487">
          <cell r="G487"/>
          <cell r="H487"/>
          <cell r="I487"/>
          <cell r="J487"/>
          <cell r="K487"/>
          <cell r="L487"/>
          <cell r="M487"/>
          <cell r="N487"/>
          <cell r="O487"/>
          <cell r="P487"/>
          <cell r="Q487"/>
          <cell r="R487"/>
          <cell r="S487"/>
          <cell r="T487"/>
          <cell r="U487"/>
          <cell r="V487"/>
          <cell r="W487"/>
          <cell r="X487"/>
          <cell r="Y487"/>
          <cell r="Z487"/>
          <cell r="AA487"/>
          <cell r="AB487"/>
          <cell r="AC487"/>
          <cell r="AD487"/>
          <cell r="AE487"/>
        </row>
        <row r="488">
          <cell r="G488"/>
          <cell r="H488"/>
          <cell r="I488"/>
          <cell r="J488"/>
          <cell r="K488"/>
          <cell r="L488"/>
          <cell r="M488"/>
          <cell r="N488"/>
          <cell r="O488"/>
          <cell r="P488"/>
          <cell r="Q488"/>
          <cell r="R488"/>
          <cell r="S488"/>
          <cell r="T488"/>
          <cell r="U488"/>
          <cell r="V488"/>
          <cell r="W488"/>
          <cell r="X488"/>
          <cell r="Y488"/>
          <cell r="Z488"/>
          <cell r="AA488"/>
          <cell r="AB488"/>
          <cell r="AC488"/>
          <cell r="AD488"/>
          <cell r="AE488"/>
        </row>
        <row r="489">
          <cell r="G489"/>
          <cell r="H489"/>
          <cell r="I489"/>
          <cell r="J489"/>
          <cell r="K489"/>
          <cell r="L489"/>
          <cell r="M489"/>
          <cell r="N489"/>
          <cell r="O489"/>
          <cell r="P489"/>
          <cell r="Q489"/>
          <cell r="R489"/>
          <cell r="S489"/>
          <cell r="T489"/>
          <cell r="U489"/>
          <cell r="V489"/>
          <cell r="W489"/>
          <cell r="X489"/>
          <cell r="Y489"/>
          <cell r="Z489"/>
          <cell r="AA489"/>
          <cell r="AB489"/>
          <cell r="AC489"/>
          <cell r="AD489"/>
          <cell r="AE489"/>
        </row>
        <row r="490">
          <cell r="G490"/>
          <cell r="H490"/>
          <cell r="I490"/>
          <cell r="J490"/>
          <cell r="K490"/>
          <cell r="L490"/>
          <cell r="M490"/>
          <cell r="N490"/>
          <cell r="O490"/>
          <cell r="P490"/>
          <cell r="Q490"/>
          <cell r="R490"/>
          <cell r="S490"/>
          <cell r="T490"/>
          <cell r="U490"/>
          <cell r="V490"/>
          <cell r="W490"/>
          <cell r="X490"/>
          <cell r="Y490"/>
          <cell r="Z490"/>
          <cell r="AA490"/>
          <cell r="AB490"/>
          <cell r="AC490"/>
          <cell r="AD490"/>
          <cell r="AE490"/>
        </row>
        <row r="491">
          <cell r="G491"/>
          <cell r="H491"/>
          <cell r="I491"/>
          <cell r="J491"/>
          <cell r="K491"/>
          <cell r="L491"/>
          <cell r="M491"/>
          <cell r="N491"/>
          <cell r="O491"/>
          <cell r="P491"/>
          <cell r="Q491"/>
          <cell r="R491"/>
          <cell r="S491"/>
          <cell r="T491"/>
          <cell r="U491"/>
          <cell r="V491"/>
          <cell r="W491"/>
          <cell r="X491"/>
          <cell r="Y491"/>
          <cell r="Z491"/>
          <cell r="AA491"/>
          <cell r="AB491"/>
          <cell r="AC491"/>
          <cell r="AD491"/>
          <cell r="AE491"/>
        </row>
        <row r="492">
          <cell r="G492"/>
          <cell r="H492"/>
          <cell r="I492"/>
          <cell r="J492"/>
          <cell r="K492"/>
          <cell r="L492"/>
          <cell r="M492"/>
          <cell r="N492"/>
          <cell r="O492"/>
          <cell r="P492"/>
          <cell r="Q492"/>
          <cell r="R492"/>
          <cell r="S492"/>
          <cell r="T492"/>
          <cell r="U492"/>
          <cell r="V492"/>
          <cell r="W492"/>
          <cell r="X492"/>
          <cell r="Y492"/>
          <cell r="Z492"/>
          <cell r="AA492"/>
          <cell r="AB492"/>
          <cell r="AC492"/>
          <cell r="AD492"/>
          <cell r="AE492"/>
        </row>
        <row r="493">
          <cell r="G493"/>
          <cell r="H493"/>
          <cell r="I493"/>
          <cell r="J493"/>
          <cell r="K493"/>
          <cell r="L493"/>
          <cell r="M493"/>
          <cell r="N493"/>
          <cell r="O493"/>
          <cell r="P493"/>
          <cell r="Q493"/>
          <cell r="R493"/>
          <cell r="S493"/>
          <cell r="T493"/>
          <cell r="U493"/>
          <cell r="V493"/>
          <cell r="W493"/>
          <cell r="X493"/>
          <cell r="Y493"/>
          <cell r="Z493"/>
          <cell r="AA493"/>
          <cell r="AB493"/>
          <cell r="AC493"/>
          <cell r="AD493"/>
          <cell r="AE493"/>
        </row>
        <row r="494">
          <cell r="G494"/>
          <cell r="H494"/>
          <cell r="I494"/>
          <cell r="J494"/>
          <cell r="K494"/>
          <cell r="L494"/>
          <cell r="M494"/>
          <cell r="N494"/>
          <cell r="O494"/>
          <cell r="P494"/>
          <cell r="Q494"/>
          <cell r="R494"/>
          <cell r="S494"/>
          <cell r="T494"/>
          <cell r="U494"/>
          <cell r="V494"/>
          <cell r="W494"/>
          <cell r="X494"/>
          <cell r="Y494"/>
          <cell r="Z494"/>
          <cell r="AA494"/>
          <cell r="AB494"/>
          <cell r="AC494"/>
          <cell r="AD494"/>
          <cell r="AE494"/>
        </row>
        <row r="495">
          <cell r="G495"/>
          <cell r="H495"/>
          <cell r="I495"/>
          <cell r="J495"/>
          <cell r="K495"/>
          <cell r="L495"/>
          <cell r="M495"/>
          <cell r="N495"/>
          <cell r="O495"/>
          <cell r="P495"/>
          <cell r="Q495"/>
          <cell r="R495"/>
          <cell r="S495"/>
          <cell r="T495"/>
          <cell r="U495"/>
          <cell r="V495"/>
          <cell r="W495"/>
          <cell r="X495"/>
          <cell r="Y495"/>
          <cell r="Z495"/>
          <cell r="AA495"/>
          <cell r="AB495"/>
          <cell r="AC495"/>
          <cell r="AD495"/>
          <cell r="AE495"/>
        </row>
        <row r="496">
          <cell r="G496"/>
          <cell r="H496"/>
          <cell r="I496"/>
          <cell r="J496"/>
          <cell r="K496"/>
          <cell r="L496"/>
          <cell r="M496"/>
          <cell r="N496"/>
          <cell r="O496"/>
          <cell r="P496"/>
          <cell r="Q496"/>
          <cell r="R496"/>
          <cell r="S496"/>
          <cell r="T496"/>
          <cell r="U496"/>
          <cell r="V496"/>
          <cell r="W496"/>
          <cell r="X496"/>
          <cell r="Y496"/>
          <cell r="Z496"/>
          <cell r="AA496"/>
          <cell r="AB496"/>
          <cell r="AC496"/>
          <cell r="AD496"/>
          <cell r="AE496"/>
        </row>
        <row r="497">
          <cell r="G497"/>
          <cell r="H497"/>
          <cell r="I497"/>
          <cell r="J497"/>
          <cell r="K497"/>
          <cell r="L497"/>
          <cell r="M497"/>
          <cell r="N497"/>
          <cell r="O497"/>
          <cell r="P497"/>
          <cell r="Q497"/>
          <cell r="R497"/>
          <cell r="S497"/>
          <cell r="T497"/>
          <cell r="U497"/>
          <cell r="V497"/>
          <cell r="W497"/>
          <cell r="X497"/>
          <cell r="Y497"/>
          <cell r="Z497"/>
          <cell r="AA497"/>
          <cell r="AB497"/>
          <cell r="AC497"/>
          <cell r="AD497"/>
          <cell r="AE497"/>
        </row>
        <row r="498">
          <cell r="G498"/>
          <cell r="H498"/>
          <cell r="I498"/>
          <cell r="J498"/>
          <cell r="K498"/>
          <cell r="L498"/>
          <cell r="M498"/>
          <cell r="N498"/>
          <cell r="O498"/>
          <cell r="P498"/>
          <cell r="Q498"/>
          <cell r="R498"/>
          <cell r="S498"/>
          <cell r="T498"/>
          <cell r="U498"/>
          <cell r="V498"/>
          <cell r="W498"/>
          <cell r="X498"/>
          <cell r="Y498"/>
          <cell r="Z498"/>
          <cell r="AA498"/>
          <cell r="AB498"/>
          <cell r="AC498"/>
          <cell r="AD498"/>
          <cell r="AE498"/>
        </row>
        <row r="499">
          <cell r="G499"/>
          <cell r="H499"/>
          <cell r="I499"/>
          <cell r="J499"/>
          <cell r="K499"/>
          <cell r="L499"/>
          <cell r="M499"/>
          <cell r="N499"/>
          <cell r="O499"/>
          <cell r="P499"/>
          <cell r="Q499"/>
          <cell r="R499"/>
          <cell r="S499"/>
          <cell r="T499"/>
          <cell r="U499"/>
          <cell r="V499"/>
          <cell r="W499"/>
          <cell r="X499"/>
          <cell r="Y499"/>
          <cell r="Z499"/>
          <cell r="AA499"/>
          <cell r="AB499"/>
          <cell r="AC499"/>
          <cell r="AD499"/>
          <cell r="AE499"/>
        </row>
        <row r="500">
          <cell r="G500"/>
          <cell r="H500"/>
          <cell r="I500"/>
          <cell r="J500"/>
          <cell r="K500"/>
          <cell r="L500"/>
          <cell r="M500"/>
          <cell r="N500"/>
          <cell r="O500"/>
          <cell r="P500"/>
          <cell r="Q500"/>
          <cell r="R500"/>
          <cell r="S500"/>
          <cell r="T500"/>
          <cell r="U500"/>
          <cell r="V500"/>
          <cell r="W500"/>
          <cell r="X500"/>
          <cell r="Y500"/>
          <cell r="Z500"/>
          <cell r="AA500"/>
          <cell r="AB500"/>
          <cell r="AC500"/>
          <cell r="AD500"/>
          <cell r="AE500"/>
        </row>
      </sheetData>
      <sheetData sheetId="2"/>
      <sheetData sheetId="3"/>
      <sheetData sheetId="4"/>
      <sheetData sheetId="5"/>
      <sheetData sheetId="6"/>
      <sheetData sheetId="7"/>
      <sheetData sheetId="8"/>
      <sheetData sheetId="9"/>
      <sheetData sheetId="10"/>
      <sheetData sheetId="11"/>
      <sheetData sheetId="12"/>
      <sheetData sheetId="13">
        <row r="26">
          <cell r="C26" t="str">
            <v>Idaho</v>
          </cell>
          <cell r="G26"/>
          <cell r="H26"/>
          <cell r="I26"/>
          <cell r="J26"/>
          <cell r="K26"/>
          <cell r="L26"/>
          <cell r="M26"/>
          <cell r="N26"/>
          <cell r="O26"/>
          <cell r="P26"/>
          <cell r="Q26"/>
          <cell r="R26"/>
          <cell r="S26"/>
          <cell r="T26"/>
          <cell r="U26"/>
          <cell r="V26"/>
          <cell r="W26"/>
          <cell r="X26"/>
          <cell r="Y26"/>
          <cell r="Z26"/>
          <cell r="AA26"/>
          <cell r="AB26"/>
          <cell r="AC26"/>
          <cell r="AD26"/>
          <cell r="AE26"/>
        </row>
        <row r="27">
          <cell r="G27"/>
          <cell r="H27"/>
          <cell r="I27"/>
          <cell r="J27"/>
          <cell r="K27"/>
          <cell r="L27"/>
          <cell r="M27"/>
          <cell r="N27"/>
          <cell r="O27"/>
          <cell r="P27"/>
          <cell r="Q27"/>
          <cell r="R27"/>
          <cell r="S27"/>
          <cell r="T27"/>
          <cell r="U27"/>
          <cell r="V27"/>
          <cell r="W27"/>
          <cell r="X27"/>
          <cell r="Y27"/>
          <cell r="Z27"/>
          <cell r="AA27"/>
          <cell r="AB27"/>
          <cell r="AC27"/>
          <cell r="AD27"/>
          <cell r="AE27"/>
        </row>
        <row r="28">
          <cell r="G28"/>
          <cell r="H28"/>
          <cell r="I28"/>
          <cell r="J28"/>
          <cell r="K28"/>
          <cell r="L28"/>
          <cell r="M28"/>
          <cell r="N28"/>
          <cell r="O28"/>
          <cell r="P28"/>
          <cell r="Q28"/>
          <cell r="R28"/>
          <cell r="S28"/>
          <cell r="T28"/>
          <cell r="U28"/>
          <cell r="V28"/>
          <cell r="W28"/>
          <cell r="X28"/>
          <cell r="Y28"/>
          <cell r="Z28"/>
          <cell r="AA28"/>
          <cell r="AB28"/>
          <cell r="AC28"/>
          <cell r="AD28"/>
          <cell r="AE28"/>
        </row>
        <row r="29">
          <cell r="G29"/>
          <cell r="H29"/>
          <cell r="I29"/>
          <cell r="J29"/>
          <cell r="K29"/>
          <cell r="L29"/>
          <cell r="M29"/>
          <cell r="N29"/>
          <cell r="O29"/>
          <cell r="P29"/>
          <cell r="Q29"/>
          <cell r="R29"/>
          <cell r="S29"/>
          <cell r="T29"/>
          <cell r="U29"/>
          <cell r="V29"/>
          <cell r="W29"/>
          <cell r="X29"/>
          <cell r="Y29"/>
          <cell r="Z29"/>
          <cell r="AA29"/>
          <cell r="AB29"/>
          <cell r="AC29"/>
          <cell r="AD29"/>
          <cell r="AE29"/>
        </row>
      </sheetData>
      <sheetData sheetId="14"/>
      <sheetData sheetId="15"/>
      <sheetData sheetId="16"/>
      <sheetData sheetId="17"/>
      <sheetData sheetId="18"/>
      <sheetData sheetId="19">
        <row r="157">
          <cell r="C157">
            <v>13431</v>
          </cell>
        </row>
      </sheetData>
      <sheetData sheetId="20"/>
      <sheetData sheetId="21"/>
      <sheetData sheetId="22"/>
      <sheetData sheetId="23"/>
      <sheetData sheetId="24"/>
      <sheetData sheetId="25" refreshError="1"/>
      <sheetData sheetId="26" refreshError="1"/>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sheetPr codeName="Sheet1"/>
  <dimension ref="C1:F27"/>
  <sheetViews>
    <sheetView topLeftCell="C1" workbookViewId="0">
      <selection activeCell="D21" sqref="D21"/>
    </sheetView>
  </sheetViews>
  <sheetFormatPr defaultRowHeight="15"/>
  <cols>
    <col min="1" max="1" width="4" style="78" customWidth="1"/>
    <col min="2" max="2" width="4.28515625" style="78" customWidth="1"/>
    <col min="3" max="3" width="28.140625" style="78" customWidth="1"/>
    <col min="4" max="4" width="74.42578125" style="78" customWidth="1"/>
    <col min="5" max="5" width="44.7109375" style="78" customWidth="1"/>
    <col min="6" max="6" width="31.5703125" style="78" customWidth="1"/>
    <col min="7" max="16384" width="9.140625" style="78"/>
  </cols>
  <sheetData>
    <row r="1" spans="3:6" ht="15.75" thickBot="1"/>
    <row r="2" spans="3:6" ht="19.5" thickBot="1">
      <c r="C2" s="79" t="s">
        <v>107</v>
      </c>
      <c r="D2" s="80" t="s">
        <v>1646</v>
      </c>
      <c r="E2" s="80"/>
      <c r="F2" s="81"/>
    </row>
    <row r="3" spans="3:6">
      <c r="C3" s="82" t="s">
        <v>108</v>
      </c>
      <c r="D3" s="82" t="s">
        <v>1741</v>
      </c>
      <c r="E3" s="82" t="s">
        <v>1742</v>
      </c>
      <c r="F3" s="82" t="s">
        <v>1743</v>
      </c>
    </row>
    <row r="4" spans="3:6">
      <c r="C4" s="83" t="s">
        <v>109</v>
      </c>
      <c r="D4" s="84" t="s">
        <v>1738</v>
      </c>
      <c r="E4" s="85"/>
      <c r="F4" s="86"/>
    </row>
    <row r="5" spans="3:6" ht="30">
      <c r="C5" s="83" t="s">
        <v>110</v>
      </c>
      <c r="D5" s="87" t="s">
        <v>1739</v>
      </c>
      <c r="E5" s="85" t="s">
        <v>1740</v>
      </c>
      <c r="F5" s="86" t="s">
        <v>1744</v>
      </c>
    </row>
    <row r="6" spans="3:6" ht="30">
      <c r="C6" s="83" t="s">
        <v>112</v>
      </c>
      <c r="D6" s="87" t="s">
        <v>1745</v>
      </c>
      <c r="E6" s="87"/>
      <c r="F6" s="86"/>
    </row>
    <row r="7" spans="3:6">
      <c r="C7" s="83" t="s">
        <v>113</v>
      </c>
      <c r="D7" s="87" t="s">
        <v>1746</v>
      </c>
      <c r="E7" s="87"/>
      <c r="F7" s="86"/>
    </row>
    <row r="8" spans="3:6">
      <c r="C8" s="83" t="s">
        <v>114</v>
      </c>
      <c r="D8" s="87" t="s">
        <v>115</v>
      </c>
      <c r="E8" s="88"/>
      <c r="F8" s="86"/>
    </row>
    <row r="9" spans="3:6" ht="30">
      <c r="C9" s="83" t="s">
        <v>116</v>
      </c>
      <c r="D9" s="87" t="s">
        <v>1747</v>
      </c>
      <c r="E9" s="88" t="s">
        <v>1748</v>
      </c>
      <c r="F9" s="86"/>
    </row>
    <row r="10" spans="3:6">
      <c r="C10" s="83" t="s">
        <v>117</v>
      </c>
      <c r="D10" s="87" t="s">
        <v>1739</v>
      </c>
      <c r="E10" s="87"/>
      <c r="F10" s="86"/>
    </row>
    <row r="11" spans="3:6">
      <c r="C11" s="83" t="s">
        <v>118</v>
      </c>
      <c r="D11" s="89" t="s">
        <v>1739</v>
      </c>
      <c r="E11" s="88"/>
      <c r="F11" s="86"/>
    </row>
    <row r="12" spans="3:6">
      <c r="C12" s="83" t="s">
        <v>119</v>
      </c>
      <c r="D12" t="s">
        <v>1288</v>
      </c>
      <c r="E12" s="90" t="s">
        <v>1749</v>
      </c>
      <c r="F12" s="86" t="s">
        <v>1750</v>
      </c>
    </row>
    <row r="13" spans="3:6">
      <c r="C13" s="83" t="s">
        <v>120</v>
      </c>
      <c r="D13" s="89" t="s">
        <v>1751</v>
      </c>
      <c r="E13" s="88" t="s">
        <v>1752</v>
      </c>
      <c r="F13" s="86" t="s">
        <v>1753</v>
      </c>
    </row>
    <row r="21" spans="3:3">
      <c r="C21" s="91"/>
    </row>
    <row r="22" spans="3:3">
      <c r="C22" s="91"/>
    </row>
    <row r="23" spans="3:3">
      <c r="C23" s="91"/>
    </row>
    <row r="24" spans="3:3">
      <c r="C24" s="91"/>
    </row>
    <row r="25" spans="3:3">
      <c r="C25" s="91"/>
    </row>
    <row r="26" spans="3:3">
      <c r="C26" s="91"/>
    </row>
    <row r="27" spans="3:3">
      <c r="C27" s="9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9"/>
  <dimension ref="A1:G54"/>
  <sheetViews>
    <sheetView topLeftCell="A15" workbookViewId="0">
      <selection activeCell="B15" sqref="B15"/>
    </sheetView>
  </sheetViews>
  <sheetFormatPr defaultRowHeight="12.75"/>
  <cols>
    <col min="1" max="1" width="31.5703125" customWidth="1"/>
    <col min="2" max="2" width="95.28515625" bestFit="1" customWidth="1"/>
    <col min="3" max="3" width="17" customWidth="1"/>
    <col min="4" max="5" width="10.28515625" bestFit="1" customWidth="1"/>
    <col min="6" max="6" width="11.7109375" bestFit="1" customWidth="1"/>
  </cols>
  <sheetData>
    <row r="1" spans="1:3">
      <c r="A1" t="s">
        <v>1716</v>
      </c>
    </row>
    <row r="2" spans="1:3">
      <c r="A2" t="s">
        <v>1284</v>
      </c>
    </row>
    <row r="3" spans="1:3">
      <c r="A3" t="s">
        <v>1277</v>
      </c>
      <c r="B3" s="721">
        <f>ROUND('W vs E'!B24,1)</f>
        <v>0.2</v>
      </c>
    </row>
    <row r="4" spans="1:3">
      <c r="A4" t="s">
        <v>1278</v>
      </c>
      <c r="B4" s="721">
        <f>1-B3</f>
        <v>0.8</v>
      </c>
    </row>
    <row r="6" spans="1:3">
      <c r="A6" t="s">
        <v>1283</v>
      </c>
    </row>
    <row r="7" spans="1:3">
      <c r="A7" t="s">
        <v>1280</v>
      </c>
      <c r="B7" s="721">
        <f>1-B8</f>
        <v>0.9</v>
      </c>
    </row>
    <row r="8" spans="1:3">
      <c r="A8" t="s">
        <v>1279</v>
      </c>
      <c r="B8" s="721">
        <f>ROUND('W vs E'!N24,1)</f>
        <v>0.1</v>
      </c>
    </row>
    <row r="10" spans="1:3">
      <c r="A10" t="s">
        <v>1282</v>
      </c>
    </row>
    <row r="11" spans="1:3">
      <c r="A11" t="s">
        <v>1280</v>
      </c>
      <c r="B11" s="721">
        <f>1-B12</f>
        <v>0.8</v>
      </c>
    </row>
    <row r="12" spans="1:3">
      <c r="A12" t="s">
        <v>1279</v>
      </c>
      <c r="B12" s="721">
        <f>ROUND('W vs E'!J23,2)</f>
        <v>0.2</v>
      </c>
    </row>
    <row r="14" spans="1:3">
      <c r="A14" t="s">
        <v>1281</v>
      </c>
    </row>
    <row r="15" spans="1:3">
      <c r="A15" t="s">
        <v>149</v>
      </c>
      <c r="B15" s="721">
        <f>ROUND('W vs E'!F24,1)</f>
        <v>0.2</v>
      </c>
      <c r="C15" t="s">
        <v>1556</v>
      </c>
    </row>
    <row r="20" spans="2:7">
      <c r="B20" s="757" t="s">
        <v>1590</v>
      </c>
      <c r="C20" s="758"/>
      <c r="D20" s="758"/>
      <c r="E20" s="758"/>
      <c r="F20" s="758"/>
      <c r="G20" s="758"/>
    </row>
    <row r="21" spans="2:7">
      <c r="B21" s="758"/>
      <c r="C21" s="835" t="s">
        <v>1286</v>
      </c>
      <c r="D21" s="835"/>
      <c r="E21" s="835"/>
      <c r="F21" s="835"/>
      <c r="G21" s="757"/>
    </row>
    <row r="22" spans="2:7">
      <c r="B22" s="757" t="s">
        <v>1591</v>
      </c>
      <c r="C22" s="752" t="s">
        <v>431</v>
      </c>
      <c r="D22" s="753" t="s">
        <v>149</v>
      </c>
      <c r="E22" s="753" t="s">
        <v>432</v>
      </c>
      <c r="F22" s="753" t="s">
        <v>433</v>
      </c>
      <c r="G22" s="753"/>
    </row>
    <row r="23" spans="2:7">
      <c r="B23" s="759" t="s">
        <v>1592</v>
      </c>
      <c r="C23" s="760"/>
      <c r="D23" s="760"/>
      <c r="E23" s="760"/>
      <c r="F23" s="760"/>
      <c r="G23" s="760"/>
    </row>
    <row r="24" spans="2:7">
      <c r="B24" s="761" t="s">
        <v>1593</v>
      </c>
      <c r="C24" s="762">
        <f>'[2]Energy Expense'!$B$33</f>
        <v>7334</v>
      </c>
      <c r="D24" s="762">
        <f>'[2]Energy Expense'!$B$34</f>
        <v>3427</v>
      </c>
      <c r="E24" s="762">
        <f>'[2]Energy Expense'!$B$35</f>
        <v>8329</v>
      </c>
      <c r="F24" s="762">
        <f>'[2]Energy Expense'!$B$36</f>
        <v>7727</v>
      </c>
      <c r="G24" s="762"/>
    </row>
    <row r="25" spans="2:7">
      <c r="B25" s="756" t="s">
        <v>1594</v>
      </c>
      <c r="C25" s="762">
        <f>'[2]Energy Expense'!$C$33</f>
        <v>24145</v>
      </c>
      <c r="D25" s="762">
        <f>'[2]Energy Expense'!$C$34</f>
        <v>8031</v>
      </c>
      <c r="E25" s="762">
        <f>'[2]Energy Expense'!$C$35</f>
        <v>20122</v>
      </c>
      <c r="F25" s="762">
        <f>'[2]Energy Expense'!$C$36</f>
        <v>17898</v>
      </c>
      <c r="G25" s="762"/>
    </row>
    <row r="26" spans="2:7">
      <c r="B26" s="761" t="s">
        <v>1595</v>
      </c>
      <c r="C26" s="762">
        <f>'[2]Energy Expense'!$D$33</f>
        <v>2987983</v>
      </c>
      <c r="D26" s="762">
        <f>'[2]Energy Expense'!$D$34</f>
        <v>1063620</v>
      </c>
      <c r="E26" s="762">
        <f>'[2]Energy Expense'!$D$35</f>
        <v>1234379</v>
      </c>
      <c r="F26" s="762">
        <f>'[2]Energy Expense'!$D$36</f>
        <v>1440109</v>
      </c>
      <c r="G26" s="762"/>
    </row>
    <row r="27" spans="2:7">
      <c r="B27" s="761" t="s">
        <v>1596</v>
      </c>
      <c r="C27" s="762">
        <f>C26/C24</f>
        <v>407.41518952822469</v>
      </c>
      <c r="D27" s="762">
        <f>D26/D24</f>
        <v>310.36475051065071</v>
      </c>
      <c r="E27" s="762">
        <f>E26/E24</f>
        <v>148.20254532356824</v>
      </c>
      <c r="F27" s="762">
        <f>F26/F24</f>
        <v>186.37362495146888</v>
      </c>
      <c r="G27" s="762"/>
    </row>
    <row r="28" spans="2:7">
      <c r="B28" s="756" t="s">
        <v>1589</v>
      </c>
      <c r="C28" s="762">
        <f>C26/C25</f>
        <v>123.75162559536136</v>
      </c>
      <c r="D28" s="762">
        <f>D26/D25</f>
        <v>132.43929772132984</v>
      </c>
      <c r="E28" s="762">
        <f>E26/E25</f>
        <v>61.344747043037472</v>
      </c>
      <c r="F28" s="762">
        <f>F26/F25</f>
        <v>80.462006928148398</v>
      </c>
      <c r="G28" s="762"/>
    </row>
    <row r="29" spans="2:7">
      <c r="B29" s="761" t="s">
        <v>1597</v>
      </c>
      <c r="C29" s="763">
        <f>('[2]Energy Expense'!$F$33/'[2]Energy Expense'!$B$33)*1000</f>
        <v>24673.984183256067</v>
      </c>
      <c r="D29" s="763">
        <f>('[2]Energy Expense'!$F$34/'[2]Energy Expense'!$B$34)*1000</f>
        <v>5584.4762182667055</v>
      </c>
      <c r="E29" s="763">
        <f>('[2]Energy Expense'!$F$35/'[2]Energy Expense'!$B$35)*1000</f>
        <v>6363.6691079361262</v>
      </c>
      <c r="F29" s="763">
        <f>('[2]Energy Expense'!$F$36/'[2]Energy Expense'!$B$36)*1000</f>
        <v>12160.476252103015</v>
      </c>
      <c r="G29" s="763"/>
    </row>
    <row r="30" spans="2:7">
      <c r="B30" s="754" t="s">
        <v>1598</v>
      </c>
      <c r="C30" s="764">
        <f>'[2]Energy Expense'!$G$33</f>
        <v>60.562258888353782</v>
      </c>
      <c r="D30" s="764">
        <f>'[2]Energy Expense'!$G$34</f>
        <v>17.993268272503339</v>
      </c>
      <c r="E30" s="764">
        <f>'[2]Energy Expense'!$G$35</f>
        <v>42.939000096404747</v>
      </c>
      <c r="F30" s="764">
        <f>'[2]Energy Expense'!$G$36</f>
        <v>65.247838878862638</v>
      </c>
      <c r="G30" s="764"/>
    </row>
    <row r="31" spans="2:7">
      <c r="B31" s="754" t="s">
        <v>1599</v>
      </c>
      <c r="C31" s="763">
        <f>(C24*C29)/C25</f>
        <v>7494.6779871609033</v>
      </c>
      <c r="D31" s="763">
        <f>(D24*D29)/D25</f>
        <v>2383.0158137218277</v>
      </c>
      <c r="E31" s="763">
        <f>(E24*E29)/E25</f>
        <v>2634.0820991949108</v>
      </c>
      <c r="F31" s="763">
        <f>(F24*F29)/F25</f>
        <v>5249.9720639177558</v>
      </c>
      <c r="G31" s="763"/>
    </row>
    <row r="32" spans="2:7">
      <c r="B32" s="754" t="s">
        <v>1588</v>
      </c>
      <c r="C32" s="755">
        <f>'[2]Energy Expense'!$I$33</f>
        <v>1.6</v>
      </c>
      <c r="D32" s="755">
        <f>'[2]Energy Expense'!$I$34</f>
        <v>1.1000000000000001</v>
      </c>
      <c r="E32" s="755">
        <f>'[2]Energy Expense'!$I$35</f>
        <v>1.5</v>
      </c>
      <c r="F32" s="755">
        <f>'[2]Energy Expense'!$I$36</f>
        <v>2</v>
      </c>
      <c r="G32" s="755"/>
    </row>
    <row r="33" spans="2:7">
      <c r="B33" s="754" t="s">
        <v>1600</v>
      </c>
      <c r="C33" s="765">
        <f>'[2]Energy Expense'!$J$33</f>
        <v>812.79580912147605</v>
      </c>
      <c r="D33" s="765">
        <f>'[2]Energy Expense'!$J$34</f>
        <v>1245.6501523967308</v>
      </c>
      <c r="E33" s="765">
        <f>'[2]Energy Expense'!$J$35</f>
        <v>2046.5529503186413</v>
      </c>
      <c r="F33" s="765">
        <f>'[2]Energy Expense'!$J$36</f>
        <v>139.68608973094149</v>
      </c>
      <c r="G33" s="765"/>
    </row>
    <row r="34" spans="2:7">
      <c r="B34" s="754" t="s">
        <v>1601</v>
      </c>
      <c r="C34" s="765">
        <f>'[2]Energy Expense'!$K$33</f>
        <v>507.99738070092252</v>
      </c>
      <c r="D34" s="765">
        <f>'[2]Energy Expense'!$K$34</f>
        <v>1132.4092294515733</v>
      </c>
      <c r="E34" s="765">
        <f>'[2]Energy Expense'!$K$35</f>
        <v>1364.3686335457608</v>
      </c>
      <c r="F34" s="765">
        <f>'[2]Energy Expense'!$K$36</f>
        <v>69.843044865470745</v>
      </c>
      <c r="G34" s="765"/>
    </row>
    <row r="35" spans="2:7">
      <c r="B35" s="754" t="s">
        <v>1602</v>
      </c>
      <c r="C35" s="765">
        <f>'[2]Energy Expense'!$H$33</f>
        <v>277.23973289112047</v>
      </c>
      <c r="D35" s="765">
        <f>'[2]Energy Expense'!$H$34</f>
        <v>151.24411131189621</v>
      </c>
      <c r="E35" s="765">
        <f>'[2]Energy Expense'!$H$35</f>
        <v>288.38150505266827</v>
      </c>
      <c r="F35" s="765">
        <f>'[2]Energy Expense'!$H$36</f>
        <v>22.963835045243886</v>
      </c>
      <c r="G35" s="765"/>
    </row>
    <row r="36" spans="2:7" ht="13.5" thickBot="1"/>
    <row r="37" spans="2:7" ht="13.5" thickBot="1">
      <c r="B37" s="766" t="s">
        <v>1437</v>
      </c>
      <c r="C37" t="s">
        <v>1616</v>
      </c>
      <c r="D37" s="794" t="s">
        <v>1647</v>
      </c>
    </row>
    <row r="38" spans="2:7" ht="13.5" thickBot="1">
      <c r="B38" s="767" t="s">
        <v>1290</v>
      </c>
      <c r="C38" s="768" t="s">
        <v>1604</v>
      </c>
      <c r="D38" s="795">
        <v>1.6</v>
      </c>
    </row>
    <row r="39" spans="2:7" ht="13.5" thickBot="1">
      <c r="B39" s="769" t="s">
        <v>1292</v>
      </c>
      <c r="C39" s="770" t="s">
        <v>1604</v>
      </c>
      <c r="D39" s="795">
        <v>1.6</v>
      </c>
    </row>
    <row r="40" spans="2:7" ht="13.5" thickBot="1">
      <c r="B40" s="769" t="s">
        <v>1294</v>
      </c>
      <c r="C40" s="770" t="s">
        <v>1605</v>
      </c>
      <c r="D40" s="795">
        <v>1.6</v>
      </c>
    </row>
    <row r="41" spans="2:7" ht="13.5" thickBot="1">
      <c r="B41" s="769" t="s">
        <v>1296</v>
      </c>
      <c r="C41" s="770" t="s">
        <v>1606</v>
      </c>
      <c r="D41" s="795">
        <v>1.6</v>
      </c>
    </row>
    <row r="42" spans="2:7" ht="13.5" thickBot="1">
      <c r="B42" s="769" t="s">
        <v>1298</v>
      </c>
      <c r="C42" s="770" t="s">
        <v>1607</v>
      </c>
      <c r="D42" s="795">
        <v>1.6</v>
      </c>
    </row>
    <row r="43" spans="2:7" ht="13.5" thickBot="1">
      <c r="B43" s="769" t="s">
        <v>1300</v>
      </c>
      <c r="C43" s="770" t="s">
        <v>1608</v>
      </c>
      <c r="D43" s="795">
        <v>1.6</v>
      </c>
    </row>
    <row r="44" spans="2:7" ht="13.5" thickBot="1">
      <c r="B44" s="769" t="s">
        <v>1302</v>
      </c>
      <c r="C44" s="770" t="s">
        <v>1609</v>
      </c>
      <c r="D44" s="795">
        <v>3.2</v>
      </c>
    </row>
    <row r="45" spans="2:7" ht="13.5" thickBot="1">
      <c r="B45" s="769" t="s">
        <v>1304</v>
      </c>
      <c r="C45" s="770" t="s">
        <v>1610</v>
      </c>
      <c r="D45" s="795">
        <v>1.6</v>
      </c>
    </row>
    <row r="46" spans="2:7" ht="13.5" thickBot="1">
      <c r="B46" s="769" t="s">
        <v>1306</v>
      </c>
      <c r="C46" s="770" t="s">
        <v>1611</v>
      </c>
      <c r="D46" s="795">
        <v>0.95</v>
      </c>
    </row>
    <row r="47" spans="2:7" ht="13.5" thickBot="1">
      <c r="B47" s="769" t="s">
        <v>1308</v>
      </c>
      <c r="C47" s="770" t="s">
        <v>1612</v>
      </c>
      <c r="D47" s="795">
        <v>0.95</v>
      </c>
    </row>
    <row r="48" spans="2:7" ht="13.5" thickBot="1">
      <c r="B48" s="769" t="s">
        <v>1310</v>
      </c>
      <c r="C48" s="770" t="s">
        <v>1613</v>
      </c>
      <c r="D48" s="795">
        <v>0.95</v>
      </c>
    </row>
    <row r="49" spans="2:4" ht="13.5" thickBot="1">
      <c r="B49" s="769" t="s">
        <v>1312</v>
      </c>
      <c r="C49" s="770" t="s">
        <v>1614</v>
      </c>
      <c r="D49" s="795">
        <v>8.3000000000000001E-3</v>
      </c>
    </row>
    <row r="50" spans="2:4" ht="13.5" thickBot="1">
      <c r="B50" s="771" t="s">
        <v>1314</v>
      </c>
      <c r="C50" s="772" t="s">
        <v>1615</v>
      </c>
      <c r="D50" s="795">
        <v>8.3000000000000004E-2</v>
      </c>
    </row>
    <row r="53" spans="2:4">
      <c r="C53" s="793"/>
    </row>
    <row r="54" spans="2:4">
      <c r="C54" s="793"/>
    </row>
  </sheetData>
  <mergeCells count="1">
    <mergeCell ref="C21:F21"/>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dimension ref="A1:N24"/>
  <sheetViews>
    <sheetView workbookViewId="0">
      <selection activeCell="H30" sqref="H30"/>
    </sheetView>
  </sheetViews>
  <sheetFormatPr defaultRowHeight="12.75"/>
  <sheetData>
    <row r="1" spans="1:14">
      <c r="A1" t="s">
        <v>1657</v>
      </c>
    </row>
    <row r="2" spans="1:14">
      <c r="A2" t="s">
        <v>1659</v>
      </c>
      <c r="B2" t="s">
        <v>1658</v>
      </c>
      <c r="E2" t="s">
        <v>1680</v>
      </c>
      <c r="F2" t="s">
        <v>1658</v>
      </c>
      <c r="I2" t="s">
        <v>1696</v>
      </c>
      <c r="J2" t="s">
        <v>1658</v>
      </c>
      <c r="M2" t="s">
        <v>1717</v>
      </c>
      <c r="N2" t="s">
        <v>1658</v>
      </c>
    </row>
    <row r="3" spans="1:14">
      <c r="A3" t="s">
        <v>1668</v>
      </c>
      <c r="B3">
        <v>19038</v>
      </c>
      <c r="E3" s="798"/>
      <c r="I3" t="s">
        <v>1706</v>
      </c>
      <c r="J3">
        <v>11271</v>
      </c>
      <c r="M3" t="s">
        <v>1718</v>
      </c>
      <c r="N3">
        <v>4164</v>
      </c>
    </row>
    <row r="4" spans="1:14">
      <c r="A4" t="s">
        <v>1662</v>
      </c>
      <c r="B4">
        <v>913</v>
      </c>
      <c r="E4" s="798"/>
      <c r="I4" t="s">
        <v>1709</v>
      </c>
      <c r="J4">
        <v>22150</v>
      </c>
      <c r="M4" t="s">
        <v>1728</v>
      </c>
      <c r="N4">
        <v>3721</v>
      </c>
    </row>
    <row r="5" spans="1:14">
      <c r="A5" t="s">
        <v>1673</v>
      </c>
      <c r="B5">
        <v>2390</v>
      </c>
      <c r="E5" s="798" t="s">
        <v>1681</v>
      </c>
      <c r="F5">
        <v>10760</v>
      </c>
      <c r="I5" t="s">
        <v>1697</v>
      </c>
      <c r="J5">
        <v>688</v>
      </c>
      <c r="M5" t="s">
        <v>1727</v>
      </c>
      <c r="N5">
        <v>7556</v>
      </c>
    </row>
    <row r="6" spans="1:14">
      <c r="A6" t="s">
        <v>1660</v>
      </c>
      <c r="B6">
        <v>1176</v>
      </c>
      <c r="E6" s="798" t="s">
        <v>1682</v>
      </c>
      <c r="F6">
        <v>18193</v>
      </c>
      <c r="I6" t="s">
        <v>1703</v>
      </c>
      <c r="J6">
        <v>1885</v>
      </c>
      <c r="M6" t="s">
        <v>1719</v>
      </c>
      <c r="N6">
        <v>8635</v>
      </c>
    </row>
    <row r="7" spans="1:14">
      <c r="A7" t="s">
        <v>1675</v>
      </c>
      <c r="B7">
        <v>225310</v>
      </c>
      <c r="E7" s="798"/>
      <c r="I7" t="s">
        <v>1701</v>
      </c>
      <c r="J7">
        <v>11231</v>
      </c>
      <c r="M7" t="s">
        <v>1723</v>
      </c>
      <c r="N7">
        <v>1586</v>
      </c>
    </row>
    <row r="8" spans="1:14">
      <c r="A8" t="s">
        <v>1665</v>
      </c>
      <c r="B8">
        <v>183</v>
      </c>
      <c r="E8" s="798"/>
      <c r="I8" t="s">
        <v>1702</v>
      </c>
      <c r="J8">
        <v>3217</v>
      </c>
      <c r="M8" t="s">
        <v>1683</v>
      </c>
      <c r="N8">
        <v>1179</v>
      </c>
    </row>
    <row r="9" spans="1:14">
      <c r="A9" t="s">
        <v>1674</v>
      </c>
      <c r="B9">
        <v>51571</v>
      </c>
      <c r="E9" s="799" t="s">
        <v>1778</v>
      </c>
      <c r="F9">
        <v>28520</v>
      </c>
      <c r="I9" t="s">
        <v>1700</v>
      </c>
      <c r="J9">
        <v>14583</v>
      </c>
      <c r="M9" t="s">
        <v>1732</v>
      </c>
      <c r="N9">
        <v>4122</v>
      </c>
    </row>
    <row r="10" spans="1:14">
      <c r="A10" t="s">
        <v>1676</v>
      </c>
      <c r="B10">
        <v>89940</v>
      </c>
      <c r="E10" s="798" t="s">
        <v>1684</v>
      </c>
      <c r="F10">
        <v>80691</v>
      </c>
      <c r="I10" t="s">
        <v>1712</v>
      </c>
      <c r="J10">
        <v>36549</v>
      </c>
      <c r="M10" t="s">
        <v>1724</v>
      </c>
      <c r="N10">
        <v>495</v>
      </c>
    </row>
    <row r="11" spans="1:14">
      <c r="A11" t="s">
        <v>1672</v>
      </c>
      <c r="B11">
        <v>34165</v>
      </c>
      <c r="E11" s="798" t="s">
        <v>1685</v>
      </c>
      <c r="F11">
        <v>47504</v>
      </c>
      <c r="I11" t="s">
        <v>1707</v>
      </c>
      <c r="J11">
        <v>9000</v>
      </c>
      <c r="M11" t="s">
        <v>1667</v>
      </c>
      <c r="N11">
        <v>8235</v>
      </c>
    </row>
    <row r="12" spans="1:14">
      <c r="A12" t="s">
        <v>431</v>
      </c>
      <c r="B12">
        <v>5011</v>
      </c>
      <c r="E12" s="798" t="s">
        <v>1686</v>
      </c>
      <c r="F12">
        <v>3512</v>
      </c>
      <c r="I12" t="s">
        <v>1699</v>
      </c>
      <c r="J12">
        <v>19311</v>
      </c>
      <c r="M12" t="s">
        <v>1725</v>
      </c>
      <c r="N12">
        <v>777</v>
      </c>
    </row>
    <row r="13" spans="1:14">
      <c r="A13" t="s">
        <v>1661</v>
      </c>
      <c r="B13">
        <v>13778</v>
      </c>
      <c r="E13" s="798"/>
      <c r="I13" t="s">
        <v>1686</v>
      </c>
      <c r="J13">
        <v>425</v>
      </c>
      <c r="M13" t="s">
        <v>1720</v>
      </c>
      <c r="N13">
        <v>2487</v>
      </c>
    </row>
    <row r="14" spans="1:14">
      <c r="A14" t="s">
        <v>1664</v>
      </c>
      <c r="B14">
        <v>451</v>
      </c>
      <c r="E14" s="798" t="s">
        <v>1687</v>
      </c>
      <c r="F14">
        <v>862</v>
      </c>
      <c r="I14" t="s">
        <v>1711</v>
      </c>
      <c r="J14">
        <v>28687</v>
      </c>
      <c r="M14" t="s">
        <v>1733</v>
      </c>
      <c r="N14">
        <v>2834</v>
      </c>
    </row>
    <row r="15" spans="1:14">
      <c r="A15" t="s">
        <v>1670</v>
      </c>
      <c r="B15">
        <v>56665</v>
      </c>
      <c r="E15" s="798" t="s">
        <v>1688</v>
      </c>
      <c r="F15">
        <v>16798</v>
      </c>
      <c r="I15" t="s">
        <v>1710</v>
      </c>
      <c r="J15">
        <v>84916</v>
      </c>
      <c r="M15" t="s">
        <v>1722</v>
      </c>
      <c r="N15">
        <v>343</v>
      </c>
    </row>
    <row r="16" spans="1:14">
      <c r="A16" t="s">
        <v>1667</v>
      </c>
      <c r="B16">
        <v>0</v>
      </c>
      <c r="E16" s="798"/>
      <c r="I16" t="s">
        <v>1708</v>
      </c>
      <c r="J16">
        <v>4637</v>
      </c>
      <c r="M16" t="s">
        <v>1730</v>
      </c>
      <c r="N16">
        <v>19239</v>
      </c>
    </row>
    <row r="17" spans="1:14">
      <c r="A17" t="s">
        <v>1666</v>
      </c>
      <c r="B17">
        <v>778</v>
      </c>
      <c r="E17" s="798" t="s">
        <v>1689</v>
      </c>
      <c r="F17">
        <v>53316</v>
      </c>
      <c r="I17" t="s">
        <v>1705</v>
      </c>
      <c r="J17">
        <v>20432</v>
      </c>
      <c r="M17" t="s">
        <v>1734</v>
      </c>
      <c r="N17">
        <v>352</v>
      </c>
    </row>
    <row r="18" spans="1:14">
      <c r="A18" t="s">
        <v>1671</v>
      </c>
      <c r="B18">
        <v>56930</v>
      </c>
      <c r="E18" s="798" t="s">
        <v>1690</v>
      </c>
      <c r="F18">
        <v>61574</v>
      </c>
      <c r="I18" t="s">
        <v>1698</v>
      </c>
      <c r="J18">
        <v>7137</v>
      </c>
      <c r="M18" t="s">
        <v>1731</v>
      </c>
      <c r="N18">
        <v>5331</v>
      </c>
    </row>
    <row r="19" spans="1:14">
      <c r="A19" t="s">
        <v>1663</v>
      </c>
      <c r="B19">
        <v>0</v>
      </c>
      <c r="E19" s="798" t="s">
        <v>1691</v>
      </c>
      <c r="F19">
        <v>17485</v>
      </c>
      <c r="I19" t="s">
        <v>433</v>
      </c>
      <c r="J19">
        <v>20323</v>
      </c>
      <c r="M19" t="s">
        <v>1726</v>
      </c>
      <c r="N19">
        <v>5309</v>
      </c>
    </row>
    <row r="20" spans="1:14">
      <c r="A20" t="s">
        <v>1669</v>
      </c>
      <c r="B20">
        <v>26217</v>
      </c>
      <c r="E20" s="798" t="s">
        <v>1692</v>
      </c>
      <c r="F20">
        <v>4590</v>
      </c>
      <c r="I20" t="s">
        <v>1704</v>
      </c>
      <c r="J20">
        <v>22064</v>
      </c>
      <c r="M20" t="s">
        <v>1721</v>
      </c>
      <c r="N20">
        <v>48</v>
      </c>
    </row>
    <row r="21" spans="1:14">
      <c r="A21" t="s">
        <v>433</v>
      </c>
      <c r="B21">
        <v>42733</v>
      </c>
      <c r="E21" s="798"/>
      <c r="I21" t="s">
        <v>1713</v>
      </c>
      <c r="J21">
        <f>SUM(J3:J20)</f>
        <v>318506</v>
      </c>
      <c r="M21" t="s">
        <v>1729</v>
      </c>
      <c r="N21">
        <v>35484</v>
      </c>
    </row>
    <row r="22" spans="1:14">
      <c r="A22" t="s">
        <v>1677</v>
      </c>
      <c r="B22">
        <f>SUM(B3:B21)</f>
        <v>627249</v>
      </c>
      <c r="E22" s="799" t="s">
        <v>1693</v>
      </c>
      <c r="F22">
        <f>SUM(F3:F21)</f>
        <v>343805</v>
      </c>
      <c r="I22" t="s">
        <v>1714</v>
      </c>
      <c r="J22">
        <v>1629735</v>
      </c>
      <c r="M22" t="s">
        <v>1735</v>
      </c>
      <c r="N22">
        <f>SUM(N3:N21)</f>
        <v>111897</v>
      </c>
    </row>
    <row r="23" spans="1:14">
      <c r="A23" t="s">
        <v>1678</v>
      </c>
      <c r="B23">
        <v>3365292</v>
      </c>
      <c r="E23" s="799" t="s">
        <v>1694</v>
      </c>
      <c r="F23">
        <v>1903019</v>
      </c>
      <c r="I23" s="800" t="s">
        <v>1715</v>
      </c>
      <c r="J23" s="801">
        <f>J21/J22</f>
        <v>0.19543422703691091</v>
      </c>
      <c r="M23" t="s">
        <v>1736</v>
      </c>
      <c r="N23">
        <v>1633571</v>
      </c>
    </row>
    <row r="24" spans="1:14">
      <c r="A24" s="800" t="s">
        <v>1679</v>
      </c>
      <c r="B24" s="801">
        <f>B22/B23</f>
        <v>0.18638768938921199</v>
      </c>
      <c r="E24" s="802" t="s">
        <v>1695</v>
      </c>
      <c r="F24" s="801">
        <f>F22/F23</f>
        <v>0.18066293610310774</v>
      </c>
      <c r="M24" s="800" t="s">
        <v>1737</v>
      </c>
      <c r="N24" s="801">
        <f>N22/N23</f>
        <v>6.849840013075649E-2</v>
      </c>
    </row>
  </sheetData>
  <sortState ref="M3:M21">
    <sortCondition ref="M3"/>
  </sortState>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sheetPr codeName="Sheet10"/>
  <dimension ref="A1:DB72"/>
  <sheetViews>
    <sheetView topLeftCell="C7" workbookViewId="0">
      <selection activeCell="F8" sqref="F8"/>
    </sheetView>
  </sheetViews>
  <sheetFormatPr defaultRowHeight="12.75"/>
  <cols>
    <col min="1" max="1" width="29.85546875" customWidth="1"/>
    <col min="2" max="2" width="105.140625" customWidth="1"/>
    <col min="3" max="3" width="81.42578125" customWidth="1"/>
    <col min="16" max="16" width="9.85546875" customWidth="1"/>
  </cols>
  <sheetData>
    <row r="1" spans="1:106" s="69" customFormat="1" ht="14.25">
      <c r="B1" s="65" t="s">
        <v>0</v>
      </c>
      <c r="C1" s="66"/>
      <c r="D1" s="66"/>
      <c r="E1" s="66"/>
      <c r="F1" s="66"/>
      <c r="G1" s="66"/>
      <c r="H1" s="66"/>
      <c r="I1" s="66"/>
      <c r="J1" s="67"/>
      <c r="K1" s="67"/>
      <c r="L1" s="67"/>
      <c r="M1" s="67"/>
      <c r="N1" s="67"/>
      <c r="O1" s="68"/>
    </row>
    <row r="2" spans="1:106" s="69" customFormat="1">
      <c r="B2" s="70" t="s">
        <v>1646</v>
      </c>
      <c r="C2" s="66"/>
      <c r="D2" s="66"/>
      <c r="E2" s="66"/>
      <c r="F2" s="66"/>
      <c r="G2" s="66"/>
      <c r="H2" s="66"/>
      <c r="I2" s="66"/>
      <c r="J2" s="67"/>
      <c r="K2" s="67"/>
      <c r="L2" s="67"/>
      <c r="M2" s="67"/>
      <c r="N2" s="67"/>
      <c r="O2" s="68"/>
      <c r="Q2" s="71"/>
    </row>
    <row r="3" spans="1:106" s="7" customFormat="1">
      <c r="B3" s="8" t="s">
        <v>2</v>
      </c>
      <c r="D3" s="8">
        <v>2012</v>
      </c>
      <c r="K3" s="9"/>
      <c r="L3" s="10"/>
      <c r="CP3" s="10"/>
      <c r="CQ3" s="10"/>
    </row>
    <row r="4" spans="1:106" s="7" customFormat="1"/>
    <row r="5" spans="1:106" s="7" customFormat="1">
      <c r="B5" s="11">
        <v>1</v>
      </c>
      <c r="C5" s="11">
        <v>2</v>
      </c>
      <c r="D5" s="11">
        <v>3</v>
      </c>
      <c r="E5" s="11">
        <v>4</v>
      </c>
      <c r="F5" s="11">
        <v>5</v>
      </c>
      <c r="G5" s="11">
        <v>6</v>
      </c>
      <c r="H5" s="11">
        <v>7</v>
      </c>
      <c r="I5" s="11">
        <v>8</v>
      </c>
      <c r="J5" s="11">
        <v>9</v>
      </c>
      <c r="K5" s="11">
        <v>10</v>
      </c>
      <c r="L5" s="11">
        <v>11</v>
      </c>
      <c r="M5" s="11">
        <v>12</v>
      </c>
      <c r="N5" s="11">
        <v>13</v>
      </c>
      <c r="O5" s="11">
        <v>14</v>
      </c>
      <c r="P5" s="11">
        <v>15</v>
      </c>
      <c r="Q5" s="11">
        <v>16</v>
      </c>
      <c r="R5" s="11">
        <v>17</v>
      </c>
      <c r="S5" s="11">
        <v>18</v>
      </c>
      <c r="T5" s="11">
        <v>19</v>
      </c>
      <c r="U5" s="11">
        <v>20</v>
      </c>
      <c r="V5" s="11">
        <v>21</v>
      </c>
      <c r="W5" s="11">
        <v>22</v>
      </c>
      <c r="X5" s="11">
        <v>23</v>
      </c>
      <c r="Y5" s="11">
        <v>24</v>
      </c>
      <c r="Z5" s="11">
        <v>25</v>
      </c>
      <c r="AA5" s="11">
        <v>26</v>
      </c>
      <c r="AB5" s="11">
        <v>27</v>
      </c>
      <c r="AC5" s="11">
        <v>28</v>
      </c>
      <c r="AD5" s="11">
        <v>29</v>
      </c>
      <c r="AE5" s="11">
        <v>30</v>
      </c>
      <c r="AF5" s="11">
        <v>31</v>
      </c>
      <c r="AG5" s="11">
        <v>32</v>
      </c>
      <c r="AH5" s="11">
        <v>33</v>
      </c>
      <c r="AI5" s="11">
        <v>34</v>
      </c>
      <c r="AJ5" s="11">
        <v>35</v>
      </c>
      <c r="AK5" s="11">
        <v>36</v>
      </c>
      <c r="AL5" s="11">
        <v>37</v>
      </c>
      <c r="AM5" s="11">
        <v>38</v>
      </c>
      <c r="AN5" s="11">
        <v>39</v>
      </c>
      <c r="AO5" s="11">
        <v>40</v>
      </c>
      <c r="AP5" s="11">
        <v>41</v>
      </c>
      <c r="AQ5" s="11">
        <v>42</v>
      </c>
      <c r="AR5" s="11">
        <v>43</v>
      </c>
      <c r="AS5" s="11">
        <v>44</v>
      </c>
      <c r="AT5" s="11">
        <v>45</v>
      </c>
      <c r="AU5" s="11">
        <v>46</v>
      </c>
      <c r="AV5" s="11">
        <v>47</v>
      </c>
      <c r="AW5" s="11">
        <v>48</v>
      </c>
      <c r="AX5" s="11">
        <v>49</v>
      </c>
      <c r="AY5" s="11">
        <v>50</v>
      </c>
      <c r="AZ5" s="11">
        <v>51</v>
      </c>
      <c r="BA5" s="11">
        <v>52</v>
      </c>
      <c r="BB5" s="11">
        <v>53</v>
      </c>
      <c r="BC5" s="11">
        <v>54</v>
      </c>
      <c r="BD5" s="11">
        <v>55</v>
      </c>
      <c r="BE5" s="11">
        <v>56</v>
      </c>
      <c r="BF5" s="11">
        <v>57</v>
      </c>
      <c r="BG5" s="11">
        <v>58</v>
      </c>
      <c r="BH5" s="11">
        <v>59</v>
      </c>
      <c r="BI5" s="11">
        <v>60</v>
      </c>
      <c r="BJ5" s="11">
        <v>61</v>
      </c>
      <c r="BK5" s="11">
        <v>62</v>
      </c>
      <c r="BL5" s="11">
        <v>63</v>
      </c>
      <c r="BM5" s="11">
        <v>64</v>
      </c>
      <c r="BN5" s="11">
        <v>65</v>
      </c>
      <c r="BO5" s="11">
        <v>66</v>
      </c>
      <c r="BP5" s="11">
        <v>67</v>
      </c>
      <c r="BQ5" s="11">
        <v>68</v>
      </c>
      <c r="BR5" s="11">
        <v>69</v>
      </c>
      <c r="BS5" s="11">
        <v>70</v>
      </c>
      <c r="BT5" s="11">
        <v>71</v>
      </c>
      <c r="BU5" s="11">
        <v>72</v>
      </c>
      <c r="BV5" s="11">
        <v>73</v>
      </c>
      <c r="BW5" s="11">
        <v>74</v>
      </c>
      <c r="BX5" s="11">
        <v>75</v>
      </c>
      <c r="BY5" s="11">
        <v>76</v>
      </c>
      <c r="BZ5" s="11">
        <v>77</v>
      </c>
      <c r="CA5" s="11">
        <v>78</v>
      </c>
      <c r="CB5" s="11">
        <v>79</v>
      </c>
      <c r="CC5" s="11">
        <v>80</v>
      </c>
      <c r="CD5" s="11">
        <v>81</v>
      </c>
      <c r="CE5" s="11">
        <v>82</v>
      </c>
      <c r="CF5" s="11">
        <v>83</v>
      </c>
      <c r="CG5" s="11">
        <v>84</v>
      </c>
      <c r="CH5" s="11">
        <v>85</v>
      </c>
      <c r="CI5" s="11">
        <v>86</v>
      </c>
      <c r="CJ5" s="11">
        <v>87</v>
      </c>
      <c r="CK5" s="11">
        <v>88</v>
      </c>
      <c r="CL5" s="11">
        <v>89</v>
      </c>
      <c r="CM5" s="11">
        <v>90</v>
      </c>
      <c r="CN5" s="11">
        <v>91</v>
      </c>
      <c r="CO5" s="11">
        <v>92</v>
      </c>
      <c r="CP5" s="11">
        <v>93</v>
      </c>
      <c r="CQ5" s="11">
        <v>94</v>
      </c>
      <c r="CR5" s="11">
        <v>95</v>
      </c>
      <c r="CS5" s="11">
        <v>96</v>
      </c>
      <c r="CT5" s="11">
        <v>97</v>
      </c>
      <c r="CU5" s="11">
        <v>98</v>
      </c>
      <c r="CV5" s="11">
        <v>99</v>
      </c>
      <c r="CW5" s="11">
        <v>100</v>
      </c>
      <c r="CX5" s="11">
        <v>101</v>
      </c>
      <c r="CY5" s="11">
        <v>102</v>
      </c>
      <c r="CZ5" s="11">
        <v>103</v>
      </c>
      <c r="DA5" s="11">
        <v>104</v>
      </c>
      <c r="DB5" s="11">
        <v>105</v>
      </c>
    </row>
    <row r="6" spans="1:106" s="7" customFormat="1">
      <c r="B6" s="12" t="s">
        <v>3</v>
      </c>
      <c r="C6" s="13"/>
      <c r="D6" s="13"/>
      <c r="E6" s="13"/>
      <c r="F6" s="13"/>
      <c r="G6" s="13"/>
      <c r="H6" s="14"/>
      <c r="I6" s="72"/>
      <c r="J6" s="830" t="s">
        <v>4</v>
      </c>
      <c r="K6" s="831"/>
      <c r="L6" s="831"/>
      <c r="M6" s="831"/>
      <c r="N6" s="831"/>
      <c r="O6" s="832"/>
      <c r="P6" s="833" t="s">
        <v>5</v>
      </c>
      <c r="Q6" s="834"/>
      <c r="R6" s="16"/>
      <c r="S6" s="17"/>
      <c r="T6" s="17"/>
      <c r="U6" s="17"/>
      <c r="V6" s="17"/>
      <c r="W6" s="17"/>
      <c r="X6" s="17"/>
      <c r="Y6" s="18"/>
      <c r="Z6" s="19"/>
      <c r="AA6" s="17"/>
      <c r="AB6" s="17"/>
      <c r="AC6" s="17"/>
      <c r="AD6" s="17"/>
      <c r="AE6" s="17"/>
      <c r="AF6" s="20"/>
      <c r="AG6" s="20"/>
      <c r="AH6" s="20"/>
      <c r="AI6" s="20"/>
      <c r="AJ6" s="20"/>
      <c r="AK6" s="20"/>
      <c r="AL6" s="20"/>
      <c r="AM6" s="20"/>
      <c r="AN6" s="20"/>
      <c r="AO6" s="20"/>
      <c r="AP6" s="20"/>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row>
    <row r="7" spans="1:106" s="7" customFormat="1" ht="38.25">
      <c r="A7" s="7" t="s">
        <v>106</v>
      </c>
      <c r="B7" s="73" t="s">
        <v>6</v>
      </c>
      <c r="C7" s="73" t="s">
        <v>7</v>
      </c>
      <c r="D7" s="73" t="s">
        <v>8</v>
      </c>
      <c r="E7" s="73" t="s">
        <v>9</v>
      </c>
      <c r="F7" s="73" t="s">
        <v>10</v>
      </c>
      <c r="G7" s="73" t="s">
        <v>11</v>
      </c>
      <c r="H7" s="74" t="s">
        <v>12</v>
      </c>
      <c r="I7" s="74" t="s">
        <v>13</v>
      </c>
      <c r="J7" s="74" t="s">
        <v>14</v>
      </c>
      <c r="K7" s="74" t="s">
        <v>15</v>
      </c>
      <c r="L7" s="74" t="s">
        <v>16</v>
      </c>
      <c r="M7" s="74" t="s">
        <v>17</v>
      </c>
      <c r="N7" s="74" t="s">
        <v>18</v>
      </c>
      <c r="O7" s="74" t="s">
        <v>19</v>
      </c>
      <c r="P7" s="75" t="s">
        <v>20</v>
      </c>
      <c r="Q7" s="74" t="s">
        <v>12</v>
      </c>
      <c r="R7" s="23"/>
      <c r="S7" s="23"/>
      <c r="T7" s="23"/>
      <c r="U7" s="23"/>
      <c r="V7" s="23"/>
      <c r="W7" s="23"/>
      <c r="X7" s="23"/>
      <c r="Y7" s="23"/>
      <c r="Z7" s="23"/>
      <c r="AA7" s="23"/>
      <c r="AB7" s="23"/>
      <c r="AC7" s="23"/>
      <c r="AD7" s="23"/>
      <c r="AE7" s="23"/>
      <c r="AF7" s="20"/>
      <c r="AG7" s="20"/>
      <c r="AH7" s="20"/>
      <c r="AI7" s="20"/>
      <c r="AJ7" s="20"/>
      <c r="AK7" s="20"/>
      <c r="AL7" s="20"/>
      <c r="AM7" s="20"/>
      <c r="AN7" s="20"/>
      <c r="AO7" s="20"/>
      <c r="AP7" s="20"/>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row>
    <row r="8" spans="1:106">
      <c r="A8" t="str">
        <f>RIGHT(B8,LEN(B8)-(FIND(" - ",B8)+2))</f>
        <v>Eastern &amp; Southern Idaho</v>
      </c>
      <c r="B8" t="str">
        <f>C8</f>
        <v>Wheel/hand line systems: Replace worn nozzle with new flow controlling type nozzle for impact sprinklers - Eastern &amp; Southern Idaho</v>
      </c>
      <c r="C8" t="s">
        <v>317</v>
      </c>
      <c r="D8" s="63">
        <f>'SavingsData&amp;Analysis'!L2</f>
        <v>40.619300602780903</v>
      </c>
      <c r="E8" s="64">
        <f>Inputs!K33</f>
        <v>4</v>
      </c>
      <c r="F8" s="354">
        <f>Inputs!N33</f>
        <v>5.6666666666666661</v>
      </c>
      <c r="H8" t="s">
        <v>382</v>
      </c>
      <c r="P8" s="76"/>
    </row>
    <row r="9" spans="1:106">
      <c r="A9" t="str">
        <f t="shared" ref="A9:A72" si="0">RIGHT(B9,LEN(B9)-(FIND(" - ",B9)+2))</f>
        <v>Eastern &amp; Southern Idaho</v>
      </c>
      <c r="B9" t="str">
        <f t="shared" ref="B9:B72" si="1">C9</f>
        <v>Wheel/hand line systems: Replace worn nozzle with new nozzle - Eastern &amp; Southern Idaho</v>
      </c>
      <c r="C9" t="s">
        <v>318</v>
      </c>
      <c r="D9" s="63">
        <f>'SavingsData&amp;Analysis'!L3</f>
        <v>40.619300602780903</v>
      </c>
      <c r="E9" s="64">
        <f>Inputs!K34</f>
        <v>4</v>
      </c>
      <c r="F9" s="354">
        <f>Inputs!N34</f>
        <v>2.1166666666666667</v>
      </c>
      <c r="H9" t="s">
        <v>382</v>
      </c>
      <c r="P9" s="76"/>
    </row>
    <row r="10" spans="1:106">
      <c r="A10" t="str">
        <f t="shared" si="0"/>
        <v>Eastern &amp; Southern Idaho</v>
      </c>
      <c r="B10" t="str">
        <f t="shared" si="1"/>
        <v>Wheel/hand line systems: Rebuild or replace leaking impact sprinkler with new or rebuilt impact sprinkler - Eastern &amp; Southern Idaho</v>
      </c>
      <c r="C10" t="s">
        <v>319</v>
      </c>
      <c r="D10" s="63">
        <f>'SavingsData&amp;Analysis'!L4</f>
        <v>27.291038294582535</v>
      </c>
      <c r="E10" s="64">
        <f>Inputs!K35</f>
        <v>5</v>
      </c>
      <c r="F10" s="354">
        <f>Inputs!N35</f>
        <v>12.333333333333332</v>
      </c>
      <c r="H10" t="s">
        <v>382</v>
      </c>
      <c r="P10" s="76"/>
    </row>
    <row r="11" spans="1:106">
      <c r="A11" t="str">
        <f t="shared" si="0"/>
        <v>Eastern &amp; Southern Idaho</v>
      </c>
      <c r="B11" t="str">
        <f t="shared" si="1"/>
        <v>Wheel/hand line systems: Replace leaking gasket with new gasket - Eastern &amp; Southern Idaho</v>
      </c>
      <c r="C11" t="s">
        <v>320</v>
      </c>
      <c r="D11">
        <f>'SavingsData&amp;Analysis'!L5</f>
        <v>163.29696697493083</v>
      </c>
      <c r="E11" s="64">
        <f>Inputs!K36</f>
        <v>5</v>
      </c>
      <c r="F11" s="354">
        <f>Inputs!N36</f>
        <v>3.9166666666666665</v>
      </c>
      <c r="H11" t="s">
        <v>382</v>
      </c>
    </row>
    <row r="12" spans="1:106">
      <c r="A12" t="str">
        <f t="shared" si="0"/>
        <v>Eastern &amp; Southern Idaho</v>
      </c>
      <c r="B12" t="str">
        <f t="shared" si="1"/>
        <v>Wheel/hand line systems: Replace leaking drain with new drain - Eastern &amp; Southern Idaho</v>
      </c>
      <c r="C12" t="s">
        <v>321</v>
      </c>
      <c r="D12">
        <f>'SavingsData&amp;Analysis'!L6</f>
        <v>169.24572866500557</v>
      </c>
      <c r="E12" s="64">
        <f>Inputs!K37</f>
        <v>5</v>
      </c>
      <c r="F12" s="354">
        <f>Inputs!N37</f>
        <v>13.666666666666666</v>
      </c>
      <c r="H12" t="s">
        <v>382</v>
      </c>
    </row>
    <row r="13" spans="1:106">
      <c r="A13" t="str">
        <f t="shared" si="0"/>
        <v>Eastern &amp; Southern Idaho</v>
      </c>
      <c r="B13" t="str">
        <f t="shared" si="1"/>
        <v>Wheel/hand line systems: Cut and pipe press repair of leaking hand-lines, wheel-lines, and portable main-lines - Eastern &amp; Southern Idaho</v>
      </c>
      <c r="C13" t="s">
        <v>322</v>
      </c>
      <c r="D13">
        <f>'SavingsData&amp;Analysis'!L7</f>
        <v>81.252272359167861</v>
      </c>
      <c r="E13" s="64">
        <f>Inputs!K38</f>
        <v>8</v>
      </c>
      <c r="F13" s="354">
        <f>Inputs!N38</f>
        <v>18</v>
      </c>
      <c r="H13" t="s">
        <v>382</v>
      </c>
    </row>
    <row r="14" spans="1:106">
      <c r="A14" t="str">
        <f t="shared" si="0"/>
        <v>Eastern &amp; Southern Idaho</v>
      </c>
      <c r="B14" t="str">
        <f t="shared" si="1"/>
        <v>Thunderbird wheel line systems: Replace leaking hub with new hub - Eastern &amp; Southern Idaho</v>
      </c>
      <c r="C14" t="s">
        <v>323</v>
      </c>
      <c r="D14">
        <f>'SavingsData&amp;Analysis'!L8</f>
        <v>70.312979743732768</v>
      </c>
      <c r="E14" s="64">
        <f>Inputs!K39</f>
        <v>10</v>
      </c>
      <c r="F14" s="354">
        <f>Inputs!N39</f>
        <v>50</v>
      </c>
      <c r="H14" t="s">
        <v>382</v>
      </c>
    </row>
    <row r="15" spans="1:106">
      <c r="A15" t="str">
        <f t="shared" si="0"/>
        <v>Eastern &amp; Southern Idaho</v>
      </c>
      <c r="B15" t="str">
        <f t="shared" si="1"/>
        <v>Wheel line systems: Rebuild or replace leaking or malfunctioning leveler with new or rebuilt leveler. - Eastern &amp; Southern Idaho</v>
      </c>
      <c r="C15" t="s">
        <v>324</v>
      </c>
      <c r="D15">
        <f>'SavingsData&amp;Analysis'!L9</f>
        <v>40.493456381841582</v>
      </c>
      <c r="E15" s="64">
        <f>Inputs!K40</f>
        <v>5</v>
      </c>
      <c r="F15" s="354">
        <f>Inputs!N40</f>
        <v>3.25</v>
      </c>
      <c r="H15" t="s">
        <v>382</v>
      </c>
    </row>
    <row r="16" spans="1:106">
      <c r="A16" t="str">
        <f t="shared" si="0"/>
        <v>Eastern &amp; Southern Idaho</v>
      </c>
      <c r="B16" t="str">
        <f t="shared" si="1"/>
        <v>Center pivot/linear move systems: Install new sprinkler package on an existing system. - Eastern &amp; Southern Idaho</v>
      </c>
      <c r="C16" t="s">
        <v>325</v>
      </c>
      <c r="D16">
        <f>'SavingsData&amp;Analysis'!L10</f>
        <v>97.919768640211146</v>
      </c>
      <c r="E16" s="64">
        <f>Inputs!K41</f>
        <v>5</v>
      </c>
      <c r="F16" s="354">
        <f>Inputs!N41</f>
        <v>25.53</v>
      </c>
      <c r="H16" t="s">
        <v>382</v>
      </c>
    </row>
    <row r="17" spans="1:8">
      <c r="A17" t="str">
        <f t="shared" si="0"/>
        <v>Eastern &amp; Southern Idaho</v>
      </c>
      <c r="B17" t="str">
        <f t="shared" si="1"/>
        <v>Center pivot/linear move systems: New gooseneck elbows - Eastern &amp; Southern Idaho</v>
      </c>
      <c r="C17" t="s">
        <v>326</v>
      </c>
      <c r="D17">
        <f>'SavingsData&amp;Analysis'!L11</f>
        <v>7.4747183467929155</v>
      </c>
      <c r="E17" s="64">
        <f>Inputs!K42</f>
        <v>15</v>
      </c>
      <c r="F17" s="354">
        <f>Inputs!N42</f>
        <v>4.166666666666667</v>
      </c>
      <c r="H17" t="s">
        <v>382</v>
      </c>
    </row>
    <row r="18" spans="1:8">
      <c r="A18" t="str">
        <f t="shared" si="0"/>
        <v>Eastern &amp; Southern Idaho</v>
      </c>
      <c r="B18" t="str">
        <f t="shared" si="1"/>
        <v>Center pivot/linear move systems: New drop tubes (3 feet minimum) - Eastern &amp; Southern Idaho</v>
      </c>
      <c r="C18" t="s">
        <v>327</v>
      </c>
      <c r="D18">
        <f>'SavingsData&amp;Analysis'!L12</f>
        <v>7.4747183467929155</v>
      </c>
      <c r="E18" s="64">
        <f>Inputs!K43</f>
        <v>10</v>
      </c>
      <c r="F18" s="354">
        <f>Inputs!N43</f>
        <v>6.5</v>
      </c>
      <c r="H18" t="s">
        <v>382</v>
      </c>
    </row>
    <row r="19" spans="1:8">
      <c r="A19" t="str">
        <f t="shared" si="0"/>
        <v>Eastern &amp; Southern Idaho</v>
      </c>
      <c r="B19" t="str">
        <f t="shared" si="1"/>
        <v>Center pivot/linear move systems: Replace leaking pivot boot gasket with new pivot boot gasket - Eastern &amp; Southern Idaho</v>
      </c>
      <c r="C19" t="s">
        <v>328</v>
      </c>
      <c r="D19">
        <f>'SavingsData&amp;Analysis'!L13</f>
        <v>1423.7558755796035</v>
      </c>
      <c r="E19" s="64">
        <f>Inputs!K44</f>
        <v>8</v>
      </c>
      <c r="F19" s="354">
        <f>Inputs!N44</f>
        <v>250</v>
      </c>
      <c r="H19" t="s">
        <v>382</v>
      </c>
    </row>
    <row r="20" spans="1:8">
      <c r="A20" t="str">
        <f t="shared" si="0"/>
        <v>Eastern &amp; Southern Idaho</v>
      </c>
      <c r="B20" t="str">
        <f t="shared" si="1"/>
        <v>Center pivot/linear move systems: Replace leaking tower gasket with new tower gasket - Eastern &amp; Southern Idaho</v>
      </c>
      <c r="C20" t="s">
        <v>329</v>
      </c>
      <c r="D20">
        <f>'SavingsData&amp;Analysis'!L14</f>
        <v>35.593896889490082</v>
      </c>
      <c r="E20" s="64">
        <f>Inputs!K45</f>
        <v>8</v>
      </c>
      <c r="F20" s="354">
        <f>Inputs!N45</f>
        <v>60</v>
      </c>
      <c r="H20" t="s">
        <v>382</v>
      </c>
    </row>
    <row r="21" spans="1:8">
      <c r="A21" t="str">
        <f t="shared" si="0"/>
        <v>Western Idaho</v>
      </c>
      <c r="B21" t="str">
        <f t="shared" si="1"/>
        <v>Wheel/hand line systems: Replace worn nozzle with new flow controlling type nozzle for impact sprinklers - Western Idaho</v>
      </c>
      <c r="C21" t="s">
        <v>330</v>
      </c>
      <c r="D21">
        <f>'SavingsData&amp;Analysis'!L15</f>
        <v>37.079019467107642</v>
      </c>
      <c r="E21">
        <f>E8</f>
        <v>4</v>
      </c>
      <c r="F21" s="354">
        <f>F8</f>
        <v>5.6666666666666661</v>
      </c>
      <c r="H21" t="s">
        <v>382</v>
      </c>
    </row>
    <row r="22" spans="1:8">
      <c r="A22" t="str">
        <f t="shared" si="0"/>
        <v>Western Idaho</v>
      </c>
      <c r="B22" t="str">
        <f t="shared" si="1"/>
        <v>Wheel/hand line systems: Replace worn nozzle with new nozzle - Western Idaho</v>
      </c>
      <c r="C22" t="s">
        <v>331</v>
      </c>
      <c r="D22">
        <f>'SavingsData&amp;Analysis'!L16</f>
        <v>37.079019467107642</v>
      </c>
      <c r="E22">
        <f t="shared" ref="E22:F37" si="2">E9</f>
        <v>4</v>
      </c>
      <c r="F22" s="354">
        <f t="shared" si="2"/>
        <v>2.1166666666666667</v>
      </c>
      <c r="H22" t="s">
        <v>382</v>
      </c>
    </row>
    <row r="23" spans="1:8">
      <c r="A23" t="str">
        <f t="shared" si="0"/>
        <v>Western Idaho</v>
      </c>
      <c r="B23" t="str">
        <f t="shared" si="1"/>
        <v>Wheel/hand line systems: Rebuild or replace leaking impact sprinkler with new or rebuilt impact sprinkler - Western Idaho</v>
      </c>
      <c r="C23" t="s">
        <v>332</v>
      </c>
      <c r="D23">
        <f>'SavingsData&amp;Analysis'!L17</f>
        <v>32.595889432000646</v>
      </c>
      <c r="E23">
        <f t="shared" si="2"/>
        <v>5</v>
      </c>
      <c r="F23" s="354">
        <f t="shared" si="2"/>
        <v>12.333333333333332</v>
      </c>
      <c r="H23" t="s">
        <v>382</v>
      </c>
    </row>
    <row r="24" spans="1:8">
      <c r="A24" t="str">
        <f t="shared" si="0"/>
        <v>Western Idaho</v>
      </c>
      <c r="B24" t="str">
        <f t="shared" si="1"/>
        <v>Wheel/hand line systems: Replace leaking gasket with new gasket - Western Idaho</v>
      </c>
      <c r="C24" t="s">
        <v>333</v>
      </c>
      <c r="D24">
        <f>'SavingsData&amp;Analysis'!L18</f>
        <v>195.03874578317237</v>
      </c>
      <c r="E24">
        <f t="shared" si="2"/>
        <v>5</v>
      </c>
      <c r="F24" s="354">
        <f t="shared" si="2"/>
        <v>3.9166666666666665</v>
      </c>
      <c r="H24" t="s">
        <v>382</v>
      </c>
    </row>
    <row r="25" spans="1:8">
      <c r="A25" t="str">
        <f t="shared" si="0"/>
        <v>Western Idaho</v>
      </c>
      <c r="B25" t="str">
        <f t="shared" si="1"/>
        <v>Wheel/hand line systems: Replace leaking drain with new drain - Western Idaho</v>
      </c>
      <c r="C25" t="s">
        <v>334</v>
      </c>
      <c r="D25">
        <f>'SavingsData&amp;Analysis'!L19</f>
        <v>202.14383193687468</v>
      </c>
      <c r="E25">
        <f t="shared" si="2"/>
        <v>5</v>
      </c>
      <c r="F25" s="354">
        <f t="shared" si="2"/>
        <v>13.666666666666666</v>
      </c>
      <c r="H25" t="s">
        <v>382</v>
      </c>
    </row>
    <row r="26" spans="1:8">
      <c r="A26" t="str">
        <f t="shared" si="0"/>
        <v>Western Idaho</v>
      </c>
      <c r="B26" t="str">
        <f t="shared" si="1"/>
        <v>Wheel/hand line systems: Cut and pipe press repair of leaking hand-lines, wheel-lines, and portable main-lines - Western Idaho</v>
      </c>
      <c r="C26" t="s">
        <v>335</v>
      </c>
      <c r="D26">
        <f>'SavingsData&amp;Analysis'!L20</f>
        <v>97.046145966677315</v>
      </c>
      <c r="E26">
        <f t="shared" si="2"/>
        <v>8</v>
      </c>
      <c r="F26" s="354">
        <f t="shared" si="2"/>
        <v>18</v>
      </c>
      <c r="H26" t="s">
        <v>382</v>
      </c>
    </row>
    <row r="27" spans="1:8">
      <c r="A27" t="str">
        <f t="shared" si="0"/>
        <v>Western Idaho</v>
      </c>
      <c r="B27" t="str">
        <f t="shared" si="1"/>
        <v>Thunderbird wheel line systems: Replace leaking hub with new hub - Western Idaho</v>
      </c>
      <c r="C27" t="s">
        <v>336</v>
      </c>
      <c r="D27">
        <f>'SavingsData&amp;Analysis'!L21</f>
        <v>83.980465991144641</v>
      </c>
      <c r="E27">
        <f t="shared" si="2"/>
        <v>10</v>
      </c>
      <c r="F27" s="354">
        <f t="shared" si="2"/>
        <v>50</v>
      </c>
      <c r="H27" t="s">
        <v>382</v>
      </c>
    </row>
    <row r="28" spans="1:8">
      <c r="A28" t="str">
        <f t="shared" si="0"/>
        <v>Western Idaho</v>
      </c>
      <c r="B28" t="str">
        <f t="shared" si="1"/>
        <v>Wheel line systems: Rebuild or replace leaking or malfunctioning leveler with new or rebuilt leveler. - Western Idaho</v>
      </c>
      <c r="C28" t="s">
        <v>337</v>
      </c>
      <c r="D28">
        <f>'SavingsData&amp;Analysis'!L22</f>
        <v>48.364602793586712</v>
      </c>
      <c r="E28">
        <f t="shared" si="2"/>
        <v>5</v>
      </c>
      <c r="F28" s="354">
        <f t="shared" si="2"/>
        <v>3.25</v>
      </c>
      <c r="H28" t="s">
        <v>382</v>
      </c>
    </row>
    <row r="29" spans="1:8">
      <c r="A29" t="str">
        <f t="shared" si="0"/>
        <v>Western Idaho</v>
      </c>
      <c r="B29" t="str">
        <f t="shared" si="1"/>
        <v>Center pivot/linear move systems: Install new sprinkler package on an existing system. - Western Idaho</v>
      </c>
      <c r="C29" t="s">
        <v>338</v>
      </c>
      <c r="D29">
        <f>'SavingsData&amp;Analysis'!L23</f>
        <v>105.37655967253369</v>
      </c>
      <c r="E29">
        <f t="shared" si="2"/>
        <v>5</v>
      </c>
      <c r="F29" s="354">
        <f t="shared" si="2"/>
        <v>25.53</v>
      </c>
      <c r="H29" t="s">
        <v>382</v>
      </c>
    </row>
    <row r="30" spans="1:8">
      <c r="A30" t="str">
        <f t="shared" si="0"/>
        <v>Western Idaho</v>
      </c>
      <c r="B30" t="str">
        <f t="shared" si="1"/>
        <v>Center pivot/linear move systems: New gooseneck elbows - Western Idaho</v>
      </c>
      <c r="C30" t="s">
        <v>339</v>
      </c>
      <c r="D30">
        <f>'SavingsData&amp;Analysis'!L24</f>
        <v>8.043933465573474</v>
      </c>
      <c r="E30">
        <f t="shared" si="2"/>
        <v>15</v>
      </c>
      <c r="F30" s="354">
        <f t="shared" si="2"/>
        <v>4.166666666666667</v>
      </c>
      <c r="H30" t="s">
        <v>382</v>
      </c>
    </row>
    <row r="31" spans="1:8">
      <c r="A31" t="str">
        <f t="shared" si="0"/>
        <v>Western Idaho</v>
      </c>
      <c r="B31" t="str">
        <f t="shared" si="1"/>
        <v>Center pivot/linear move systems: New drop tubes (3 feet minimum) - Western Idaho</v>
      </c>
      <c r="C31" t="s">
        <v>340</v>
      </c>
      <c r="D31">
        <f>'SavingsData&amp;Analysis'!L25</f>
        <v>8.043933465573474</v>
      </c>
      <c r="E31">
        <f t="shared" si="2"/>
        <v>10</v>
      </c>
      <c r="F31" s="354">
        <f t="shared" si="2"/>
        <v>6.5</v>
      </c>
      <c r="H31" t="s">
        <v>382</v>
      </c>
    </row>
    <row r="32" spans="1:8">
      <c r="A32" t="str">
        <f t="shared" si="0"/>
        <v>Western Idaho</v>
      </c>
      <c r="B32" t="str">
        <f t="shared" si="1"/>
        <v>Center pivot/linear move systems: Replace leaking pivot boot gasket with new pivot boot gasket - Western Idaho</v>
      </c>
      <c r="C32" t="s">
        <v>341</v>
      </c>
      <c r="D32">
        <f>'SavingsData&amp;Analysis'!L26</f>
        <v>1532.177802966376</v>
      </c>
      <c r="E32">
        <f t="shared" si="2"/>
        <v>8</v>
      </c>
      <c r="F32" s="354">
        <f t="shared" si="2"/>
        <v>250</v>
      </c>
      <c r="H32" t="s">
        <v>382</v>
      </c>
    </row>
    <row r="33" spans="1:8">
      <c r="A33" t="str">
        <f t="shared" si="0"/>
        <v>Western Idaho</v>
      </c>
      <c r="B33" t="str">
        <f t="shared" si="1"/>
        <v>Center pivot/linear move systems: Replace leaking tower gasket with new tower gasket - Western Idaho</v>
      </c>
      <c r="C33" t="s">
        <v>342</v>
      </c>
      <c r="D33">
        <f>'SavingsData&amp;Analysis'!L27</f>
        <v>38.304445074159389</v>
      </c>
      <c r="E33">
        <f t="shared" si="2"/>
        <v>8</v>
      </c>
      <c r="F33" s="354">
        <f t="shared" si="2"/>
        <v>60</v>
      </c>
      <c r="H33" t="s">
        <v>382</v>
      </c>
    </row>
    <row r="34" spans="1:8">
      <c r="A34" t="str">
        <f t="shared" si="0"/>
        <v>Western Washington and Oregon</v>
      </c>
      <c r="B34" t="str">
        <f t="shared" si="1"/>
        <v>Wheel/hand line systems: Replace worn nozzle with new flow controlling type nozzle for impact sprinklers - Western Washington and Oregon</v>
      </c>
      <c r="C34" t="s">
        <v>343</v>
      </c>
      <c r="D34">
        <f>'SavingsData&amp;Analysis'!L28</f>
        <v>21.304143217415458</v>
      </c>
      <c r="E34">
        <f t="shared" si="2"/>
        <v>4</v>
      </c>
      <c r="F34" s="354">
        <f t="shared" si="2"/>
        <v>5.6666666666666661</v>
      </c>
      <c r="H34" t="s">
        <v>382</v>
      </c>
    </row>
    <row r="35" spans="1:8">
      <c r="A35" t="str">
        <f t="shared" si="0"/>
        <v>Western Washington and Oregon</v>
      </c>
      <c r="B35" t="str">
        <f t="shared" si="1"/>
        <v>Wheel/hand line systems: Replace worn nozzle with new nozzle - Western Washington and Oregon</v>
      </c>
      <c r="C35" t="s">
        <v>344</v>
      </c>
      <c r="D35">
        <f>'SavingsData&amp;Analysis'!L29</f>
        <v>21.304143217415458</v>
      </c>
      <c r="E35">
        <f t="shared" si="2"/>
        <v>4</v>
      </c>
      <c r="F35" s="354">
        <f t="shared" si="2"/>
        <v>2.1166666666666667</v>
      </c>
      <c r="H35" t="s">
        <v>382</v>
      </c>
    </row>
    <row r="36" spans="1:8">
      <c r="A36" t="str">
        <f t="shared" si="0"/>
        <v>Western Washington and Oregon</v>
      </c>
      <c r="B36" t="str">
        <f t="shared" si="1"/>
        <v>Wheel/hand line systems: Rebuild or replace leaking impact sprinkler with new or rebuilt impact sprinkler - Western Washington and Oregon</v>
      </c>
      <c r="C36" t="s">
        <v>345</v>
      </c>
      <c r="D36">
        <f>'SavingsData&amp;Analysis'!L30</f>
        <v>18.728313389581377</v>
      </c>
      <c r="E36">
        <f t="shared" si="2"/>
        <v>5</v>
      </c>
      <c r="F36" s="354">
        <f t="shared" si="2"/>
        <v>12.333333333333332</v>
      </c>
      <c r="H36" t="s">
        <v>382</v>
      </c>
    </row>
    <row r="37" spans="1:8">
      <c r="A37" t="str">
        <f t="shared" si="0"/>
        <v>Western Washington and Oregon</v>
      </c>
      <c r="B37" t="str">
        <f t="shared" si="1"/>
        <v>Wheel/hand line systems: Replace leaking gasket with new gasket - Western Washington and Oregon</v>
      </c>
      <c r="C37" t="s">
        <v>346</v>
      </c>
      <c r="D37">
        <f>'SavingsData&amp;Analysis'!L31</f>
        <v>112.06157640699638</v>
      </c>
      <c r="E37">
        <f t="shared" si="2"/>
        <v>5</v>
      </c>
      <c r="F37" s="354">
        <f t="shared" si="2"/>
        <v>3.9166666666666665</v>
      </c>
      <c r="H37" t="s">
        <v>382</v>
      </c>
    </row>
    <row r="38" spans="1:8">
      <c r="A38" t="str">
        <f t="shared" si="0"/>
        <v>Western Washington and Oregon</v>
      </c>
      <c r="B38" t="str">
        <f t="shared" si="1"/>
        <v>Wheel/hand line systems: Replace leaking drain with new drain - Western Washington and Oregon</v>
      </c>
      <c r="C38" t="s">
        <v>347</v>
      </c>
      <c r="D38">
        <f>'SavingsData&amp;Analysis'!L32</f>
        <v>116.14387888332874</v>
      </c>
      <c r="E38">
        <f t="shared" ref="E38:F53" si="3">E25</f>
        <v>5</v>
      </c>
      <c r="F38" s="354">
        <f t="shared" si="3"/>
        <v>13.666666666666666</v>
      </c>
      <c r="H38" t="s">
        <v>382</v>
      </c>
    </row>
    <row r="39" spans="1:8">
      <c r="A39" t="str">
        <f t="shared" si="0"/>
        <v>Western Washington and Oregon</v>
      </c>
      <c r="B39" t="str">
        <f t="shared" si="1"/>
        <v>Wheel/hand line systems: Cut and pipe press repair of leaking hand-lines, wheel-lines, and portable main-lines - Western Washington and Oregon</v>
      </c>
      <c r="C39" t="s">
        <v>348</v>
      </c>
      <c r="D39">
        <f>'SavingsData&amp;Analysis'!L33</f>
        <v>55.758890663393629</v>
      </c>
      <c r="E39">
        <f t="shared" si="3"/>
        <v>8</v>
      </c>
      <c r="F39" s="354">
        <f t="shared" si="3"/>
        <v>18</v>
      </c>
      <c r="H39" t="s">
        <v>382</v>
      </c>
    </row>
    <row r="40" spans="1:8">
      <c r="A40" t="str">
        <f t="shared" si="0"/>
        <v>Western Washington and Oregon</v>
      </c>
      <c r="B40" t="str">
        <f t="shared" si="1"/>
        <v>Thunderbird wheel line systems: Replace leaking hub with new hub - Western Washington and Oregon</v>
      </c>
      <c r="C40" t="s">
        <v>349</v>
      </c>
      <c r="D40">
        <f>'SavingsData&amp;Analysis'!L34</f>
        <v>48.251865897579933</v>
      </c>
      <c r="E40">
        <f t="shared" si="3"/>
        <v>10</v>
      </c>
      <c r="F40" s="354">
        <f t="shared" si="3"/>
        <v>50</v>
      </c>
      <c r="H40" t="s">
        <v>382</v>
      </c>
    </row>
    <row r="41" spans="1:8">
      <c r="A41" t="str">
        <f t="shared" si="0"/>
        <v>Western Washington and Oregon</v>
      </c>
      <c r="B41" t="str">
        <f t="shared" si="1"/>
        <v>Wheel line systems: Rebuild or replace leaking or malfunctioning leveler with new or rebuilt leveler. - Western Washington and Oregon</v>
      </c>
      <c r="C41" t="s">
        <v>350</v>
      </c>
      <c r="D41">
        <f>'SavingsData&amp;Analysis'!L35</f>
        <v>27.788394606335494</v>
      </c>
      <c r="E41">
        <f t="shared" si="3"/>
        <v>5</v>
      </c>
      <c r="F41" s="354">
        <f t="shared" si="3"/>
        <v>3.25</v>
      </c>
      <c r="H41" t="s">
        <v>382</v>
      </c>
    </row>
    <row r="42" spans="1:8">
      <c r="A42" t="str">
        <f t="shared" si="0"/>
        <v>Western Washington and Oregon</v>
      </c>
      <c r="B42" t="str">
        <f t="shared" si="1"/>
        <v>Center pivot/linear move systems: Install new sprinkler package on an existing system. - Western Washington and Oregon</v>
      </c>
      <c r="C42" t="s">
        <v>351</v>
      </c>
      <c r="D42">
        <f>'SavingsData&amp;Analysis'!L36</f>
        <v>62.029057090158709</v>
      </c>
      <c r="E42">
        <f t="shared" si="3"/>
        <v>5</v>
      </c>
      <c r="F42" s="354">
        <f t="shared" si="3"/>
        <v>25.53</v>
      </c>
      <c r="H42" t="s">
        <v>382</v>
      </c>
    </row>
    <row r="43" spans="1:8">
      <c r="A43" t="str">
        <f t="shared" si="0"/>
        <v>Western Washington and Oregon</v>
      </c>
      <c r="B43" t="str">
        <f t="shared" si="1"/>
        <v>Center pivot/linear move systems: New gooseneck elbows - Western Washington and Oregon</v>
      </c>
      <c r="C43" t="s">
        <v>352</v>
      </c>
      <c r="D43">
        <f>'SavingsData&amp;Analysis'!L37</f>
        <v>4.7349961862111138</v>
      </c>
      <c r="E43">
        <f t="shared" si="3"/>
        <v>15</v>
      </c>
      <c r="F43" s="354">
        <f t="shared" si="3"/>
        <v>4.166666666666667</v>
      </c>
      <c r="H43" t="s">
        <v>382</v>
      </c>
    </row>
    <row r="44" spans="1:8">
      <c r="A44" t="str">
        <f t="shared" si="0"/>
        <v>Western Washington and Oregon</v>
      </c>
      <c r="B44" t="str">
        <f t="shared" si="1"/>
        <v>Center pivot/linear move systems: New drop tubes (3 feet minimum) - Western Washington and Oregon</v>
      </c>
      <c r="C44" t="s">
        <v>353</v>
      </c>
      <c r="D44">
        <f>'SavingsData&amp;Analysis'!L38</f>
        <v>4.7349961862111138</v>
      </c>
      <c r="E44">
        <f t="shared" si="3"/>
        <v>10</v>
      </c>
      <c r="F44" s="354">
        <f t="shared" si="3"/>
        <v>6.5</v>
      </c>
      <c r="H44" t="s">
        <v>382</v>
      </c>
    </row>
    <row r="45" spans="1:8">
      <c r="A45" t="str">
        <f t="shared" si="0"/>
        <v>Western Washington and Oregon</v>
      </c>
      <c r="B45" t="str">
        <f t="shared" si="1"/>
        <v>Center pivot/linear move systems: Replace leaking pivot boot gasket with new pivot boot gasket - Western Washington and Oregon</v>
      </c>
      <c r="C45" t="s">
        <v>354</v>
      </c>
      <c r="D45">
        <f>'SavingsData&amp;Analysis'!L39</f>
        <v>901.90403546878383</v>
      </c>
      <c r="E45">
        <f t="shared" si="3"/>
        <v>8</v>
      </c>
      <c r="F45" s="354">
        <f t="shared" si="3"/>
        <v>250</v>
      </c>
      <c r="H45" t="s">
        <v>382</v>
      </c>
    </row>
    <row r="46" spans="1:8">
      <c r="A46" t="str">
        <f t="shared" si="0"/>
        <v>Western Washington and Oregon</v>
      </c>
      <c r="B46" t="str">
        <f t="shared" si="1"/>
        <v>Center pivot/linear move systems: Replace leaking tower gasket with new tower gasket - Western Washington and Oregon</v>
      </c>
      <c r="C46" t="s">
        <v>355</v>
      </c>
      <c r="D46">
        <f>'SavingsData&amp;Analysis'!L40</f>
        <v>22.547600886719593</v>
      </c>
      <c r="E46">
        <f t="shared" si="3"/>
        <v>8</v>
      </c>
      <c r="F46" s="354">
        <f t="shared" si="3"/>
        <v>60</v>
      </c>
      <c r="H46" t="s">
        <v>382</v>
      </c>
    </row>
    <row r="47" spans="1:8">
      <c r="A47" t="str">
        <f t="shared" si="0"/>
        <v>Eastern Washington and Oregon</v>
      </c>
      <c r="B47" t="str">
        <f t="shared" si="1"/>
        <v>Wheel/hand line systems: Replace worn nozzle with new flow controlling type nozzle for impact sprinklers - Eastern Washington and Oregon</v>
      </c>
      <c r="C47" t="s">
        <v>356</v>
      </c>
      <c r="D47">
        <f>'SavingsData&amp;Analysis'!L41</f>
        <v>46.86911507831401</v>
      </c>
      <c r="E47">
        <f t="shared" si="3"/>
        <v>4</v>
      </c>
      <c r="F47" s="354">
        <f t="shared" si="3"/>
        <v>5.6666666666666661</v>
      </c>
      <c r="H47" t="s">
        <v>382</v>
      </c>
    </row>
    <row r="48" spans="1:8">
      <c r="A48" t="str">
        <f t="shared" si="0"/>
        <v>Eastern Washington and Oregon</v>
      </c>
      <c r="B48" t="str">
        <f t="shared" si="1"/>
        <v>Wheel/hand line systems: Replace worn nozzle with new nozzle - Eastern Washington and Oregon</v>
      </c>
      <c r="C48" t="s">
        <v>357</v>
      </c>
      <c r="D48">
        <f>'SavingsData&amp;Analysis'!L42</f>
        <v>46.86911507831401</v>
      </c>
      <c r="E48">
        <f t="shared" si="3"/>
        <v>4</v>
      </c>
      <c r="F48" s="354">
        <f t="shared" si="3"/>
        <v>2.1166666666666667</v>
      </c>
      <c r="H48" t="s">
        <v>382</v>
      </c>
    </row>
    <row r="49" spans="1:8">
      <c r="A49" t="str">
        <f t="shared" si="0"/>
        <v>Eastern Washington and Oregon</v>
      </c>
      <c r="B49" t="str">
        <f t="shared" si="1"/>
        <v>Wheel/hand line systems: Rebuild or replace leaking impact sprinkler with new or rebuilt impact sprinkler - Eastern Washington and Oregon</v>
      </c>
      <c r="C49" t="s">
        <v>358</v>
      </c>
      <c r="D49">
        <f>'SavingsData&amp;Analysis'!L43</f>
        <v>41.202289457079026</v>
      </c>
      <c r="E49">
        <f t="shared" si="3"/>
        <v>5</v>
      </c>
      <c r="F49" s="354">
        <f t="shared" si="3"/>
        <v>12.333333333333332</v>
      </c>
      <c r="H49" t="s">
        <v>382</v>
      </c>
    </row>
    <row r="50" spans="1:8">
      <c r="A50" t="str">
        <f t="shared" si="0"/>
        <v>Eastern Washington and Oregon</v>
      </c>
      <c r="B50" t="str">
        <f t="shared" si="1"/>
        <v>Wheel/hand line systems: Replace leaking gasket with new gasket - Eastern Washington and Oregon</v>
      </c>
      <c r="C50" t="s">
        <v>359</v>
      </c>
      <c r="D50">
        <f>'SavingsData&amp;Analysis'!L44</f>
        <v>246.53546809539205</v>
      </c>
      <c r="E50">
        <f t="shared" si="3"/>
        <v>5</v>
      </c>
      <c r="F50" s="354">
        <f t="shared" si="3"/>
        <v>3.9166666666666665</v>
      </c>
      <c r="H50" t="s">
        <v>382</v>
      </c>
    </row>
    <row r="51" spans="1:8">
      <c r="A51" t="str">
        <f t="shared" si="0"/>
        <v>Eastern Washington and Oregon</v>
      </c>
      <c r="B51" t="str">
        <f t="shared" si="1"/>
        <v>Wheel/hand line systems: Replace leaking drain with new drain - Eastern Washington and Oregon</v>
      </c>
      <c r="C51" t="s">
        <v>360</v>
      </c>
      <c r="D51">
        <f>'SavingsData&amp;Analysis'!L45</f>
        <v>255.51653354332325</v>
      </c>
      <c r="E51">
        <f t="shared" si="3"/>
        <v>5</v>
      </c>
      <c r="F51" s="354">
        <f t="shared" si="3"/>
        <v>13.666666666666666</v>
      </c>
      <c r="H51" t="s">
        <v>382</v>
      </c>
    </row>
    <row r="52" spans="1:8">
      <c r="A52" t="str">
        <f t="shared" si="0"/>
        <v>Eastern Washington and Oregon</v>
      </c>
      <c r="B52" t="str">
        <f t="shared" si="1"/>
        <v>Wheel/hand line systems: Cut and pipe press repair of leaking hand-lines, wheel-lines, and portable main-lines - Eastern Washington and Oregon</v>
      </c>
      <c r="C52" t="s">
        <v>361</v>
      </c>
      <c r="D52">
        <f>'SavingsData&amp;Analysis'!L46</f>
        <v>122.66955945946599</v>
      </c>
      <c r="E52">
        <f t="shared" si="3"/>
        <v>8</v>
      </c>
      <c r="F52" s="354">
        <f t="shared" si="3"/>
        <v>18</v>
      </c>
      <c r="H52" t="s">
        <v>382</v>
      </c>
    </row>
    <row r="53" spans="1:8">
      <c r="A53" t="str">
        <f t="shared" si="0"/>
        <v>Eastern Washington and Oregon</v>
      </c>
      <c r="B53" t="str">
        <f t="shared" si="1"/>
        <v>Thunderbird wheel line systems: Replace leaking hub with new hub - Eastern Washington and Oregon</v>
      </c>
      <c r="C53" t="s">
        <v>362</v>
      </c>
      <c r="D53">
        <f>'SavingsData&amp;Analysis'!L47</f>
        <v>106.15410497467585</v>
      </c>
      <c r="E53">
        <f t="shared" si="3"/>
        <v>10</v>
      </c>
      <c r="F53" s="354">
        <f t="shared" si="3"/>
        <v>50</v>
      </c>
      <c r="H53" t="s">
        <v>382</v>
      </c>
    </row>
    <row r="54" spans="1:8">
      <c r="A54" t="str">
        <f t="shared" si="0"/>
        <v>Eastern Washington and Oregon</v>
      </c>
      <c r="B54" t="str">
        <f t="shared" si="1"/>
        <v>Wheel line systems: Rebuild or replace leaking or malfunctioning leveler with new or rebuilt leveler. - Eastern Washington and Oregon</v>
      </c>
      <c r="C54" t="s">
        <v>363</v>
      </c>
      <c r="D54">
        <f>'SavingsData&amp;Analysis'!L48</f>
        <v>61.134468133938086</v>
      </c>
      <c r="E54">
        <f t="shared" ref="E54:F69" si="4">E41</f>
        <v>5</v>
      </c>
      <c r="F54" s="354">
        <f t="shared" si="4"/>
        <v>3.25</v>
      </c>
      <c r="H54" t="s">
        <v>382</v>
      </c>
    </row>
    <row r="55" spans="1:8">
      <c r="A55" t="str">
        <f t="shared" si="0"/>
        <v>Eastern Washington and Oregon</v>
      </c>
      <c r="B55" t="str">
        <f t="shared" si="1"/>
        <v>Center pivot/linear move systems: Install new sprinkler package on an existing system. - Eastern Washington and Oregon</v>
      </c>
      <c r="C55" t="s">
        <v>364</v>
      </c>
      <c r="D55">
        <f>'SavingsData&amp;Analysis'!L49</f>
        <v>136.46392559834916</v>
      </c>
      <c r="E55">
        <f t="shared" si="4"/>
        <v>5</v>
      </c>
      <c r="F55" s="354">
        <f t="shared" si="4"/>
        <v>25.53</v>
      </c>
      <c r="H55" t="s">
        <v>382</v>
      </c>
    </row>
    <row r="56" spans="1:8">
      <c r="A56" t="str">
        <f t="shared" si="0"/>
        <v>Eastern Washington and Oregon</v>
      </c>
      <c r="B56" t="str">
        <f t="shared" si="1"/>
        <v>Center pivot/linear move systems: New gooseneck elbows - Eastern Washington and Oregon</v>
      </c>
      <c r="C56" t="s">
        <v>365</v>
      </c>
      <c r="D56">
        <f>'SavingsData&amp;Analysis'!L50</f>
        <v>10.41699160966445</v>
      </c>
      <c r="E56">
        <f t="shared" si="4"/>
        <v>15</v>
      </c>
      <c r="F56" s="354">
        <f t="shared" si="4"/>
        <v>4.166666666666667</v>
      </c>
      <c r="H56" t="s">
        <v>382</v>
      </c>
    </row>
    <row r="57" spans="1:8">
      <c r="A57" t="str">
        <f t="shared" si="0"/>
        <v>Eastern Washington and Oregon</v>
      </c>
      <c r="B57" t="str">
        <f t="shared" si="1"/>
        <v>Center pivot/linear move systems: New drop tubes (3 feet minimum) - Eastern Washington and Oregon</v>
      </c>
      <c r="C57" t="s">
        <v>366</v>
      </c>
      <c r="D57">
        <f>'SavingsData&amp;Analysis'!L51</f>
        <v>10.41699160966445</v>
      </c>
      <c r="E57">
        <f t="shared" si="4"/>
        <v>10</v>
      </c>
      <c r="F57" s="354">
        <f t="shared" si="4"/>
        <v>6.5</v>
      </c>
      <c r="H57" t="s">
        <v>382</v>
      </c>
    </row>
    <row r="58" spans="1:8">
      <c r="A58" t="str">
        <f t="shared" si="0"/>
        <v>Eastern Washington and Oregon</v>
      </c>
      <c r="B58" t="str">
        <f t="shared" si="1"/>
        <v>Center pivot/linear move systems: Replace leaking pivot boot gasket with new pivot boot gasket - Eastern Washington and Oregon</v>
      </c>
      <c r="C58" t="s">
        <v>367</v>
      </c>
      <c r="D58">
        <f>'SavingsData&amp;Analysis'!L52</f>
        <v>1984.1888780313241</v>
      </c>
      <c r="E58">
        <f t="shared" si="4"/>
        <v>8</v>
      </c>
      <c r="F58" s="354">
        <f t="shared" si="4"/>
        <v>250</v>
      </c>
      <c r="H58" t="s">
        <v>382</v>
      </c>
    </row>
    <row r="59" spans="1:8">
      <c r="A59" t="str">
        <f t="shared" si="0"/>
        <v>Eastern Washington and Oregon</v>
      </c>
      <c r="B59" t="str">
        <f t="shared" si="1"/>
        <v>Center pivot/linear move systems: Replace leaking tower gasket with new tower gasket - Eastern Washington and Oregon</v>
      </c>
      <c r="C59" t="s">
        <v>368</v>
      </c>
      <c r="D59">
        <f>'SavingsData&amp;Analysis'!L53</f>
        <v>49.604721950783102</v>
      </c>
      <c r="E59">
        <f t="shared" si="4"/>
        <v>8</v>
      </c>
      <c r="F59" s="354">
        <f t="shared" si="4"/>
        <v>60</v>
      </c>
      <c r="H59" t="s">
        <v>382</v>
      </c>
    </row>
    <row r="60" spans="1:8">
      <c r="A60" t="str">
        <f t="shared" si="0"/>
        <v>Montana</v>
      </c>
      <c r="B60" t="str">
        <f t="shared" si="1"/>
        <v>Wheel/hand line systems: Replace worn nozzle with new flow controlling type nozzle for impact sprinklers - Montana</v>
      </c>
      <c r="C60" t="s">
        <v>369</v>
      </c>
      <c r="D60">
        <f>'SavingsData&amp;Analysis'!L54</f>
        <v>6.025806001900551</v>
      </c>
      <c r="E60">
        <f t="shared" si="4"/>
        <v>4</v>
      </c>
      <c r="F60" s="354">
        <f t="shared" si="4"/>
        <v>5.6666666666666661</v>
      </c>
      <c r="H60" t="s">
        <v>382</v>
      </c>
    </row>
    <row r="61" spans="1:8">
      <c r="A61" t="str">
        <f t="shared" si="0"/>
        <v>Montana</v>
      </c>
      <c r="B61" t="str">
        <f t="shared" si="1"/>
        <v>Wheel/hand line systems: Replace worn nozzle with new nozzle - Montana</v>
      </c>
      <c r="C61" t="s">
        <v>370</v>
      </c>
      <c r="D61">
        <f>'SavingsData&amp;Analysis'!L55</f>
        <v>6.025806001900551</v>
      </c>
      <c r="E61">
        <f t="shared" si="4"/>
        <v>4</v>
      </c>
      <c r="F61" s="354">
        <f t="shared" si="4"/>
        <v>2.1166666666666667</v>
      </c>
      <c r="H61" t="s">
        <v>382</v>
      </c>
    </row>
    <row r="62" spans="1:8">
      <c r="A62" t="str">
        <f t="shared" si="0"/>
        <v>Montana</v>
      </c>
      <c r="B62" t="str">
        <f t="shared" si="1"/>
        <v>Wheel/hand line systems: Rebuild or replace leaking impact sprinkler with new or rebuilt impact sprinkler - Montana</v>
      </c>
      <c r="C62" t="s">
        <v>371</v>
      </c>
      <c r="D62">
        <f>'SavingsData&amp;Analysis'!L56</f>
        <v>5.2972411083004749</v>
      </c>
      <c r="E62">
        <f t="shared" si="4"/>
        <v>5</v>
      </c>
      <c r="F62" s="354">
        <f t="shared" si="4"/>
        <v>12.333333333333332</v>
      </c>
      <c r="H62" t="s">
        <v>382</v>
      </c>
    </row>
    <row r="63" spans="1:8">
      <c r="A63" t="str">
        <f t="shared" si="0"/>
        <v>Montana</v>
      </c>
      <c r="B63" t="str">
        <f t="shared" si="1"/>
        <v>Wheel/hand line systems: Replace leaking gasket with new gasket - Montana</v>
      </c>
      <c r="C63" t="s">
        <v>372</v>
      </c>
      <c r="D63">
        <f>'SavingsData&amp;Analysis'!L57</f>
        <v>31.696243909199389</v>
      </c>
      <c r="E63">
        <f t="shared" si="4"/>
        <v>5</v>
      </c>
      <c r="F63" s="354">
        <f t="shared" si="4"/>
        <v>3.9166666666666665</v>
      </c>
      <c r="H63" t="s">
        <v>382</v>
      </c>
    </row>
    <row r="64" spans="1:8">
      <c r="A64" t="str">
        <f t="shared" si="0"/>
        <v>Montana</v>
      </c>
      <c r="B64" t="str">
        <f t="shared" si="1"/>
        <v>Wheel/hand line systems: Replace leaking drain with new drain - Montana</v>
      </c>
      <c r="C64" t="s">
        <v>373</v>
      </c>
      <c r="D64">
        <f>'SavingsData&amp;Analysis'!L58</f>
        <v>32.850909577394283</v>
      </c>
      <c r="E64">
        <f t="shared" si="4"/>
        <v>5</v>
      </c>
      <c r="F64" s="354">
        <f t="shared" si="4"/>
        <v>13.666666666666666</v>
      </c>
      <c r="H64" t="s">
        <v>382</v>
      </c>
    </row>
    <row r="65" spans="1:8">
      <c r="A65" t="str">
        <f t="shared" si="0"/>
        <v>Montana</v>
      </c>
      <c r="B65" t="str">
        <f t="shared" si="1"/>
        <v>Wheel/hand line systems: Cut and pipe press repair of leaking hand-lines, wheel-lines, and portable main-lines - Montana</v>
      </c>
      <c r="C65" t="s">
        <v>374</v>
      </c>
      <c r="D65">
        <f>'SavingsData&amp;Analysis'!L59</f>
        <v>15.771216640344916</v>
      </c>
      <c r="E65">
        <f t="shared" si="4"/>
        <v>8</v>
      </c>
      <c r="F65" s="354">
        <f t="shared" si="4"/>
        <v>18</v>
      </c>
      <c r="H65" t="s">
        <v>382</v>
      </c>
    </row>
    <row r="66" spans="1:8">
      <c r="A66" t="str">
        <f t="shared" si="0"/>
        <v>Montana</v>
      </c>
      <c r="B66" t="str">
        <f t="shared" si="1"/>
        <v>Thunderbird wheel line systems: Replace leaking hub with new hub - Montana</v>
      </c>
      <c r="C66" t="s">
        <v>375</v>
      </c>
      <c r="D66">
        <f>'SavingsData&amp;Analysis'!L60</f>
        <v>13.647879671164318</v>
      </c>
      <c r="E66">
        <f t="shared" si="4"/>
        <v>10</v>
      </c>
      <c r="F66" s="354">
        <f t="shared" si="4"/>
        <v>50</v>
      </c>
      <c r="H66" t="s">
        <v>382</v>
      </c>
    </row>
    <row r="67" spans="1:8">
      <c r="A67" t="str">
        <f t="shared" si="0"/>
        <v>Montana</v>
      </c>
      <c r="B67" t="str">
        <f t="shared" si="1"/>
        <v>Wheel line systems: Rebuild or replace leaking or malfunctioning leveler with new or rebuilt leveler. - Montana</v>
      </c>
      <c r="C67" t="s">
        <v>376</v>
      </c>
      <c r="D67">
        <f>'SavingsData&amp;Analysis'!L61</f>
        <v>7.8598549255505548</v>
      </c>
      <c r="E67">
        <f t="shared" si="4"/>
        <v>5</v>
      </c>
      <c r="F67" s="354">
        <f t="shared" si="4"/>
        <v>3.25</v>
      </c>
      <c r="H67" t="s">
        <v>382</v>
      </c>
    </row>
    <row r="68" spans="1:8">
      <c r="A68" t="str">
        <f t="shared" si="0"/>
        <v>Montana</v>
      </c>
      <c r="B68" t="str">
        <f t="shared" si="1"/>
        <v>Center pivot/linear move systems: Install new sprinkler package on an existing system. - Montana</v>
      </c>
      <c r="C68" t="s">
        <v>377</v>
      </c>
      <c r="D68">
        <f>'SavingsData&amp;Analysis'!L62</f>
        <v>21.947599640519009</v>
      </c>
      <c r="E68">
        <f t="shared" si="4"/>
        <v>5</v>
      </c>
      <c r="F68" s="354">
        <f t="shared" si="4"/>
        <v>25.53</v>
      </c>
      <c r="H68" t="s">
        <v>382</v>
      </c>
    </row>
    <row r="69" spans="1:8">
      <c r="A69" t="str">
        <f t="shared" si="0"/>
        <v>Montana</v>
      </c>
      <c r="B69" t="str">
        <f t="shared" si="1"/>
        <v>Center pivot/linear move systems: New gooseneck elbows - Montana</v>
      </c>
      <c r="C69" t="s">
        <v>378</v>
      </c>
      <c r="D69">
        <f>'SavingsData&amp;Analysis'!L63</f>
        <v>1.6753728892460273</v>
      </c>
      <c r="E69">
        <f t="shared" si="4"/>
        <v>15</v>
      </c>
      <c r="F69" s="354">
        <f t="shared" si="4"/>
        <v>4.166666666666667</v>
      </c>
      <c r="H69" t="s">
        <v>382</v>
      </c>
    </row>
    <row r="70" spans="1:8">
      <c r="A70" t="str">
        <f t="shared" si="0"/>
        <v>Montana</v>
      </c>
      <c r="B70" t="str">
        <f t="shared" si="1"/>
        <v>Center pivot/linear move systems: New drop tubes (3 feet minimum) - Montana</v>
      </c>
      <c r="C70" t="s">
        <v>379</v>
      </c>
      <c r="D70">
        <f>'SavingsData&amp;Analysis'!L64</f>
        <v>1.6753728892460273</v>
      </c>
      <c r="E70">
        <f t="shared" ref="E70:F72" si="5">E57</f>
        <v>10</v>
      </c>
      <c r="F70" s="354">
        <f t="shared" si="5"/>
        <v>6.5</v>
      </c>
      <c r="H70" t="s">
        <v>382</v>
      </c>
    </row>
    <row r="71" spans="1:8">
      <c r="A71" t="str">
        <f t="shared" si="0"/>
        <v>Montana</v>
      </c>
      <c r="B71" t="str">
        <f t="shared" si="1"/>
        <v>Center pivot/linear move systems: Replace leaking pivot boot gasket with new pivot boot gasket - Montana</v>
      </c>
      <c r="C71" t="s">
        <v>380</v>
      </c>
      <c r="D71">
        <f>'SavingsData&amp;Analysis'!L65</f>
        <v>319.11864557067184</v>
      </c>
      <c r="E71">
        <f t="shared" si="5"/>
        <v>8</v>
      </c>
      <c r="F71" s="354">
        <f t="shared" si="5"/>
        <v>250</v>
      </c>
      <c r="H71" t="s">
        <v>382</v>
      </c>
    </row>
    <row r="72" spans="1:8">
      <c r="A72" t="str">
        <f t="shared" si="0"/>
        <v>Montana</v>
      </c>
      <c r="B72" t="str">
        <f t="shared" si="1"/>
        <v>Center pivot/linear move systems: Replace leaking tower gasket with new tower gasket - Montana</v>
      </c>
      <c r="C72" t="s">
        <v>381</v>
      </c>
      <c r="D72">
        <f>'SavingsData&amp;Analysis'!L66</f>
        <v>7.9779661392667967</v>
      </c>
      <c r="E72">
        <f t="shared" si="5"/>
        <v>8</v>
      </c>
      <c r="F72" s="354">
        <f t="shared" si="5"/>
        <v>60</v>
      </c>
      <c r="H72" t="s">
        <v>382</v>
      </c>
    </row>
  </sheetData>
  <mergeCells count="2">
    <mergeCell ref="J6:O6"/>
    <mergeCell ref="P6:Q6"/>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sheetPr codeName="Sheet81"/>
  <dimension ref="A1:L66"/>
  <sheetViews>
    <sheetView workbookViewId="0">
      <selection activeCell="K28" sqref="K28"/>
    </sheetView>
  </sheetViews>
  <sheetFormatPr defaultRowHeight="12.75"/>
  <cols>
    <col min="1" max="1" width="127" style="227" bestFit="1" customWidth="1"/>
    <col min="2" max="7" width="9.140625" style="227"/>
    <col min="8" max="8" width="11" style="227" customWidth="1"/>
    <col min="9" max="10" width="9.140625" style="227"/>
    <col min="11" max="11" width="11.28515625" style="227" bestFit="1" customWidth="1"/>
    <col min="12" max="16384" width="9.140625" style="227"/>
  </cols>
  <sheetData>
    <row r="1" spans="1:12" ht="51.75" thickBot="1">
      <c r="A1" s="317" t="s">
        <v>7</v>
      </c>
      <c r="B1" s="318" t="s">
        <v>308</v>
      </c>
      <c r="C1" s="319" t="s">
        <v>309</v>
      </c>
      <c r="D1" s="319" t="s">
        <v>310</v>
      </c>
      <c r="E1" s="319" t="s">
        <v>311</v>
      </c>
      <c r="F1" s="320" t="s">
        <v>130</v>
      </c>
      <c r="G1" s="319" t="s">
        <v>312</v>
      </c>
      <c r="H1" s="320" t="s">
        <v>131</v>
      </c>
      <c r="I1" s="319" t="s">
        <v>313</v>
      </c>
      <c r="J1" s="319" t="s">
        <v>314</v>
      </c>
      <c r="K1" s="320" t="s">
        <v>315</v>
      </c>
      <c r="L1" s="321" t="s">
        <v>316</v>
      </c>
    </row>
    <row r="2" spans="1:12">
      <c r="A2" s="322" t="s">
        <v>317</v>
      </c>
      <c r="B2" s="323">
        <f>Inputs!J33</f>
        <v>0.61813127253861733</v>
      </c>
      <c r="C2" s="324">
        <f t="shared" ref="C2:C65" si="0">(B2*60*K2)/(43560*7.48)</f>
        <v>0.12999761567164173</v>
      </c>
      <c r="D2" s="325">
        <f>Inputs!H10</f>
        <v>59.1</v>
      </c>
      <c r="E2" s="325">
        <f>Inputs!G10</f>
        <v>111</v>
      </c>
      <c r="F2" s="326">
        <f>Inputs!$B$1</f>
        <v>0.75</v>
      </c>
      <c r="G2" s="327">
        <f t="shared" ref="G2:G65" si="1">D2*2.31+E2</f>
        <v>247.52100000000002</v>
      </c>
      <c r="H2" s="328">
        <f>Inputs!$B$2</f>
        <v>0.60779639520399842</v>
      </c>
      <c r="I2" s="329">
        <f t="shared" ref="I2:I65" si="2">B2*G2/3960/H2</f>
        <v>6.3568133683262973E-2</v>
      </c>
      <c r="J2" s="329">
        <f t="shared" ref="J2:J65" si="3">I2*0.746</f>
        <v>4.742182772771418E-2</v>
      </c>
      <c r="K2" s="330">
        <f>Inputs!I10</f>
        <v>1142.0704360309376</v>
      </c>
      <c r="L2" s="331">
        <f t="shared" ref="L2:L65" si="4">J2*K2*F2</f>
        <v>40.619300602780903</v>
      </c>
    </row>
    <row r="3" spans="1:12">
      <c r="A3" s="332" t="s">
        <v>318</v>
      </c>
      <c r="B3" s="333">
        <f>Inputs!J34</f>
        <v>0.61813127253861733</v>
      </c>
      <c r="C3" s="334">
        <f t="shared" si="0"/>
        <v>0.12999761567164173</v>
      </c>
      <c r="D3" s="335">
        <f t="shared" ref="D3:E9" si="5">D2</f>
        <v>59.1</v>
      </c>
      <c r="E3" s="335">
        <f t="shared" si="5"/>
        <v>111</v>
      </c>
      <c r="F3" s="336">
        <f>Inputs!$B$1</f>
        <v>0.75</v>
      </c>
      <c r="G3" s="335">
        <f t="shared" si="1"/>
        <v>247.52100000000002</v>
      </c>
      <c r="H3" s="337">
        <f>Inputs!$B$2</f>
        <v>0.60779639520399842</v>
      </c>
      <c r="I3" s="338">
        <f t="shared" si="2"/>
        <v>6.3568133683262973E-2</v>
      </c>
      <c r="J3" s="338">
        <f t="shared" si="3"/>
        <v>4.742182772771418E-2</v>
      </c>
      <c r="K3" s="339">
        <f t="shared" ref="K3:K14" si="6">K2</f>
        <v>1142.0704360309376</v>
      </c>
      <c r="L3" s="340">
        <f t="shared" si="4"/>
        <v>40.619300602780903</v>
      </c>
    </row>
    <row r="4" spans="1:12">
      <c r="A4" s="332" t="s">
        <v>319</v>
      </c>
      <c r="B4" s="333">
        <f>Inputs!J35</f>
        <v>0.41530612244897963</v>
      </c>
      <c r="C4" s="334">
        <f t="shared" si="0"/>
        <v>8.7341974254876914E-2</v>
      </c>
      <c r="D4" s="335">
        <f t="shared" si="5"/>
        <v>59.1</v>
      </c>
      <c r="E4" s="335">
        <f t="shared" si="5"/>
        <v>111</v>
      </c>
      <c r="F4" s="336">
        <f>Inputs!$B$1</f>
        <v>0.75</v>
      </c>
      <c r="G4" s="335">
        <f t="shared" si="1"/>
        <v>247.52100000000002</v>
      </c>
      <c r="H4" s="337">
        <f>Inputs!$B$2</f>
        <v>0.60779639520399842</v>
      </c>
      <c r="I4" s="338">
        <f t="shared" si="2"/>
        <v>4.2709754843644449E-2</v>
      </c>
      <c r="J4" s="338">
        <f t="shared" si="3"/>
        <v>3.1861477113358759E-2</v>
      </c>
      <c r="K4" s="339">
        <f t="shared" si="6"/>
        <v>1142.0704360309376</v>
      </c>
      <c r="L4" s="340">
        <f t="shared" si="4"/>
        <v>27.291038294582535</v>
      </c>
    </row>
    <row r="5" spans="1:12">
      <c r="A5" s="332" t="s">
        <v>320</v>
      </c>
      <c r="B5" s="333">
        <f>Inputs!J36</f>
        <v>2.4850000000000003</v>
      </c>
      <c r="C5" s="334">
        <f t="shared" si="0"/>
        <v>0.52261402924545897</v>
      </c>
      <c r="D5" s="335">
        <f t="shared" si="5"/>
        <v>59.1</v>
      </c>
      <c r="E5" s="335">
        <f t="shared" si="5"/>
        <v>111</v>
      </c>
      <c r="F5" s="336">
        <f>Inputs!$B$1</f>
        <v>0.75</v>
      </c>
      <c r="G5" s="335">
        <f t="shared" si="1"/>
        <v>247.52100000000002</v>
      </c>
      <c r="H5" s="337">
        <f>Inputs!$B$2</f>
        <v>0.60779639520399842</v>
      </c>
      <c r="I5" s="338">
        <f t="shared" si="2"/>
        <v>0.25555544464552171</v>
      </c>
      <c r="J5" s="338">
        <f t="shared" si="3"/>
        <v>0.19064436170555921</v>
      </c>
      <c r="K5" s="339">
        <f t="shared" si="6"/>
        <v>1142.0704360309376</v>
      </c>
      <c r="L5" s="340">
        <f t="shared" si="4"/>
        <v>163.29696697493083</v>
      </c>
    </row>
    <row r="6" spans="1:12">
      <c r="A6" s="332" t="s">
        <v>321</v>
      </c>
      <c r="B6" s="333">
        <f>Inputs!J37</f>
        <v>2.5755263157894732</v>
      </c>
      <c r="C6" s="334">
        <f t="shared" si="0"/>
        <v>0.54165238845973784</v>
      </c>
      <c r="D6" s="335">
        <f t="shared" si="5"/>
        <v>59.1</v>
      </c>
      <c r="E6" s="335">
        <f t="shared" si="5"/>
        <v>111</v>
      </c>
      <c r="F6" s="336">
        <f>Inputs!$B$1</f>
        <v>0.75</v>
      </c>
      <c r="G6" s="335">
        <f t="shared" si="1"/>
        <v>247.52100000000002</v>
      </c>
      <c r="H6" s="337">
        <f>Inputs!$B$2</f>
        <v>0.60779639520399842</v>
      </c>
      <c r="I6" s="338">
        <f t="shared" si="2"/>
        <v>0.2648650997295055</v>
      </c>
      <c r="J6" s="338">
        <f t="shared" si="3"/>
        <v>0.19758936439821109</v>
      </c>
      <c r="K6" s="339">
        <f t="shared" si="6"/>
        <v>1142.0704360309376</v>
      </c>
      <c r="L6" s="340">
        <f t="shared" si="4"/>
        <v>169.24572866500557</v>
      </c>
    </row>
    <row r="7" spans="1:12">
      <c r="A7" s="332" t="s">
        <v>322</v>
      </c>
      <c r="B7" s="333">
        <f>Inputs!J38</f>
        <v>1.2364705882352942</v>
      </c>
      <c r="C7" s="334">
        <f t="shared" si="0"/>
        <v>0.26003898437068396</v>
      </c>
      <c r="D7" s="335">
        <f t="shared" si="5"/>
        <v>59.1</v>
      </c>
      <c r="E7" s="335">
        <f t="shared" si="5"/>
        <v>111</v>
      </c>
      <c r="F7" s="336">
        <f>Inputs!$B$1</f>
        <v>0.75</v>
      </c>
      <c r="G7" s="335">
        <f t="shared" si="1"/>
        <v>247.52100000000002</v>
      </c>
      <c r="H7" s="337">
        <f>Inputs!$B$2</f>
        <v>0.60779639520399842</v>
      </c>
      <c r="I7" s="338">
        <f t="shared" si="2"/>
        <v>0.12715766236119935</v>
      </c>
      <c r="J7" s="338">
        <f t="shared" si="3"/>
        <v>9.4859616121454715E-2</v>
      </c>
      <c r="K7" s="339">
        <f t="shared" si="6"/>
        <v>1142.0704360309376</v>
      </c>
      <c r="L7" s="340">
        <f t="shared" si="4"/>
        <v>81.252272359167861</v>
      </c>
    </row>
    <row r="8" spans="1:12">
      <c r="A8" s="332" t="s">
        <v>323</v>
      </c>
      <c r="B8" s="333">
        <f>Inputs!J39</f>
        <v>1.07</v>
      </c>
      <c r="C8" s="334">
        <f t="shared" si="0"/>
        <v>0.2250289783873807</v>
      </c>
      <c r="D8" s="335">
        <f t="shared" si="5"/>
        <v>59.1</v>
      </c>
      <c r="E8" s="335">
        <f t="shared" si="5"/>
        <v>111</v>
      </c>
      <c r="F8" s="336">
        <f>Inputs!$B$1</f>
        <v>0.75</v>
      </c>
      <c r="G8" s="335">
        <f t="shared" si="1"/>
        <v>247.52100000000002</v>
      </c>
      <c r="H8" s="337">
        <f>Inputs!$B$2</f>
        <v>0.60779639520399842</v>
      </c>
      <c r="I8" s="338">
        <f t="shared" si="2"/>
        <v>0.11003795805662302</v>
      </c>
      <c r="J8" s="338">
        <f t="shared" si="3"/>
        <v>8.2088316710240763E-2</v>
      </c>
      <c r="K8" s="339">
        <f t="shared" si="6"/>
        <v>1142.0704360309376</v>
      </c>
      <c r="L8" s="340">
        <f t="shared" si="4"/>
        <v>70.312979743732768</v>
      </c>
    </row>
    <row r="9" spans="1:12">
      <c r="A9" s="332" t="s">
        <v>324</v>
      </c>
      <c r="B9" s="333">
        <f>Inputs!J40</f>
        <v>0.61621621621621625</v>
      </c>
      <c r="C9" s="334">
        <f t="shared" si="0"/>
        <v>0.12959486504754433</v>
      </c>
      <c r="D9" s="335">
        <f t="shared" si="5"/>
        <v>59.1</v>
      </c>
      <c r="E9" s="335">
        <f t="shared" si="5"/>
        <v>111</v>
      </c>
      <c r="F9" s="336">
        <f>Inputs!$B$1</f>
        <v>0.75</v>
      </c>
      <c r="G9" s="335">
        <f t="shared" si="1"/>
        <v>247.52100000000002</v>
      </c>
      <c r="H9" s="337">
        <f>Inputs!$B$2</f>
        <v>0.60779639520399842</v>
      </c>
      <c r="I9" s="338">
        <f t="shared" si="2"/>
        <v>6.3371190797954169E-2</v>
      </c>
      <c r="J9" s="338">
        <f t="shared" si="3"/>
        <v>4.7274908335273813E-2</v>
      </c>
      <c r="K9" s="339">
        <f t="shared" si="6"/>
        <v>1142.0704360309376</v>
      </c>
      <c r="L9" s="340">
        <f t="shared" si="4"/>
        <v>40.493456381841582</v>
      </c>
    </row>
    <row r="10" spans="1:12">
      <c r="A10" s="332" t="s">
        <v>325</v>
      </c>
      <c r="B10" s="333">
        <f>Inputs!J41</f>
        <v>1.3755134615384614</v>
      </c>
      <c r="C10" s="334">
        <f t="shared" si="0"/>
        <v>0.28928073739073795</v>
      </c>
      <c r="D10" s="341">
        <f>Inputs!H12</f>
        <v>68.027111111111111</v>
      </c>
      <c r="E10" s="341">
        <f>Inputs!G12</f>
        <v>111</v>
      </c>
      <c r="F10" s="336">
        <f>Inputs!$B$1</f>
        <v>0.75</v>
      </c>
      <c r="G10" s="335">
        <f t="shared" si="1"/>
        <v>268.14262666666667</v>
      </c>
      <c r="H10" s="337">
        <f>Inputs!$B$2</f>
        <v>0.60779639520399842</v>
      </c>
      <c r="I10" s="338">
        <f t="shared" si="2"/>
        <v>0.15324185426100057</v>
      </c>
      <c r="J10" s="338">
        <f t="shared" si="3"/>
        <v>0.11431842327870642</v>
      </c>
      <c r="K10" s="339">
        <f t="shared" si="6"/>
        <v>1142.0704360309376</v>
      </c>
      <c r="L10" s="340">
        <f t="shared" si="4"/>
        <v>97.919768640211146</v>
      </c>
    </row>
    <row r="11" spans="1:12">
      <c r="A11" s="332" t="s">
        <v>326</v>
      </c>
      <c r="B11" s="333">
        <f>Inputs!J42</f>
        <v>0.105</v>
      </c>
      <c r="C11" s="334">
        <f t="shared" si="0"/>
        <v>2.208228292586446E-2</v>
      </c>
      <c r="D11" s="335">
        <f t="shared" ref="D11:E14" si="7">D10</f>
        <v>68.027111111111111</v>
      </c>
      <c r="E11" s="335">
        <f t="shared" si="7"/>
        <v>111</v>
      </c>
      <c r="F11" s="336">
        <f>Inputs!$B$1</f>
        <v>0.75</v>
      </c>
      <c r="G11" s="335">
        <f t="shared" si="1"/>
        <v>268.14262666666667</v>
      </c>
      <c r="H11" s="337">
        <f>Inputs!$B$2</f>
        <v>0.60779639520399842</v>
      </c>
      <c r="I11" s="338">
        <f t="shared" si="2"/>
        <v>1.1697736988635896E-2</v>
      </c>
      <c r="J11" s="338">
        <f t="shared" si="3"/>
        <v>8.7265117935223773E-3</v>
      </c>
      <c r="K11" s="339">
        <f t="shared" si="6"/>
        <v>1142.0704360309376</v>
      </c>
      <c r="L11" s="340">
        <f t="shared" si="4"/>
        <v>7.4747183467929155</v>
      </c>
    </row>
    <row r="12" spans="1:12">
      <c r="A12" s="332" t="s">
        <v>327</v>
      </c>
      <c r="B12" s="333">
        <f>Inputs!J43</f>
        <v>0.105</v>
      </c>
      <c r="C12" s="334">
        <f t="shared" si="0"/>
        <v>2.208228292586446E-2</v>
      </c>
      <c r="D12" s="335">
        <f t="shared" si="7"/>
        <v>68.027111111111111</v>
      </c>
      <c r="E12" s="335">
        <f t="shared" si="7"/>
        <v>111</v>
      </c>
      <c r="F12" s="336">
        <f>Inputs!$B$1</f>
        <v>0.75</v>
      </c>
      <c r="G12" s="335">
        <f t="shared" si="1"/>
        <v>268.14262666666667</v>
      </c>
      <c r="H12" s="337">
        <f>Inputs!$B$2</f>
        <v>0.60779639520399842</v>
      </c>
      <c r="I12" s="338">
        <f t="shared" si="2"/>
        <v>1.1697736988635896E-2</v>
      </c>
      <c r="J12" s="338">
        <f t="shared" si="3"/>
        <v>8.7265117935223773E-3</v>
      </c>
      <c r="K12" s="339">
        <f t="shared" si="6"/>
        <v>1142.0704360309376</v>
      </c>
      <c r="L12" s="340">
        <f t="shared" si="4"/>
        <v>7.4747183467929155</v>
      </c>
    </row>
    <row r="13" spans="1:12">
      <c r="A13" s="332" t="s">
        <v>328</v>
      </c>
      <c r="B13" s="333">
        <f>Inputs!J44</f>
        <v>20</v>
      </c>
      <c r="C13" s="334">
        <f t="shared" si="0"/>
        <v>4.2061491287360875</v>
      </c>
      <c r="D13" s="335">
        <f t="shared" si="7"/>
        <v>68.027111111111111</v>
      </c>
      <c r="E13" s="335">
        <f t="shared" si="7"/>
        <v>111</v>
      </c>
      <c r="F13" s="336">
        <f>Inputs!$B$1</f>
        <v>0.75</v>
      </c>
      <c r="G13" s="335">
        <f t="shared" si="1"/>
        <v>268.14262666666667</v>
      </c>
      <c r="H13" s="337">
        <f>Inputs!$B$2</f>
        <v>0.60779639520399842</v>
      </c>
      <c r="I13" s="338">
        <f t="shared" si="2"/>
        <v>2.2281403787877903</v>
      </c>
      <c r="J13" s="338">
        <f t="shared" si="3"/>
        <v>1.6621927225756916</v>
      </c>
      <c r="K13" s="339">
        <f t="shared" si="6"/>
        <v>1142.0704360309376</v>
      </c>
      <c r="L13" s="340">
        <f t="shared" si="4"/>
        <v>1423.7558755796035</v>
      </c>
    </row>
    <row r="14" spans="1:12" ht="13.5" thickBot="1">
      <c r="A14" s="342" t="s">
        <v>329</v>
      </c>
      <c r="B14" s="343">
        <f>Inputs!J45</f>
        <v>0.5</v>
      </c>
      <c r="C14" s="344">
        <f t="shared" si="0"/>
        <v>0.10515372821840217</v>
      </c>
      <c r="D14" s="345">
        <f t="shared" si="7"/>
        <v>68.027111111111111</v>
      </c>
      <c r="E14" s="345">
        <f t="shared" si="7"/>
        <v>111</v>
      </c>
      <c r="F14" s="346">
        <f>Inputs!$B$1</f>
        <v>0.75</v>
      </c>
      <c r="G14" s="345">
        <f t="shared" si="1"/>
        <v>268.14262666666667</v>
      </c>
      <c r="H14" s="347">
        <f>Inputs!$B$2</f>
        <v>0.60779639520399842</v>
      </c>
      <c r="I14" s="348">
        <f t="shared" si="2"/>
        <v>5.5703509469694747E-2</v>
      </c>
      <c r="J14" s="348">
        <f t="shared" si="3"/>
        <v>4.1554818064392283E-2</v>
      </c>
      <c r="K14" s="349">
        <f t="shared" si="6"/>
        <v>1142.0704360309376</v>
      </c>
      <c r="L14" s="350">
        <f t="shared" si="4"/>
        <v>35.593896889490082</v>
      </c>
    </row>
    <row r="15" spans="1:12">
      <c r="A15" s="322" t="s">
        <v>330</v>
      </c>
      <c r="B15" s="351">
        <f>Inputs!G33</f>
        <v>0.4724259428852024</v>
      </c>
      <c r="C15" s="324">
        <f t="shared" si="0"/>
        <v>0.13919239341942585</v>
      </c>
      <c r="D15" s="325">
        <f>Inputs!H6</f>
        <v>66.2</v>
      </c>
      <c r="E15" s="325">
        <f>Inputs!G6</f>
        <v>58.100000000000009</v>
      </c>
      <c r="F15" s="326">
        <f>Inputs!$B$1</f>
        <v>0.75</v>
      </c>
      <c r="G15" s="327">
        <f t="shared" si="1"/>
        <v>211.02199999999999</v>
      </c>
      <c r="H15" s="328">
        <f>Inputs!$B$2</f>
        <v>0.60779639520399842</v>
      </c>
      <c r="I15" s="329">
        <f t="shared" si="2"/>
        <v>4.1419816205437492E-2</v>
      </c>
      <c r="J15" s="329">
        <f t="shared" si="3"/>
        <v>3.0899182889256367E-2</v>
      </c>
      <c r="K15" s="330">
        <f>Inputs!I6</f>
        <v>1600</v>
      </c>
      <c r="L15" s="331">
        <f t="shared" si="4"/>
        <v>37.079019467107642</v>
      </c>
    </row>
    <row r="16" spans="1:12">
      <c r="A16" s="332" t="s">
        <v>331</v>
      </c>
      <c r="B16" s="352">
        <f>Inputs!G34</f>
        <v>0.4724259428852024</v>
      </c>
      <c r="C16" s="334">
        <f t="shared" si="0"/>
        <v>0.13919239341942585</v>
      </c>
      <c r="D16" s="335">
        <f t="shared" ref="D16:E22" si="8">D15</f>
        <v>66.2</v>
      </c>
      <c r="E16" s="335">
        <f t="shared" si="8"/>
        <v>58.100000000000009</v>
      </c>
      <c r="F16" s="336">
        <f>Inputs!$B$1</f>
        <v>0.75</v>
      </c>
      <c r="G16" s="335">
        <f t="shared" si="1"/>
        <v>211.02199999999999</v>
      </c>
      <c r="H16" s="337">
        <f>Inputs!$B$2</f>
        <v>0.60779639520399842</v>
      </c>
      <c r="I16" s="338">
        <f t="shared" si="2"/>
        <v>4.1419816205437492E-2</v>
      </c>
      <c r="J16" s="338">
        <f t="shared" si="3"/>
        <v>3.0899182889256367E-2</v>
      </c>
      <c r="K16" s="339">
        <f t="shared" ref="K16:K27" si="9">K15</f>
        <v>1600</v>
      </c>
      <c r="L16" s="340">
        <f t="shared" si="4"/>
        <v>37.079019467107642</v>
      </c>
    </row>
    <row r="17" spans="1:12">
      <c r="A17" s="332" t="s">
        <v>332</v>
      </c>
      <c r="B17" s="352">
        <f>Inputs!G35</f>
        <v>0.41530612244897963</v>
      </c>
      <c r="C17" s="334">
        <f t="shared" si="0"/>
        <v>0.12236299478469072</v>
      </c>
      <c r="D17" s="335">
        <f t="shared" si="8"/>
        <v>66.2</v>
      </c>
      <c r="E17" s="335">
        <f t="shared" si="8"/>
        <v>58.100000000000009</v>
      </c>
      <c r="F17" s="336">
        <f>Inputs!$B$1</f>
        <v>0.75</v>
      </c>
      <c r="G17" s="335">
        <f t="shared" si="1"/>
        <v>211.02199999999999</v>
      </c>
      <c r="H17" s="337">
        <f>Inputs!$B$2</f>
        <v>0.60779639520399842</v>
      </c>
      <c r="I17" s="338">
        <f t="shared" si="2"/>
        <v>3.6411851465594995E-2</v>
      </c>
      <c r="J17" s="338">
        <f t="shared" si="3"/>
        <v>2.7163241193333867E-2</v>
      </c>
      <c r="K17" s="339">
        <f t="shared" si="9"/>
        <v>1600</v>
      </c>
      <c r="L17" s="340">
        <f t="shared" si="4"/>
        <v>32.595889432000646</v>
      </c>
    </row>
    <row r="18" spans="1:12">
      <c r="A18" s="332" t="s">
        <v>333</v>
      </c>
      <c r="B18" s="352">
        <f>Inputs!G36</f>
        <v>2.4850000000000003</v>
      </c>
      <c r="C18" s="334">
        <f t="shared" si="0"/>
        <v>0.73216363930996886</v>
      </c>
      <c r="D18" s="335">
        <f t="shared" si="8"/>
        <v>66.2</v>
      </c>
      <c r="E18" s="335">
        <f t="shared" si="8"/>
        <v>58.100000000000009</v>
      </c>
      <c r="F18" s="336">
        <f>Inputs!$B$1</f>
        <v>0.75</v>
      </c>
      <c r="G18" s="335">
        <f t="shared" si="1"/>
        <v>211.02199999999999</v>
      </c>
      <c r="H18" s="337">
        <f>Inputs!$B$2</f>
        <v>0.60779639520399842</v>
      </c>
      <c r="I18" s="338">
        <f t="shared" si="2"/>
        <v>0.21787169993651964</v>
      </c>
      <c r="J18" s="338">
        <f t="shared" si="3"/>
        <v>0.16253228815264364</v>
      </c>
      <c r="K18" s="339">
        <f t="shared" si="9"/>
        <v>1600</v>
      </c>
      <c r="L18" s="340">
        <f t="shared" si="4"/>
        <v>195.03874578317237</v>
      </c>
    </row>
    <row r="19" spans="1:12">
      <c r="A19" s="332" t="s">
        <v>334</v>
      </c>
      <c r="B19" s="156">
        <f>Inputs!G37</f>
        <v>2.5755263157894732</v>
      </c>
      <c r="C19" s="334">
        <f t="shared" si="0"/>
        <v>0.75883570241731046</v>
      </c>
      <c r="D19" s="335">
        <f t="shared" si="8"/>
        <v>66.2</v>
      </c>
      <c r="E19" s="335">
        <f t="shared" si="8"/>
        <v>58.100000000000009</v>
      </c>
      <c r="F19" s="336">
        <f>Inputs!$B$1</f>
        <v>0.75</v>
      </c>
      <c r="G19" s="335">
        <f t="shared" si="1"/>
        <v>211.02199999999999</v>
      </c>
      <c r="H19" s="337">
        <f>Inputs!$B$2</f>
        <v>0.60779639520399842</v>
      </c>
      <c r="I19" s="338">
        <f t="shared" si="2"/>
        <v>0.22580857008140601</v>
      </c>
      <c r="J19" s="338">
        <f t="shared" si="3"/>
        <v>0.16845319328072889</v>
      </c>
      <c r="K19" s="339">
        <f t="shared" si="9"/>
        <v>1600</v>
      </c>
      <c r="L19" s="340">
        <f t="shared" si="4"/>
        <v>202.14383193687468</v>
      </c>
    </row>
    <row r="20" spans="1:12">
      <c r="A20" s="332" t="s">
        <v>335</v>
      </c>
      <c r="B20" s="352">
        <f>Inputs!G38</f>
        <v>1.2364705882352942</v>
      </c>
      <c r="C20" s="334">
        <f t="shared" si="0"/>
        <v>0.36430535443947321</v>
      </c>
      <c r="D20" s="335">
        <f t="shared" si="8"/>
        <v>66.2</v>
      </c>
      <c r="E20" s="335">
        <f t="shared" si="8"/>
        <v>58.100000000000009</v>
      </c>
      <c r="F20" s="336">
        <f>Inputs!$B$1</f>
        <v>0.75</v>
      </c>
      <c r="G20" s="335">
        <f t="shared" si="1"/>
        <v>211.02199999999999</v>
      </c>
      <c r="H20" s="337">
        <f>Inputs!$B$2</f>
        <v>0.60779639520399842</v>
      </c>
      <c r="I20" s="338">
        <f t="shared" si="2"/>
        <v>0.10840722292971104</v>
      </c>
      <c r="J20" s="338">
        <f t="shared" si="3"/>
        <v>8.0871788305564435E-2</v>
      </c>
      <c r="K20" s="339">
        <f t="shared" si="9"/>
        <v>1600</v>
      </c>
      <c r="L20" s="340">
        <f t="shared" si="4"/>
        <v>97.046145966677315</v>
      </c>
    </row>
    <row r="21" spans="1:12">
      <c r="A21" s="332" t="s">
        <v>336</v>
      </c>
      <c r="B21" s="352">
        <f>Inputs!G39</f>
        <v>1.07</v>
      </c>
      <c r="C21" s="334">
        <f t="shared" si="0"/>
        <v>0.31525758312340707</v>
      </c>
      <c r="D21" s="335">
        <f t="shared" si="8"/>
        <v>66.2</v>
      </c>
      <c r="E21" s="335">
        <f t="shared" si="8"/>
        <v>58.100000000000009</v>
      </c>
      <c r="F21" s="336">
        <f>Inputs!$B$1</f>
        <v>0.75</v>
      </c>
      <c r="G21" s="335">
        <f t="shared" si="1"/>
        <v>211.02199999999999</v>
      </c>
      <c r="H21" s="337">
        <f>Inputs!$B$2</f>
        <v>0.60779639520399842</v>
      </c>
      <c r="I21" s="338">
        <f t="shared" si="2"/>
        <v>9.3811959328803221E-2</v>
      </c>
      <c r="J21" s="338">
        <f t="shared" si="3"/>
        <v>6.9983721659287207E-2</v>
      </c>
      <c r="K21" s="339">
        <f t="shared" si="9"/>
        <v>1600</v>
      </c>
      <c r="L21" s="340">
        <f t="shared" si="4"/>
        <v>83.980465991144641</v>
      </c>
    </row>
    <row r="22" spans="1:12">
      <c r="A22" s="332" t="s">
        <v>337</v>
      </c>
      <c r="B22" s="352">
        <f>Inputs!G40</f>
        <v>0.61621621621621625</v>
      </c>
      <c r="C22" s="334">
        <f t="shared" si="0"/>
        <v>0.18155778972502354</v>
      </c>
      <c r="D22" s="335">
        <f t="shared" si="8"/>
        <v>66.2</v>
      </c>
      <c r="E22" s="335">
        <f t="shared" si="8"/>
        <v>58.100000000000009</v>
      </c>
      <c r="F22" s="336">
        <f>Inputs!$B$1</f>
        <v>0.75</v>
      </c>
      <c r="G22" s="335">
        <f t="shared" si="1"/>
        <v>211.02199999999999</v>
      </c>
      <c r="H22" s="337">
        <f>Inputs!$B$2</f>
        <v>0.60779639520399842</v>
      </c>
      <c r="I22" s="338">
        <f t="shared" si="2"/>
        <v>5.4026589358340836E-2</v>
      </c>
      <c r="J22" s="338">
        <f t="shared" si="3"/>
        <v>4.0303835661322264E-2</v>
      </c>
      <c r="K22" s="339">
        <f t="shared" si="9"/>
        <v>1600</v>
      </c>
      <c r="L22" s="340">
        <f t="shared" si="4"/>
        <v>48.364602793586712</v>
      </c>
    </row>
    <row r="23" spans="1:12">
      <c r="A23" s="332" t="s">
        <v>338</v>
      </c>
      <c r="B23" s="352">
        <f>Inputs!G41</f>
        <v>1.3755134615384614</v>
      </c>
      <c r="C23" s="334">
        <f t="shared" si="0"/>
        <v>0.40527200882086628</v>
      </c>
      <c r="D23" s="341">
        <f>Inputs!H8</f>
        <v>60.399999999999991</v>
      </c>
      <c r="E23" s="341">
        <f>Inputs!G8</f>
        <v>66.449999999999989</v>
      </c>
      <c r="F23" s="336">
        <f>Inputs!$B$1</f>
        <v>0.75</v>
      </c>
      <c r="G23" s="335">
        <f t="shared" si="1"/>
        <v>205.97399999999996</v>
      </c>
      <c r="H23" s="337">
        <f>Inputs!$B$2</f>
        <v>0.60779639520399842</v>
      </c>
      <c r="I23" s="338">
        <f t="shared" si="2"/>
        <v>0.11771286826690538</v>
      </c>
      <c r="J23" s="338">
        <f t="shared" si="3"/>
        <v>8.7813799727111411E-2</v>
      </c>
      <c r="K23" s="339">
        <f t="shared" si="9"/>
        <v>1600</v>
      </c>
      <c r="L23" s="340">
        <f t="shared" si="4"/>
        <v>105.37655967253369</v>
      </c>
    </row>
    <row r="24" spans="1:12">
      <c r="A24" s="332" t="s">
        <v>339</v>
      </c>
      <c r="B24" s="352">
        <f>Inputs!G42</f>
        <v>0.105</v>
      </c>
      <c r="C24" s="334">
        <f t="shared" si="0"/>
        <v>3.0936491801829669E-2</v>
      </c>
      <c r="D24" s="335">
        <f t="shared" ref="D24:E27" si="10">D23</f>
        <v>60.399999999999991</v>
      </c>
      <c r="E24" s="335">
        <f t="shared" si="10"/>
        <v>66.449999999999989</v>
      </c>
      <c r="F24" s="336">
        <f>Inputs!$B$1</f>
        <v>0.75</v>
      </c>
      <c r="G24" s="335">
        <f t="shared" si="1"/>
        <v>205.97399999999996</v>
      </c>
      <c r="H24" s="337">
        <f>Inputs!$B$2</f>
        <v>0.60779639520399842</v>
      </c>
      <c r="I24" s="338">
        <f t="shared" si="2"/>
        <v>8.9856271956808235E-3</v>
      </c>
      <c r="J24" s="338">
        <f t="shared" si="3"/>
        <v>6.703277887977894E-3</v>
      </c>
      <c r="K24" s="339">
        <f t="shared" si="9"/>
        <v>1600</v>
      </c>
      <c r="L24" s="340">
        <f t="shared" si="4"/>
        <v>8.043933465573474</v>
      </c>
    </row>
    <row r="25" spans="1:12">
      <c r="A25" s="332" t="s">
        <v>340</v>
      </c>
      <c r="B25" s="352">
        <f>Inputs!G43</f>
        <v>0.105</v>
      </c>
      <c r="C25" s="334">
        <f t="shared" si="0"/>
        <v>3.0936491801829669E-2</v>
      </c>
      <c r="D25" s="335">
        <f t="shared" si="10"/>
        <v>60.399999999999991</v>
      </c>
      <c r="E25" s="335">
        <f t="shared" si="10"/>
        <v>66.449999999999989</v>
      </c>
      <c r="F25" s="336">
        <f>Inputs!$B$1</f>
        <v>0.75</v>
      </c>
      <c r="G25" s="335">
        <f t="shared" si="1"/>
        <v>205.97399999999996</v>
      </c>
      <c r="H25" s="337">
        <f>Inputs!$B$2</f>
        <v>0.60779639520399842</v>
      </c>
      <c r="I25" s="338">
        <f t="shared" si="2"/>
        <v>8.9856271956808235E-3</v>
      </c>
      <c r="J25" s="338">
        <f t="shared" si="3"/>
        <v>6.703277887977894E-3</v>
      </c>
      <c r="K25" s="339">
        <f t="shared" si="9"/>
        <v>1600</v>
      </c>
      <c r="L25" s="340">
        <f t="shared" si="4"/>
        <v>8.043933465573474</v>
      </c>
    </row>
    <row r="26" spans="1:12">
      <c r="A26" s="332" t="s">
        <v>341</v>
      </c>
      <c r="B26" s="352">
        <f>Inputs!G44</f>
        <v>20</v>
      </c>
      <c r="C26" s="334">
        <f t="shared" si="0"/>
        <v>5.8926651051104129</v>
      </c>
      <c r="D26" s="335">
        <f t="shared" si="10"/>
        <v>60.399999999999991</v>
      </c>
      <c r="E26" s="335">
        <f t="shared" si="10"/>
        <v>66.449999999999989</v>
      </c>
      <c r="F26" s="336">
        <f>Inputs!$B$1</f>
        <v>0.75</v>
      </c>
      <c r="G26" s="335">
        <f t="shared" si="1"/>
        <v>205.97399999999996</v>
      </c>
      <c r="H26" s="337">
        <f>Inputs!$B$2</f>
        <v>0.60779639520399842</v>
      </c>
      <c r="I26" s="338">
        <f t="shared" si="2"/>
        <v>1.7115480372725378</v>
      </c>
      <c r="J26" s="338">
        <f t="shared" si="3"/>
        <v>1.2768148358053133</v>
      </c>
      <c r="K26" s="339">
        <f t="shared" si="9"/>
        <v>1600</v>
      </c>
      <c r="L26" s="340">
        <f t="shared" si="4"/>
        <v>1532.177802966376</v>
      </c>
    </row>
    <row r="27" spans="1:12" ht="13.5" thickBot="1">
      <c r="A27" s="342" t="s">
        <v>342</v>
      </c>
      <c r="B27" s="353">
        <f>Inputs!G45</f>
        <v>0.5</v>
      </c>
      <c r="C27" s="344">
        <f t="shared" si="0"/>
        <v>0.14731662762776032</v>
      </c>
      <c r="D27" s="345">
        <f t="shared" si="10"/>
        <v>60.399999999999991</v>
      </c>
      <c r="E27" s="345">
        <f t="shared" si="10"/>
        <v>66.449999999999989</v>
      </c>
      <c r="F27" s="346">
        <f>Inputs!$B$1</f>
        <v>0.75</v>
      </c>
      <c r="G27" s="345">
        <f t="shared" si="1"/>
        <v>205.97399999999996</v>
      </c>
      <c r="H27" s="347">
        <f>Inputs!$B$2</f>
        <v>0.60779639520399842</v>
      </c>
      <c r="I27" s="348">
        <f t="shared" si="2"/>
        <v>4.2788700931813438E-2</v>
      </c>
      <c r="J27" s="348">
        <f t="shared" si="3"/>
        <v>3.1920370895132825E-2</v>
      </c>
      <c r="K27" s="349">
        <f t="shared" si="9"/>
        <v>1600</v>
      </c>
      <c r="L27" s="350">
        <f t="shared" si="4"/>
        <v>38.304445074159389</v>
      </c>
    </row>
    <row r="28" spans="1:12">
      <c r="A28" s="322" t="s">
        <v>343</v>
      </c>
      <c r="B28" s="351">
        <f t="shared" ref="B28:B66" si="11">B15</f>
        <v>0.4724259428852024</v>
      </c>
      <c r="C28" s="324">
        <f>(B28*60*K28)/(43560*7.48)</f>
        <v>8.6995245887141165E-2</v>
      </c>
      <c r="D28" s="325">
        <f>Inputs!H14</f>
        <v>61.337749492021999</v>
      </c>
      <c r="E28" s="325">
        <f>Inputs!G14</f>
        <v>52.301677623236927</v>
      </c>
      <c r="F28" s="326">
        <f>Inputs!$B$1</f>
        <v>0.75</v>
      </c>
      <c r="G28" s="327">
        <f t="shared" si="1"/>
        <v>193.99187894980776</v>
      </c>
      <c r="H28" s="328">
        <f>Inputs!$B$2</f>
        <v>0.60779639520399842</v>
      </c>
      <c r="I28" s="329">
        <f t="shared" si="2"/>
        <v>3.8077110308159891E-2</v>
      </c>
      <c r="J28" s="329">
        <f t="shared" si="3"/>
        <v>2.8405524289887279E-2</v>
      </c>
      <c r="K28" s="330">
        <f>Inputs!I14</f>
        <v>1000</v>
      </c>
      <c r="L28" s="331">
        <f t="shared" si="4"/>
        <v>21.304143217415458</v>
      </c>
    </row>
    <row r="29" spans="1:12">
      <c r="A29" s="332" t="s">
        <v>344</v>
      </c>
      <c r="B29" s="352">
        <f t="shared" si="11"/>
        <v>0.4724259428852024</v>
      </c>
      <c r="C29" s="334">
        <f t="shared" si="0"/>
        <v>8.6995245887141165E-2</v>
      </c>
      <c r="D29" s="335">
        <f t="shared" ref="D29:E35" si="12">D28</f>
        <v>61.337749492021999</v>
      </c>
      <c r="E29" s="335">
        <f t="shared" si="12"/>
        <v>52.301677623236927</v>
      </c>
      <c r="F29" s="336">
        <f>Inputs!$B$1</f>
        <v>0.75</v>
      </c>
      <c r="G29" s="335">
        <f t="shared" si="1"/>
        <v>193.99187894980776</v>
      </c>
      <c r="H29" s="337">
        <f>Inputs!$B$2</f>
        <v>0.60779639520399842</v>
      </c>
      <c r="I29" s="338">
        <f t="shared" si="2"/>
        <v>3.8077110308159891E-2</v>
      </c>
      <c r="J29" s="338">
        <f t="shared" si="3"/>
        <v>2.8405524289887279E-2</v>
      </c>
      <c r="K29" s="339">
        <f t="shared" ref="K29:K40" si="13">K28</f>
        <v>1000</v>
      </c>
      <c r="L29" s="340">
        <f t="shared" si="4"/>
        <v>21.304143217415458</v>
      </c>
    </row>
    <row r="30" spans="1:12">
      <c r="A30" s="332" t="s">
        <v>345</v>
      </c>
      <c r="B30" s="352">
        <f t="shared" si="11"/>
        <v>0.41530612244897963</v>
      </c>
      <c r="C30" s="334">
        <f t="shared" si="0"/>
        <v>7.6476871740431704E-2</v>
      </c>
      <c r="D30" s="335">
        <f t="shared" si="12"/>
        <v>61.337749492021999</v>
      </c>
      <c r="E30" s="335">
        <f t="shared" si="12"/>
        <v>52.301677623236927</v>
      </c>
      <c r="F30" s="336">
        <f>Inputs!$B$1</f>
        <v>0.75</v>
      </c>
      <c r="G30" s="335">
        <f t="shared" si="1"/>
        <v>193.99187894980776</v>
      </c>
      <c r="H30" s="337">
        <f>Inputs!$B$2</f>
        <v>0.60779639520399842</v>
      </c>
      <c r="I30" s="338">
        <f t="shared" si="2"/>
        <v>3.347330364536439E-2</v>
      </c>
      <c r="J30" s="338">
        <f t="shared" si="3"/>
        <v>2.4971084519441834E-2</v>
      </c>
      <c r="K30" s="339">
        <f t="shared" si="13"/>
        <v>1000</v>
      </c>
      <c r="L30" s="340">
        <f t="shared" si="4"/>
        <v>18.728313389581377</v>
      </c>
    </row>
    <row r="31" spans="1:12">
      <c r="A31" s="332" t="s">
        <v>346</v>
      </c>
      <c r="B31" s="352">
        <f t="shared" si="11"/>
        <v>2.4850000000000003</v>
      </c>
      <c r="C31" s="334">
        <f t="shared" si="0"/>
        <v>0.45760227456873059</v>
      </c>
      <c r="D31" s="335">
        <f t="shared" si="12"/>
        <v>61.337749492021999</v>
      </c>
      <c r="E31" s="335">
        <f t="shared" si="12"/>
        <v>52.301677623236927</v>
      </c>
      <c r="F31" s="336">
        <f>Inputs!$B$1</f>
        <v>0.75</v>
      </c>
      <c r="G31" s="335">
        <f t="shared" si="1"/>
        <v>193.99187894980776</v>
      </c>
      <c r="H31" s="337">
        <f>Inputs!$B$2</f>
        <v>0.60779639520399842</v>
      </c>
      <c r="I31" s="338">
        <f t="shared" si="2"/>
        <v>0.20028878714387199</v>
      </c>
      <c r="J31" s="338">
        <f t="shared" si="3"/>
        <v>0.14941543520932851</v>
      </c>
      <c r="K31" s="339">
        <f t="shared" si="13"/>
        <v>1000</v>
      </c>
      <c r="L31" s="340">
        <f t="shared" si="4"/>
        <v>112.06157640699638</v>
      </c>
    </row>
    <row r="32" spans="1:12">
      <c r="A32" s="332" t="s">
        <v>347</v>
      </c>
      <c r="B32" s="156">
        <f t="shared" si="11"/>
        <v>2.5755263157894732</v>
      </c>
      <c r="C32" s="334">
        <f t="shared" si="0"/>
        <v>0.4742723140108191</v>
      </c>
      <c r="D32" s="335">
        <f t="shared" si="12"/>
        <v>61.337749492021999</v>
      </c>
      <c r="E32" s="335">
        <f t="shared" si="12"/>
        <v>52.301677623236927</v>
      </c>
      <c r="F32" s="336">
        <f>Inputs!$B$1</f>
        <v>0.75</v>
      </c>
      <c r="G32" s="335">
        <f t="shared" si="1"/>
        <v>193.99187894980776</v>
      </c>
      <c r="H32" s="337">
        <f>Inputs!$B$2</f>
        <v>0.60779639520399842</v>
      </c>
      <c r="I32" s="338">
        <f t="shared" si="2"/>
        <v>0.20758512758414432</v>
      </c>
      <c r="J32" s="338">
        <f t="shared" si="3"/>
        <v>0.15485850517777167</v>
      </c>
      <c r="K32" s="339">
        <f t="shared" si="13"/>
        <v>1000</v>
      </c>
      <c r="L32" s="340">
        <f t="shared" si="4"/>
        <v>116.14387888332874</v>
      </c>
    </row>
    <row r="33" spans="1:12">
      <c r="A33" s="332" t="s">
        <v>348</v>
      </c>
      <c r="B33" s="352">
        <f t="shared" si="11"/>
        <v>1.2364705882352942</v>
      </c>
      <c r="C33" s="334">
        <f t="shared" si="0"/>
        <v>0.22769084652467075</v>
      </c>
      <c r="D33" s="335">
        <f t="shared" si="12"/>
        <v>61.337749492021999</v>
      </c>
      <c r="E33" s="335">
        <f t="shared" si="12"/>
        <v>52.301677623236927</v>
      </c>
      <c r="F33" s="336">
        <f>Inputs!$B$1</f>
        <v>0.75</v>
      </c>
      <c r="G33" s="335">
        <f t="shared" si="1"/>
        <v>193.99187894980776</v>
      </c>
      <c r="H33" s="337">
        <f>Inputs!$B$2</f>
        <v>0.60779639520399842</v>
      </c>
      <c r="I33" s="338">
        <f t="shared" si="2"/>
        <v>9.9658428352803627E-2</v>
      </c>
      <c r="J33" s="338">
        <f t="shared" si="3"/>
        <v>7.4345187551191502E-2</v>
      </c>
      <c r="K33" s="339">
        <f t="shared" si="13"/>
        <v>1000</v>
      </c>
      <c r="L33" s="340">
        <f t="shared" si="4"/>
        <v>55.758890663393629</v>
      </c>
    </row>
    <row r="34" spans="1:12">
      <c r="A34" s="332" t="s">
        <v>349</v>
      </c>
      <c r="B34" s="352">
        <f t="shared" si="11"/>
        <v>1.07</v>
      </c>
      <c r="C34" s="334">
        <f t="shared" si="0"/>
        <v>0.19703598945212944</v>
      </c>
      <c r="D34" s="335">
        <f t="shared" si="12"/>
        <v>61.337749492021999</v>
      </c>
      <c r="E34" s="335">
        <f t="shared" si="12"/>
        <v>52.301677623236927</v>
      </c>
      <c r="F34" s="336">
        <f>Inputs!$B$1</f>
        <v>0.75</v>
      </c>
      <c r="G34" s="335">
        <f t="shared" si="1"/>
        <v>193.99187894980776</v>
      </c>
      <c r="H34" s="337">
        <f>Inputs!$B$2</f>
        <v>0.60779639520399842</v>
      </c>
      <c r="I34" s="338">
        <f t="shared" si="2"/>
        <v>8.6241047180661182E-2</v>
      </c>
      <c r="J34" s="338">
        <f t="shared" si="3"/>
        <v>6.4335821196773238E-2</v>
      </c>
      <c r="K34" s="339">
        <f t="shared" si="13"/>
        <v>1000</v>
      </c>
      <c r="L34" s="340">
        <f t="shared" si="4"/>
        <v>48.251865897579933</v>
      </c>
    </row>
    <row r="35" spans="1:12">
      <c r="A35" s="332" t="s">
        <v>350</v>
      </c>
      <c r="B35" s="352">
        <f t="shared" si="11"/>
        <v>0.61621621621621625</v>
      </c>
      <c r="C35" s="334">
        <f t="shared" si="0"/>
        <v>0.11347361857813971</v>
      </c>
      <c r="D35" s="335">
        <f t="shared" si="12"/>
        <v>61.337749492021999</v>
      </c>
      <c r="E35" s="335">
        <f t="shared" si="12"/>
        <v>52.301677623236927</v>
      </c>
      <c r="F35" s="336">
        <f>Inputs!$B$1</f>
        <v>0.75</v>
      </c>
      <c r="G35" s="335">
        <f t="shared" si="1"/>
        <v>193.99187894980776</v>
      </c>
      <c r="H35" s="337">
        <f>Inputs!$B$2</f>
        <v>0.60779639520399842</v>
      </c>
      <c r="I35" s="338">
        <f t="shared" si="2"/>
        <v>4.96664782955058E-2</v>
      </c>
      <c r="J35" s="338">
        <f t="shared" si="3"/>
        <v>3.7051192808447327E-2</v>
      </c>
      <c r="K35" s="339">
        <f t="shared" si="13"/>
        <v>1000</v>
      </c>
      <c r="L35" s="340">
        <f t="shared" si="4"/>
        <v>27.788394606335494</v>
      </c>
    </row>
    <row r="36" spans="1:12">
      <c r="A36" s="332" t="s">
        <v>351</v>
      </c>
      <c r="B36" s="352">
        <f t="shared" si="11"/>
        <v>1.3755134615384614</v>
      </c>
      <c r="C36" s="334">
        <f t="shared" si="0"/>
        <v>0.25329500551304146</v>
      </c>
      <c r="D36" s="341">
        <f>Inputs!H16</f>
        <v>61.337749492021999</v>
      </c>
      <c r="E36" s="341">
        <f>Inputs!G16</f>
        <v>52.301677623236927</v>
      </c>
      <c r="F36" s="336">
        <f>Inputs!$B$1</f>
        <v>0.75</v>
      </c>
      <c r="G36" s="335">
        <f t="shared" si="1"/>
        <v>193.99187894980776</v>
      </c>
      <c r="H36" s="337">
        <f>Inputs!$B$2</f>
        <v>0.60779639520399842</v>
      </c>
      <c r="I36" s="338">
        <f t="shared" si="2"/>
        <v>0.11086516012539537</v>
      </c>
      <c r="J36" s="338">
        <f t="shared" si="3"/>
        <v>8.2705409453544945E-2</v>
      </c>
      <c r="K36" s="339">
        <f t="shared" si="13"/>
        <v>1000</v>
      </c>
      <c r="L36" s="340">
        <f t="shared" si="4"/>
        <v>62.029057090158709</v>
      </c>
    </row>
    <row r="37" spans="1:12">
      <c r="A37" s="332" t="s">
        <v>352</v>
      </c>
      <c r="B37" s="352">
        <f t="shared" si="11"/>
        <v>0.105</v>
      </c>
      <c r="C37" s="334">
        <f t="shared" si="0"/>
        <v>1.9335307376143543E-2</v>
      </c>
      <c r="D37" s="335">
        <f t="shared" ref="D37:E40" si="14">D36</f>
        <v>61.337749492021999</v>
      </c>
      <c r="E37" s="335">
        <f t="shared" si="14"/>
        <v>52.301677623236927</v>
      </c>
      <c r="F37" s="336">
        <f>Inputs!$B$1</f>
        <v>0.75</v>
      </c>
      <c r="G37" s="335">
        <f t="shared" si="1"/>
        <v>193.99187894980776</v>
      </c>
      <c r="H37" s="337">
        <f>Inputs!$B$2</f>
        <v>0.60779639520399842</v>
      </c>
      <c r="I37" s="338">
        <f t="shared" si="2"/>
        <v>8.462906499036844E-3</v>
      </c>
      <c r="J37" s="338">
        <f t="shared" si="3"/>
        <v>6.3133282482814856E-3</v>
      </c>
      <c r="K37" s="339">
        <f t="shared" si="13"/>
        <v>1000</v>
      </c>
      <c r="L37" s="340">
        <f t="shared" si="4"/>
        <v>4.7349961862111138</v>
      </c>
    </row>
    <row r="38" spans="1:12">
      <c r="A38" s="332" t="s">
        <v>353</v>
      </c>
      <c r="B38" s="352">
        <f t="shared" si="11"/>
        <v>0.105</v>
      </c>
      <c r="C38" s="334">
        <f t="shared" si="0"/>
        <v>1.9335307376143543E-2</v>
      </c>
      <c r="D38" s="335">
        <f t="shared" si="14"/>
        <v>61.337749492021999</v>
      </c>
      <c r="E38" s="335">
        <f t="shared" si="14"/>
        <v>52.301677623236927</v>
      </c>
      <c r="F38" s="336">
        <f>Inputs!$B$1</f>
        <v>0.75</v>
      </c>
      <c r="G38" s="335">
        <f t="shared" si="1"/>
        <v>193.99187894980776</v>
      </c>
      <c r="H38" s="337">
        <f>Inputs!$B$2</f>
        <v>0.60779639520399842</v>
      </c>
      <c r="I38" s="338">
        <f t="shared" si="2"/>
        <v>8.462906499036844E-3</v>
      </c>
      <c r="J38" s="338">
        <f t="shared" si="3"/>
        <v>6.3133282482814856E-3</v>
      </c>
      <c r="K38" s="339">
        <f t="shared" si="13"/>
        <v>1000</v>
      </c>
      <c r="L38" s="340">
        <f t="shared" si="4"/>
        <v>4.7349961862111138</v>
      </c>
    </row>
    <row r="39" spans="1:12">
      <c r="A39" s="332" t="s">
        <v>354</v>
      </c>
      <c r="B39" s="352">
        <f t="shared" si="11"/>
        <v>20</v>
      </c>
      <c r="C39" s="334">
        <f t="shared" si="0"/>
        <v>3.6829156906940081</v>
      </c>
      <c r="D39" s="335">
        <f t="shared" si="14"/>
        <v>61.337749492021999</v>
      </c>
      <c r="E39" s="335">
        <f t="shared" si="14"/>
        <v>52.301677623236927</v>
      </c>
      <c r="F39" s="336">
        <f>Inputs!$B$1</f>
        <v>0.75</v>
      </c>
      <c r="G39" s="335">
        <f t="shared" si="1"/>
        <v>193.99187894980776</v>
      </c>
      <c r="H39" s="337">
        <f>Inputs!$B$2</f>
        <v>0.60779639520399842</v>
      </c>
      <c r="I39" s="338">
        <f t="shared" si="2"/>
        <v>1.6119821902927323</v>
      </c>
      <c r="J39" s="338">
        <f t="shared" si="3"/>
        <v>1.2025387139583783</v>
      </c>
      <c r="K39" s="339">
        <f t="shared" si="13"/>
        <v>1000</v>
      </c>
      <c r="L39" s="340">
        <f t="shared" si="4"/>
        <v>901.90403546878383</v>
      </c>
    </row>
    <row r="40" spans="1:12" ht="13.5" thickBot="1">
      <c r="A40" s="342" t="s">
        <v>355</v>
      </c>
      <c r="B40" s="353">
        <f t="shared" si="11"/>
        <v>0.5</v>
      </c>
      <c r="C40" s="344">
        <f t="shared" si="0"/>
        <v>9.2072892267350201E-2</v>
      </c>
      <c r="D40" s="345">
        <f t="shared" si="14"/>
        <v>61.337749492021999</v>
      </c>
      <c r="E40" s="345">
        <f t="shared" si="14"/>
        <v>52.301677623236927</v>
      </c>
      <c r="F40" s="346">
        <f>Inputs!$B$1</f>
        <v>0.75</v>
      </c>
      <c r="G40" s="345">
        <f t="shared" si="1"/>
        <v>193.99187894980776</v>
      </c>
      <c r="H40" s="347">
        <f>Inputs!$B$2</f>
        <v>0.60779639520399842</v>
      </c>
      <c r="I40" s="348">
        <f t="shared" si="2"/>
        <v>4.0299554757318307E-2</v>
      </c>
      <c r="J40" s="348">
        <f t="shared" si="3"/>
        <v>3.0063467848959458E-2</v>
      </c>
      <c r="K40" s="349">
        <f t="shared" si="13"/>
        <v>1000</v>
      </c>
      <c r="L40" s="350">
        <f t="shared" si="4"/>
        <v>22.547600886719593</v>
      </c>
    </row>
    <row r="41" spans="1:12">
      <c r="A41" s="322" t="s">
        <v>356</v>
      </c>
      <c r="B41" s="351">
        <f t="shared" si="11"/>
        <v>0.4724259428852024</v>
      </c>
      <c r="C41" s="324">
        <f>(B41*60*K41)/(43560*7.48)</f>
        <v>0.19138954095171054</v>
      </c>
      <c r="D41" s="325">
        <f>Inputs!H18</f>
        <v>61.337749492021999</v>
      </c>
      <c r="E41" s="325">
        <f>Inputs!G18</f>
        <v>52.301677623236927</v>
      </c>
      <c r="F41" s="326">
        <f>Inputs!$B$1</f>
        <v>0.75</v>
      </c>
      <c r="G41" s="327">
        <f t="shared" si="1"/>
        <v>193.99187894980776</v>
      </c>
      <c r="H41" s="328">
        <f>Inputs!$B$2</f>
        <v>0.60779639520399842</v>
      </c>
      <c r="I41" s="329">
        <f t="shared" si="2"/>
        <v>3.8077110308159891E-2</v>
      </c>
      <c r="J41" s="329">
        <f t="shared" si="3"/>
        <v>2.8405524289887279E-2</v>
      </c>
      <c r="K41" s="330">
        <f>Inputs!I18</f>
        <v>2200</v>
      </c>
      <c r="L41" s="331">
        <f t="shared" si="4"/>
        <v>46.86911507831401</v>
      </c>
    </row>
    <row r="42" spans="1:12">
      <c r="A42" s="332" t="s">
        <v>357</v>
      </c>
      <c r="B42" s="352">
        <f t="shared" si="11"/>
        <v>0.4724259428852024</v>
      </c>
      <c r="C42" s="334">
        <f t="shared" si="0"/>
        <v>0.19138954095171054</v>
      </c>
      <c r="D42" s="335">
        <f t="shared" ref="D42:E48" si="15">D41</f>
        <v>61.337749492021999</v>
      </c>
      <c r="E42" s="335">
        <f t="shared" si="15"/>
        <v>52.301677623236927</v>
      </c>
      <c r="F42" s="336">
        <f>Inputs!$B$1</f>
        <v>0.75</v>
      </c>
      <c r="G42" s="335">
        <f t="shared" si="1"/>
        <v>193.99187894980776</v>
      </c>
      <c r="H42" s="337">
        <f>Inputs!$B$2</f>
        <v>0.60779639520399842</v>
      </c>
      <c r="I42" s="338">
        <f t="shared" si="2"/>
        <v>3.8077110308159891E-2</v>
      </c>
      <c r="J42" s="338">
        <f t="shared" si="3"/>
        <v>2.8405524289887279E-2</v>
      </c>
      <c r="K42" s="339">
        <f t="shared" ref="K42:K53" si="16">K41</f>
        <v>2200</v>
      </c>
      <c r="L42" s="340">
        <f t="shared" si="4"/>
        <v>46.86911507831401</v>
      </c>
    </row>
    <row r="43" spans="1:12">
      <c r="A43" s="332" t="s">
        <v>358</v>
      </c>
      <c r="B43" s="352">
        <f t="shared" si="11"/>
        <v>0.41530612244897963</v>
      </c>
      <c r="C43" s="334">
        <f t="shared" si="0"/>
        <v>0.16824911782894975</v>
      </c>
      <c r="D43" s="335">
        <f t="shared" si="15"/>
        <v>61.337749492021999</v>
      </c>
      <c r="E43" s="335">
        <f t="shared" si="15"/>
        <v>52.301677623236927</v>
      </c>
      <c r="F43" s="336">
        <f>Inputs!$B$1</f>
        <v>0.75</v>
      </c>
      <c r="G43" s="335">
        <f t="shared" si="1"/>
        <v>193.99187894980776</v>
      </c>
      <c r="H43" s="337">
        <f>Inputs!$B$2</f>
        <v>0.60779639520399842</v>
      </c>
      <c r="I43" s="338">
        <f t="shared" si="2"/>
        <v>3.347330364536439E-2</v>
      </c>
      <c r="J43" s="338">
        <f t="shared" si="3"/>
        <v>2.4971084519441834E-2</v>
      </c>
      <c r="K43" s="339">
        <f t="shared" si="16"/>
        <v>2200</v>
      </c>
      <c r="L43" s="340">
        <f t="shared" si="4"/>
        <v>41.202289457079026</v>
      </c>
    </row>
    <row r="44" spans="1:12">
      <c r="A44" s="332" t="s">
        <v>359</v>
      </c>
      <c r="B44" s="352">
        <f t="shared" si="11"/>
        <v>2.4850000000000003</v>
      </c>
      <c r="C44" s="334">
        <f t="shared" si="0"/>
        <v>1.0067250040512072</v>
      </c>
      <c r="D44" s="335">
        <f t="shared" si="15"/>
        <v>61.337749492021999</v>
      </c>
      <c r="E44" s="335">
        <f t="shared" si="15"/>
        <v>52.301677623236927</v>
      </c>
      <c r="F44" s="336">
        <f>Inputs!$B$1</f>
        <v>0.75</v>
      </c>
      <c r="G44" s="335">
        <f t="shared" si="1"/>
        <v>193.99187894980776</v>
      </c>
      <c r="H44" s="337">
        <f>Inputs!$B$2</f>
        <v>0.60779639520399842</v>
      </c>
      <c r="I44" s="338">
        <f t="shared" si="2"/>
        <v>0.20028878714387199</v>
      </c>
      <c r="J44" s="338">
        <f t="shared" si="3"/>
        <v>0.14941543520932851</v>
      </c>
      <c r="K44" s="339">
        <f t="shared" si="16"/>
        <v>2200</v>
      </c>
      <c r="L44" s="340">
        <f t="shared" si="4"/>
        <v>246.53546809539205</v>
      </c>
    </row>
    <row r="45" spans="1:12">
      <c r="A45" s="332" t="s">
        <v>360</v>
      </c>
      <c r="B45" s="156">
        <f t="shared" si="11"/>
        <v>2.5755263157894732</v>
      </c>
      <c r="C45" s="334">
        <f t="shared" si="0"/>
        <v>1.043399090823802</v>
      </c>
      <c r="D45" s="335">
        <f t="shared" si="15"/>
        <v>61.337749492021999</v>
      </c>
      <c r="E45" s="335">
        <f t="shared" si="15"/>
        <v>52.301677623236927</v>
      </c>
      <c r="F45" s="336">
        <f>Inputs!$B$1</f>
        <v>0.75</v>
      </c>
      <c r="G45" s="335">
        <f t="shared" si="1"/>
        <v>193.99187894980776</v>
      </c>
      <c r="H45" s="337">
        <f>Inputs!$B$2</f>
        <v>0.60779639520399842</v>
      </c>
      <c r="I45" s="338">
        <f t="shared" si="2"/>
        <v>0.20758512758414432</v>
      </c>
      <c r="J45" s="338">
        <f t="shared" si="3"/>
        <v>0.15485850517777167</v>
      </c>
      <c r="K45" s="339">
        <f t="shared" si="16"/>
        <v>2200</v>
      </c>
      <c r="L45" s="340">
        <f t="shared" si="4"/>
        <v>255.51653354332325</v>
      </c>
    </row>
    <row r="46" spans="1:12">
      <c r="A46" s="332" t="s">
        <v>361</v>
      </c>
      <c r="B46" s="352">
        <f t="shared" si="11"/>
        <v>1.2364705882352942</v>
      </c>
      <c r="C46" s="334">
        <f t="shared" si="0"/>
        <v>0.50091986235427566</v>
      </c>
      <c r="D46" s="335">
        <f t="shared" si="15"/>
        <v>61.337749492021999</v>
      </c>
      <c r="E46" s="335">
        <f t="shared" si="15"/>
        <v>52.301677623236927</v>
      </c>
      <c r="F46" s="336">
        <f>Inputs!$B$1</f>
        <v>0.75</v>
      </c>
      <c r="G46" s="335">
        <f t="shared" si="1"/>
        <v>193.99187894980776</v>
      </c>
      <c r="H46" s="337">
        <f>Inputs!$B$2</f>
        <v>0.60779639520399842</v>
      </c>
      <c r="I46" s="338">
        <f t="shared" si="2"/>
        <v>9.9658428352803627E-2</v>
      </c>
      <c r="J46" s="338">
        <f t="shared" si="3"/>
        <v>7.4345187551191502E-2</v>
      </c>
      <c r="K46" s="339">
        <f t="shared" si="16"/>
        <v>2200</v>
      </c>
      <c r="L46" s="340">
        <f t="shared" si="4"/>
        <v>122.66955945946599</v>
      </c>
    </row>
    <row r="47" spans="1:12">
      <c r="A47" s="332" t="s">
        <v>362</v>
      </c>
      <c r="B47" s="352">
        <f t="shared" si="11"/>
        <v>1.07</v>
      </c>
      <c r="C47" s="334">
        <f t="shared" si="0"/>
        <v>0.43347917679468473</v>
      </c>
      <c r="D47" s="335">
        <f t="shared" si="15"/>
        <v>61.337749492021999</v>
      </c>
      <c r="E47" s="335">
        <f t="shared" si="15"/>
        <v>52.301677623236927</v>
      </c>
      <c r="F47" s="336">
        <f>Inputs!$B$1</f>
        <v>0.75</v>
      </c>
      <c r="G47" s="335">
        <f t="shared" si="1"/>
        <v>193.99187894980776</v>
      </c>
      <c r="H47" s="337">
        <f>Inputs!$B$2</f>
        <v>0.60779639520399842</v>
      </c>
      <c r="I47" s="338">
        <f t="shared" si="2"/>
        <v>8.6241047180661182E-2</v>
      </c>
      <c r="J47" s="338">
        <f t="shared" si="3"/>
        <v>6.4335821196773238E-2</v>
      </c>
      <c r="K47" s="339">
        <f t="shared" si="16"/>
        <v>2200</v>
      </c>
      <c r="L47" s="340">
        <f t="shared" si="4"/>
        <v>106.15410497467585</v>
      </c>
    </row>
    <row r="48" spans="1:12">
      <c r="A48" s="332" t="s">
        <v>363</v>
      </c>
      <c r="B48" s="352">
        <f t="shared" si="11"/>
        <v>0.61621621621621625</v>
      </c>
      <c r="C48" s="334">
        <f t="shared" si="0"/>
        <v>0.24964196087190738</v>
      </c>
      <c r="D48" s="335">
        <f t="shared" si="15"/>
        <v>61.337749492021999</v>
      </c>
      <c r="E48" s="335">
        <f t="shared" si="15"/>
        <v>52.301677623236927</v>
      </c>
      <c r="F48" s="336">
        <f>Inputs!$B$1</f>
        <v>0.75</v>
      </c>
      <c r="G48" s="335">
        <f t="shared" si="1"/>
        <v>193.99187894980776</v>
      </c>
      <c r="H48" s="337">
        <f>Inputs!$B$2</f>
        <v>0.60779639520399842</v>
      </c>
      <c r="I48" s="338">
        <f t="shared" si="2"/>
        <v>4.96664782955058E-2</v>
      </c>
      <c r="J48" s="338">
        <f t="shared" si="3"/>
        <v>3.7051192808447327E-2</v>
      </c>
      <c r="K48" s="339">
        <f t="shared" si="16"/>
        <v>2200</v>
      </c>
      <c r="L48" s="340">
        <f t="shared" si="4"/>
        <v>61.134468133938086</v>
      </c>
    </row>
    <row r="49" spans="1:12">
      <c r="A49" s="332" t="s">
        <v>364</v>
      </c>
      <c r="B49" s="352">
        <f t="shared" si="11"/>
        <v>1.3755134615384614</v>
      </c>
      <c r="C49" s="334">
        <f t="shared" si="0"/>
        <v>0.55724901212869116</v>
      </c>
      <c r="D49" s="341">
        <f>Inputs!H20</f>
        <v>61.337749492021999</v>
      </c>
      <c r="E49" s="341">
        <f>Inputs!G20</f>
        <v>52.301677623236927</v>
      </c>
      <c r="F49" s="336">
        <f>Inputs!$B$1</f>
        <v>0.75</v>
      </c>
      <c r="G49" s="335">
        <f t="shared" si="1"/>
        <v>193.99187894980776</v>
      </c>
      <c r="H49" s="337">
        <f>Inputs!$B$2</f>
        <v>0.60779639520399842</v>
      </c>
      <c r="I49" s="338">
        <f t="shared" si="2"/>
        <v>0.11086516012539537</v>
      </c>
      <c r="J49" s="338">
        <f t="shared" si="3"/>
        <v>8.2705409453544945E-2</v>
      </c>
      <c r="K49" s="339">
        <f t="shared" si="16"/>
        <v>2200</v>
      </c>
      <c r="L49" s="340">
        <f t="shared" si="4"/>
        <v>136.46392559834916</v>
      </c>
    </row>
    <row r="50" spans="1:12">
      <c r="A50" s="332" t="s">
        <v>365</v>
      </c>
      <c r="B50" s="352">
        <f t="shared" si="11"/>
        <v>0.105</v>
      </c>
      <c r="C50" s="334">
        <f t="shared" si="0"/>
        <v>4.2537676227515794E-2</v>
      </c>
      <c r="D50" s="335">
        <f t="shared" ref="D50:E53" si="17">D49</f>
        <v>61.337749492021999</v>
      </c>
      <c r="E50" s="335">
        <f t="shared" si="17"/>
        <v>52.301677623236927</v>
      </c>
      <c r="F50" s="336">
        <f>Inputs!$B$1</f>
        <v>0.75</v>
      </c>
      <c r="G50" s="335">
        <f t="shared" si="1"/>
        <v>193.99187894980776</v>
      </c>
      <c r="H50" s="337">
        <f>Inputs!$B$2</f>
        <v>0.60779639520399842</v>
      </c>
      <c r="I50" s="338">
        <f t="shared" si="2"/>
        <v>8.462906499036844E-3</v>
      </c>
      <c r="J50" s="338">
        <f t="shared" si="3"/>
        <v>6.3133282482814856E-3</v>
      </c>
      <c r="K50" s="339">
        <f t="shared" si="16"/>
        <v>2200</v>
      </c>
      <c r="L50" s="340">
        <f t="shared" si="4"/>
        <v>10.41699160966445</v>
      </c>
    </row>
    <row r="51" spans="1:12">
      <c r="A51" s="332" t="s">
        <v>366</v>
      </c>
      <c r="B51" s="352">
        <f t="shared" si="11"/>
        <v>0.105</v>
      </c>
      <c r="C51" s="334">
        <f t="shared" si="0"/>
        <v>4.2537676227515794E-2</v>
      </c>
      <c r="D51" s="335">
        <f t="shared" si="17"/>
        <v>61.337749492021999</v>
      </c>
      <c r="E51" s="335">
        <f t="shared" si="17"/>
        <v>52.301677623236927</v>
      </c>
      <c r="F51" s="336">
        <f>Inputs!$B$1</f>
        <v>0.75</v>
      </c>
      <c r="G51" s="335">
        <f t="shared" si="1"/>
        <v>193.99187894980776</v>
      </c>
      <c r="H51" s="337">
        <f>Inputs!$B$2</f>
        <v>0.60779639520399842</v>
      </c>
      <c r="I51" s="338">
        <f t="shared" si="2"/>
        <v>8.462906499036844E-3</v>
      </c>
      <c r="J51" s="338">
        <f t="shared" si="3"/>
        <v>6.3133282482814856E-3</v>
      </c>
      <c r="K51" s="339">
        <f t="shared" si="16"/>
        <v>2200</v>
      </c>
      <c r="L51" s="340">
        <f t="shared" si="4"/>
        <v>10.41699160966445</v>
      </c>
    </row>
    <row r="52" spans="1:12">
      <c r="A52" s="332" t="s">
        <v>367</v>
      </c>
      <c r="B52" s="352">
        <f t="shared" si="11"/>
        <v>20</v>
      </c>
      <c r="C52" s="334">
        <f t="shared" si="0"/>
        <v>8.1024145195268176</v>
      </c>
      <c r="D52" s="335">
        <f t="shared" si="17"/>
        <v>61.337749492021999</v>
      </c>
      <c r="E52" s="335">
        <f t="shared" si="17"/>
        <v>52.301677623236927</v>
      </c>
      <c r="F52" s="336">
        <f>Inputs!$B$1</f>
        <v>0.75</v>
      </c>
      <c r="G52" s="335">
        <f t="shared" si="1"/>
        <v>193.99187894980776</v>
      </c>
      <c r="H52" s="337">
        <f>Inputs!$B$2</f>
        <v>0.60779639520399842</v>
      </c>
      <c r="I52" s="338">
        <f t="shared" si="2"/>
        <v>1.6119821902927323</v>
      </c>
      <c r="J52" s="338">
        <f t="shared" si="3"/>
        <v>1.2025387139583783</v>
      </c>
      <c r="K52" s="339">
        <f t="shared" si="16"/>
        <v>2200</v>
      </c>
      <c r="L52" s="340">
        <f t="shared" si="4"/>
        <v>1984.1888780313241</v>
      </c>
    </row>
    <row r="53" spans="1:12" ht="13.5" thickBot="1">
      <c r="A53" s="342" t="s">
        <v>368</v>
      </c>
      <c r="B53" s="353">
        <f t="shared" si="11"/>
        <v>0.5</v>
      </c>
      <c r="C53" s="344">
        <f t="shared" si="0"/>
        <v>0.20256036298817046</v>
      </c>
      <c r="D53" s="345">
        <f t="shared" si="17"/>
        <v>61.337749492021999</v>
      </c>
      <c r="E53" s="345">
        <f t="shared" si="17"/>
        <v>52.301677623236927</v>
      </c>
      <c r="F53" s="346">
        <f>Inputs!$B$1</f>
        <v>0.75</v>
      </c>
      <c r="G53" s="345">
        <f t="shared" si="1"/>
        <v>193.99187894980776</v>
      </c>
      <c r="H53" s="347">
        <f>Inputs!$B$2</f>
        <v>0.60779639520399842</v>
      </c>
      <c r="I53" s="348">
        <f t="shared" si="2"/>
        <v>4.0299554757318307E-2</v>
      </c>
      <c r="J53" s="348">
        <f t="shared" si="3"/>
        <v>3.0063467848959458E-2</v>
      </c>
      <c r="K53" s="349">
        <f t="shared" si="16"/>
        <v>2200</v>
      </c>
      <c r="L53" s="350">
        <f t="shared" si="4"/>
        <v>49.604721950783102</v>
      </c>
    </row>
    <row r="54" spans="1:12">
      <c r="A54" s="322" t="s">
        <v>369</v>
      </c>
      <c r="B54" s="351">
        <f t="shared" si="11"/>
        <v>0.4724259428852024</v>
      </c>
      <c r="C54" s="324">
        <f>(B54*60*K54)/(43560*7.48)</f>
        <v>3.6451008026712146E-2</v>
      </c>
      <c r="D54" s="325">
        <f>Inputs!H22</f>
        <v>45.876563998420487</v>
      </c>
      <c r="E54" s="325">
        <f>Inputs!G22</f>
        <v>24.97968917470525</v>
      </c>
      <c r="F54" s="326">
        <f>Inputs!$B$1</f>
        <v>0.75</v>
      </c>
      <c r="G54" s="327">
        <f t="shared" si="1"/>
        <v>130.95455201105656</v>
      </c>
      <c r="H54" s="328">
        <f>Inputs!$B$2</f>
        <v>0.60779639520399842</v>
      </c>
      <c r="I54" s="329">
        <f t="shared" si="2"/>
        <v>2.5704018896434342E-2</v>
      </c>
      <c r="J54" s="329">
        <f t="shared" si="3"/>
        <v>1.917519809674002E-2</v>
      </c>
      <c r="K54" s="330">
        <f>Inputs!I22</f>
        <v>419</v>
      </c>
      <c r="L54" s="331">
        <f t="shared" si="4"/>
        <v>6.025806001900551</v>
      </c>
    </row>
    <row r="55" spans="1:12">
      <c r="A55" s="332" t="s">
        <v>370</v>
      </c>
      <c r="B55" s="352">
        <f t="shared" si="11"/>
        <v>0.4724259428852024</v>
      </c>
      <c r="C55" s="334">
        <f t="shared" si="0"/>
        <v>3.6451008026712146E-2</v>
      </c>
      <c r="D55" s="335">
        <f t="shared" ref="D55:E61" si="18">D54</f>
        <v>45.876563998420487</v>
      </c>
      <c r="E55" s="335">
        <f t="shared" si="18"/>
        <v>24.97968917470525</v>
      </c>
      <c r="F55" s="336">
        <f>Inputs!$B$1</f>
        <v>0.75</v>
      </c>
      <c r="G55" s="335">
        <f t="shared" si="1"/>
        <v>130.95455201105656</v>
      </c>
      <c r="H55" s="337">
        <f>Inputs!$B$2</f>
        <v>0.60779639520399842</v>
      </c>
      <c r="I55" s="338">
        <f t="shared" si="2"/>
        <v>2.5704018896434342E-2</v>
      </c>
      <c r="J55" s="338">
        <f t="shared" si="3"/>
        <v>1.917519809674002E-2</v>
      </c>
      <c r="K55" s="339">
        <f t="shared" ref="K55:K66" si="19">K54</f>
        <v>419</v>
      </c>
      <c r="L55" s="340">
        <f t="shared" si="4"/>
        <v>6.025806001900551</v>
      </c>
    </row>
    <row r="56" spans="1:12">
      <c r="A56" s="332" t="s">
        <v>371</v>
      </c>
      <c r="B56" s="352">
        <f t="shared" si="11"/>
        <v>0.41530612244897963</v>
      </c>
      <c r="C56" s="334">
        <f t="shared" si="0"/>
        <v>3.2043809259240878E-2</v>
      </c>
      <c r="D56" s="335">
        <f t="shared" si="18"/>
        <v>45.876563998420487</v>
      </c>
      <c r="E56" s="335">
        <f t="shared" si="18"/>
        <v>24.97968917470525</v>
      </c>
      <c r="F56" s="336">
        <f>Inputs!$B$1</f>
        <v>0.75</v>
      </c>
      <c r="G56" s="335">
        <f t="shared" si="1"/>
        <v>130.95455201105656</v>
      </c>
      <c r="H56" s="337">
        <f>Inputs!$B$2</f>
        <v>0.60779639520399842</v>
      </c>
      <c r="I56" s="338">
        <f t="shared" si="2"/>
        <v>2.2596211279251103E-2</v>
      </c>
      <c r="J56" s="338">
        <f t="shared" si="3"/>
        <v>1.6856773614321321E-2</v>
      </c>
      <c r="K56" s="339">
        <f t="shared" si="19"/>
        <v>419</v>
      </c>
      <c r="L56" s="340">
        <f t="shared" si="4"/>
        <v>5.2972411083004749</v>
      </c>
    </row>
    <row r="57" spans="1:12">
      <c r="A57" s="332" t="s">
        <v>372</v>
      </c>
      <c r="B57" s="352">
        <f t="shared" si="11"/>
        <v>2.4850000000000003</v>
      </c>
      <c r="C57" s="334">
        <f t="shared" si="0"/>
        <v>0.19173535304429812</v>
      </c>
      <c r="D57" s="335">
        <f t="shared" si="18"/>
        <v>45.876563998420487</v>
      </c>
      <c r="E57" s="335">
        <f t="shared" si="18"/>
        <v>24.97968917470525</v>
      </c>
      <c r="F57" s="336">
        <f>Inputs!$B$1</f>
        <v>0.75</v>
      </c>
      <c r="G57" s="335">
        <f t="shared" si="1"/>
        <v>130.95455201105656</v>
      </c>
      <c r="H57" s="337">
        <f>Inputs!$B$2</f>
        <v>0.60779639520399842</v>
      </c>
      <c r="I57" s="338">
        <f t="shared" si="2"/>
        <v>0.13520529073307178</v>
      </c>
      <c r="J57" s="338">
        <f t="shared" si="3"/>
        <v>0.10086314688687155</v>
      </c>
      <c r="K57" s="339">
        <f t="shared" si="19"/>
        <v>419</v>
      </c>
      <c r="L57" s="340">
        <f t="shared" si="4"/>
        <v>31.696243909199389</v>
      </c>
    </row>
    <row r="58" spans="1:12">
      <c r="A58" s="332" t="s">
        <v>373</v>
      </c>
      <c r="B58" s="156">
        <f t="shared" si="11"/>
        <v>2.5755263157894732</v>
      </c>
      <c r="C58" s="334">
        <f t="shared" si="0"/>
        <v>0.19872009957053322</v>
      </c>
      <c r="D58" s="335">
        <f t="shared" si="18"/>
        <v>45.876563998420487</v>
      </c>
      <c r="E58" s="335">
        <f t="shared" si="18"/>
        <v>24.97968917470525</v>
      </c>
      <c r="F58" s="336">
        <f>Inputs!$B$1</f>
        <v>0.75</v>
      </c>
      <c r="G58" s="335">
        <f t="shared" si="1"/>
        <v>130.95455201105656</v>
      </c>
      <c r="H58" s="337">
        <f>Inputs!$B$2</f>
        <v>0.60779639520399842</v>
      </c>
      <c r="I58" s="338">
        <f t="shared" si="2"/>
        <v>0.14013069791428284</v>
      </c>
      <c r="J58" s="338">
        <f t="shared" si="3"/>
        <v>0.104537500644055</v>
      </c>
      <c r="K58" s="339">
        <f t="shared" si="19"/>
        <v>419</v>
      </c>
      <c r="L58" s="340">
        <f t="shared" si="4"/>
        <v>32.850909577394283</v>
      </c>
    </row>
    <row r="59" spans="1:12">
      <c r="A59" s="332" t="s">
        <v>374</v>
      </c>
      <c r="B59" s="352">
        <f t="shared" si="11"/>
        <v>1.2364705882352942</v>
      </c>
      <c r="C59" s="334">
        <f t="shared" si="0"/>
        <v>9.5402464693837036E-2</v>
      </c>
      <c r="D59" s="335">
        <f t="shared" si="18"/>
        <v>45.876563998420487</v>
      </c>
      <c r="E59" s="335">
        <f t="shared" si="18"/>
        <v>24.97968917470525</v>
      </c>
      <c r="F59" s="336">
        <f>Inputs!$B$1</f>
        <v>0.75</v>
      </c>
      <c r="G59" s="335">
        <f t="shared" si="1"/>
        <v>130.95455201105656</v>
      </c>
      <c r="H59" s="337">
        <f>Inputs!$B$2</f>
        <v>0.60779639520399842</v>
      </c>
      <c r="I59" s="338">
        <f t="shared" si="2"/>
        <v>6.7274593708348165E-2</v>
      </c>
      <c r="J59" s="338">
        <f t="shared" si="3"/>
        <v>5.0186846906427732E-2</v>
      </c>
      <c r="K59" s="339">
        <f t="shared" si="19"/>
        <v>419</v>
      </c>
      <c r="L59" s="340">
        <f t="shared" si="4"/>
        <v>15.771216640344916</v>
      </c>
    </row>
    <row r="60" spans="1:12">
      <c r="A60" s="332" t="s">
        <v>375</v>
      </c>
      <c r="B60" s="352">
        <f t="shared" si="11"/>
        <v>1.07</v>
      </c>
      <c r="C60" s="334">
        <f t="shared" si="0"/>
        <v>8.2558079580442242E-2</v>
      </c>
      <c r="D60" s="335">
        <f t="shared" si="18"/>
        <v>45.876563998420487</v>
      </c>
      <c r="E60" s="335">
        <f t="shared" si="18"/>
        <v>24.97968917470525</v>
      </c>
      <c r="F60" s="336">
        <f>Inputs!$B$1</f>
        <v>0.75</v>
      </c>
      <c r="G60" s="335">
        <f t="shared" si="1"/>
        <v>130.95455201105656</v>
      </c>
      <c r="H60" s="337">
        <f>Inputs!$B$2</f>
        <v>0.60779639520399842</v>
      </c>
      <c r="I60" s="338">
        <f t="shared" si="2"/>
        <v>5.8217167438385016E-2</v>
      </c>
      <c r="J60" s="338">
        <f t="shared" si="3"/>
        <v>4.3430006909035222E-2</v>
      </c>
      <c r="K60" s="339">
        <f t="shared" si="19"/>
        <v>419</v>
      </c>
      <c r="L60" s="340">
        <f t="shared" si="4"/>
        <v>13.647879671164318</v>
      </c>
    </row>
    <row r="61" spans="1:12">
      <c r="A61" s="332" t="s">
        <v>376</v>
      </c>
      <c r="B61" s="352">
        <f t="shared" si="11"/>
        <v>0.61621621621621625</v>
      </c>
      <c r="C61" s="334">
        <f t="shared" si="0"/>
        <v>4.7545446184240545E-2</v>
      </c>
      <c r="D61" s="335">
        <f t="shared" si="18"/>
        <v>45.876563998420487</v>
      </c>
      <c r="E61" s="335">
        <f t="shared" si="18"/>
        <v>24.97968917470525</v>
      </c>
      <c r="F61" s="336">
        <f>Inputs!$B$1</f>
        <v>0.75</v>
      </c>
      <c r="G61" s="335">
        <f t="shared" si="1"/>
        <v>130.95455201105656</v>
      </c>
      <c r="H61" s="337">
        <f>Inputs!$B$2</f>
        <v>0.60779639520399842</v>
      </c>
      <c r="I61" s="338">
        <f t="shared" si="2"/>
        <v>3.3527441717483668E-2</v>
      </c>
      <c r="J61" s="338">
        <f t="shared" si="3"/>
        <v>2.5011471521242817E-2</v>
      </c>
      <c r="K61" s="339">
        <f t="shared" si="19"/>
        <v>419</v>
      </c>
      <c r="L61" s="340">
        <f t="shared" si="4"/>
        <v>7.8598549255505548</v>
      </c>
    </row>
    <row r="62" spans="1:12">
      <c r="A62" s="332" t="s">
        <v>377</v>
      </c>
      <c r="B62" s="352">
        <f t="shared" si="11"/>
        <v>1.3755134615384614</v>
      </c>
      <c r="C62" s="334">
        <f t="shared" si="0"/>
        <v>0.10613060730996436</v>
      </c>
      <c r="D62" s="341">
        <f>Inputs!H24</f>
        <v>60.103125176284763</v>
      </c>
      <c r="E62" s="341">
        <f>Inputs!G24</f>
        <v>24.97968917470525</v>
      </c>
      <c r="F62" s="336">
        <f>Inputs!$B$1</f>
        <v>0.75</v>
      </c>
      <c r="G62" s="335">
        <f t="shared" si="1"/>
        <v>163.81790833192304</v>
      </c>
      <c r="H62" s="337">
        <f>Inputs!$B$2</f>
        <v>0.60779639520399842</v>
      </c>
      <c r="I62" s="338">
        <f t="shared" si="2"/>
        <v>9.3620922365131726E-2</v>
      </c>
      <c r="J62" s="338">
        <f t="shared" si="3"/>
        <v>6.9841208084388262E-2</v>
      </c>
      <c r="K62" s="339">
        <f t="shared" si="19"/>
        <v>419</v>
      </c>
      <c r="L62" s="340">
        <f t="shared" si="4"/>
        <v>21.947599640519009</v>
      </c>
    </row>
    <row r="63" spans="1:12">
      <c r="A63" s="332" t="s">
        <v>378</v>
      </c>
      <c r="B63" s="352">
        <f t="shared" si="11"/>
        <v>0.105</v>
      </c>
      <c r="C63" s="334">
        <f t="shared" si="0"/>
        <v>8.1014937906041442E-3</v>
      </c>
      <c r="D63" s="335">
        <f t="shared" ref="D63:E66" si="20">D62</f>
        <v>60.103125176284763</v>
      </c>
      <c r="E63" s="335">
        <f t="shared" si="20"/>
        <v>24.97968917470525</v>
      </c>
      <c r="F63" s="336">
        <f>Inputs!$B$1</f>
        <v>0.75</v>
      </c>
      <c r="G63" s="335">
        <f t="shared" si="1"/>
        <v>163.81790833192304</v>
      </c>
      <c r="H63" s="337">
        <f>Inputs!$B$2</f>
        <v>0.60779639520399842</v>
      </c>
      <c r="I63" s="338">
        <f t="shared" si="2"/>
        <v>7.1465653541071981E-3</v>
      </c>
      <c r="J63" s="338">
        <f t="shared" si="3"/>
        <v>5.3313377541639694E-3</v>
      </c>
      <c r="K63" s="339">
        <f t="shared" si="19"/>
        <v>419</v>
      </c>
      <c r="L63" s="340">
        <f t="shared" si="4"/>
        <v>1.6753728892460273</v>
      </c>
    </row>
    <row r="64" spans="1:12">
      <c r="A64" s="332" t="s">
        <v>379</v>
      </c>
      <c r="B64" s="352">
        <f t="shared" si="11"/>
        <v>0.105</v>
      </c>
      <c r="C64" s="334">
        <f t="shared" si="0"/>
        <v>8.1014937906041442E-3</v>
      </c>
      <c r="D64" s="335">
        <f t="shared" si="20"/>
        <v>60.103125176284763</v>
      </c>
      <c r="E64" s="335">
        <f t="shared" si="20"/>
        <v>24.97968917470525</v>
      </c>
      <c r="F64" s="336">
        <f>Inputs!$B$1</f>
        <v>0.75</v>
      </c>
      <c r="G64" s="335">
        <f t="shared" si="1"/>
        <v>163.81790833192304</v>
      </c>
      <c r="H64" s="337">
        <f>Inputs!$B$2</f>
        <v>0.60779639520399842</v>
      </c>
      <c r="I64" s="338">
        <f t="shared" si="2"/>
        <v>7.1465653541071981E-3</v>
      </c>
      <c r="J64" s="338">
        <f t="shared" si="3"/>
        <v>5.3313377541639694E-3</v>
      </c>
      <c r="K64" s="339">
        <f t="shared" si="19"/>
        <v>419</v>
      </c>
      <c r="L64" s="340">
        <f t="shared" si="4"/>
        <v>1.6753728892460273</v>
      </c>
    </row>
    <row r="65" spans="1:12">
      <c r="A65" s="332" t="s">
        <v>380</v>
      </c>
      <c r="B65" s="352">
        <f t="shared" si="11"/>
        <v>20</v>
      </c>
      <c r="C65" s="334">
        <f t="shared" si="0"/>
        <v>1.5431416744007893</v>
      </c>
      <c r="D65" s="335">
        <f t="shared" si="20"/>
        <v>60.103125176284763</v>
      </c>
      <c r="E65" s="335">
        <f t="shared" si="20"/>
        <v>24.97968917470525</v>
      </c>
      <c r="F65" s="336">
        <f>Inputs!$B$1</f>
        <v>0.75</v>
      </c>
      <c r="G65" s="335">
        <f t="shared" si="1"/>
        <v>163.81790833192304</v>
      </c>
      <c r="H65" s="337">
        <f>Inputs!$B$2</f>
        <v>0.60779639520399842</v>
      </c>
      <c r="I65" s="338">
        <f t="shared" si="2"/>
        <v>1.3612505436394662</v>
      </c>
      <c r="J65" s="338">
        <f t="shared" si="3"/>
        <v>1.0154929055550417</v>
      </c>
      <c r="K65" s="339">
        <f t="shared" si="19"/>
        <v>419</v>
      </c>
      <c r="L65" s="340">
        <f t="shared" si="4"/>
        <v>319.11864557067184</v>
      </c>
    </row>
    <row r="66" spans="1:12" ht="13.5" thickBot="1">
      <c r="A66" s="342" t="s">
        <v>381</v>
      </c>
      <c r="B66" s="353">
        <f t="shared" si="11"/>
        <v>0.5</v>
      </c>
      <c r="C66" s="344">
        <f t="shared" ref="C66" si="21">(B66*60*K66)/(43560*7.48)</f>
        <v>3.8578541860019737E-2</v>
      </c>
      <c r="D66" s="345">
        <f t="shared" si="20"/>
        <v>60.103125176284763</v>
      </c>
      <c r="E66" s="345">
        <f t="shared" si="20"/>
        <v>24.97968917470525</v>
      </c>
      <c r="F66" s="346">
        <f>Inputs!$B$1</f>
        <v>0.75</v>
      </c>
      <c r="G66" s="345">
        <f t="shared" ref="G66" si="22">D66*2.31+E66</f>
        <v>163.81790833192304</v>
      </c>
      <c r="H66" s="347">
        <f>Inputs!$B$2</f>
        <v>0.60779639520399842</v>
      </c>
      <c r="I66" s="348">
        <f t="shared" ref="I66" si="23">B66*G66/3960/H66</f>
        <v>3.4031263590986655E-2</v>
      </c>
      <c r="J66" s="348">
        <f t="shared" ref="J66" si="24">I66*0.746</f>
        <v>2.5387322638876043E-2</v>
      </c>
      <c r="K66" s="349">
        <f t="shared" si="19"/>
        <v>419</v>
      </c>
      <c r="L66" s="350">
        <f t="shared" ref="L66" si="25">J66*K66*F66</f>
        <v>7.9779661392667967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12"/>
  <dimension ref="A1:Z136"/>
  <sheetViews>
    <sheetView showGridLines="0" zoomScale="80" zoomScaleNormal="80" workbookViewId="0">
      <selection activeCell="A3" sqref="A3"/>
    </sheetView>
  </sheetViews>
  <sheetFormatPr defaultRowHeight="12.75"/>
  <cols>
    <col min="1" max="1" width="31" style="97" customWidth="1"/>
    <col min="2" max="2" width="23.5703125" style="100" customWidth="1"/>
    <col min="3" max="3" width="14.7109375" style="97" customWidth="1"/>
    <col min="4" max="4" width="24.140625" style="97" bestFit="1" customWidth="1"/>
    <col min="5" max="5" width="13.42578125" style="98" customWidth="1"/>
    <col min="6" max="6" width="13.42578125" style="97" customWidth="1"/>
    <col min="7" max="7" width="13.42578125" style="99" customWidth="1"/>
    <col min="8" max="10" width="13.42578125" style="100" customWidth="1"/>
    <col min="11" max="14" width="11.85546875" style="100" customWidth="1"/>
    <col min="15" max="15" width="9.28515625" style="100" bestFit="1" customWidth="1"/>
    <col min="16" max="16" width="6.42578125" style="100" customWidth="1"/>
    <col min="17" max="17" width="8.7109375" style="100" customWidth="1"/>
    <col min="18" max="18" width="13.85546875" style="100" bestFit="1" customWidth="1"/>
    <col min="19" max="19" width="9" style="100" bestFit="1" customWidth="1"/>
    <col min="20" max="20" width="9.7109375" style="100" bestFit="1" customWidth="1"/>
    <col min="21" max="21" width="9.28515625" style="100" bestFit="1" customWidth="1"/>
    <col min="22" max="22" width="5.140625" style="100" bestFit="1" customWidth="1"/>
    <col min="23" max="23" width="5" style="100" bestFit="1" customWidth="1"/>
    <col min="24" max="24" width="14.42578125" style="100" customWidth="1"/>
    <col min="25" max="25" width="9.42578125" style="100" customWidth="1"/>
    <col min="26" max="26" width="9.140625" style="225"/>
    <col min="27" max="16384" width="9.140625" style="97"/>
  </cols>
  <sheetData>
    <row r="1" spans="1:26" ht="20.25" customHeight="1">
      <c r="A1" s="95" t="s">
        <v>130</v>
      </c>
      <c r="B1" s="96">
        <v>0.75</v>
      </c>
      <c r="P1" s="101"/>
      <c r="Z1" s="97"/>
    </row>
    <row r="2" spans="1:26" ht="20.25" customHeight="1">
      <c r="A2" s="95" t="s">
        <v>131</v>
      </c>
      <c r="B2" s="96">
        <f>(PacifiCorp!H11*PacifiCorp!D6+BPAPumpTests!H2/100*BPAPumpTests!H3)/(PacifiCorp!D6+BPAPumpTests!H3)</f>
        <v>0.60779639520399842</v>
      </c>
      <c r="Z2" s="97"/>
    </row>
    <row r="3" spans="1:26">
      <c r="A3" s="95" t="s">
        <v>307</v>
      </c>
      <c r="B3" s="96">
        <v>1</v>
      </c>
      <c r="Z3" s="97"/>
    </row>
    <row r="4" spans="1:26" ht="13.5" thickBot="1">
      <c r="Z4" s="97"/>
    </row>
    <row r="5" spans="1:26" ht="65.25" customHeight="1" thickBot="1">
      <c r="A5" s="100"/>
      <c r="B5" s="101"/>
      <c r="C5" s="102" t="s">
        <v>132</v>
      </c>
      <c r="D5" s="103" t="s">
        <v>133</v>
      </c>
      <c r="E5" s="103" t="s">
        <v>134</v>
      </c>
      <c r="F5" s="103" t="s">
        <v>135</v>
      </c>
      <c r="G5" s="103" t="s">
        <v>136</v>
      </c>
      <c r="H5" s="103" t="s">
        <v>137</v>
      </c>
      <c r="I5" s="104" t="s">
        <v>138</v>
      </c>
      <c r="J5" s="105" t="s">
        <v>139</v>
      </c>
      <c r="K5" s="106" t="s">
        <v>140</v>
      </c>
      <c r="Z5" s="97"/>
    </row>
    <row r="6" spans="1:26">
      <c r="A6" s="836" t="s">
        <v>141</v>
      </c>
      <c r="B6" s="839" t="s">
        <v>142</v>
      </c>
      <c r="C6" s="107" t="s">
        <v>143</v>
      </c>
      <c r="D6" s="108">
        <f>1-D7</f>
        <v>0.30000000000000004</v>
      </c>
      <c r="E6" s="109">
        <f>'emails and excerpts'!M121</f>
        <v>175</v>
      </c>
      <c r="F6" s="110">
        <f>'emails and excerpts'!N204</f>
        <v>66.2</v>
      </c>
      <c r="G6" s="841">
        <f>SUMPRODUCT(D6:D7,E6:E7)</f>
        <v>58.100000000000009</v>
      </c>
      <c r="H6" s="841">
        <f>SUMPRODUCT(D6:D7,F6:F7)</f>
        <v>66.2</v>
      </c>
      <c r="I6" s="843">
        <f>'emails and excerpts'!M125</f>
        <v>1600</v>
      </c>
      <c r="J6" s="855">
        <f>IDStudy!B258</f>
        <v>3.9054755444242075</v>
      </c>
      <c r="K6" s="850">
        <v>7</v>
      </c>
      <c r="Z6" s="97"/>
    </row>
    <row r="7" spans="1:26" ht="13.5" thickBot="1">
      <c r="A7" s="837"/>
      <c r="B7" s="840"/>
      <c r="C7" s="111" t="s">
        <v>144</v>
      </c>
      <c r="D7" s="112">
        <f>'emails and excerpts'!M119</f>
        <v>0.7</v>
      </c>
      <c r="E7" s="113">
        <f>'emails and excerpts'!M122</f>
        <v>8</v>
      </c>
      <c r="F7" s="114">
        <f>F6</f>
        <v>66.2</v>
      </c>
      <c r="G7" s="842"/>
      <c r="H7" s="842"/>
      <c r="I7" s="844"/>
      <c r="J7" s="856"/>
      <c r="K7" s="851"/>
      <c r="Z7" s="97"/>
    </row>
    <row r="8" spans="1:26">
      <c r="A8" s="837"/>
      <c r="B8" s="853" t="s">
        <v>145</v>
      </c>
      <c r="C8" s="107" t="s">
        <v>143</v>
      </c>
      <c r="D8" s="108">
        <f>1-D9</f>
        <v>0.35</v>
      </c>
      <c r="E8" s="109">
        <f>E6</f>
        <v>175</v>
      </c>
      <c r="F8" s="110">
        <f>'emails and excerpts'!N203</f>
        <v>60.4</v>
      </c>
      <c r="G8" s="841">
        <f>SUMPRODUCT(D8:D9,E8:E9)</f>
        <v>66.449999999999989</v>
      </c>
      <c r="H8" s="841">
        <f>SUMPRODUCT(D8:D9,F8:F9)</f>
        <v>60.399999999999991</v>
      </c>
      <c r="I8" s="843">
        <f>I6</f>
        <v>1600</v>
      </c>
      <c r="J8" s="856"/>
      <c r="K8" s="851"/>
      <c r="Z8" s="97"/>
    </row>
    <row r="9" spans="1:26" ht="13.5" thickBot="1">
      <c r="A9" s="838"/>
      <c r="B9" s="854"/>
      <c r="C9" s="111" t="s">
        <v>144</v>
      </c>
      <c r="D9" s="112">
        <f>'emails and excerpts'!M120</f>
        <v>0.65</v>
      </c>
      <c r="E9" s="113">
        <f>E7</f>
        <v>8</v>
      </c>
      <c r="F9" s="114">
        <f>F8</f>
        <v>60.4</v>
      </c>
      <c r="G9" s="842"/>
      <c r="H9" s="842"/>
      <c r="I9" s="844"/>
      <c r="J9" s="857"/>
      <c r="K9" s="851"/>
      <c r="Z9" s="97"/>
    </row>
    <row r="10" spans="1:26">
      <c r="A10" s="836" t="s">
        <v>146</v>
      </c>
      <c r="B10" s="839" t="s">
        <v>142</v>
      </c>
      <c r="C10" s="107" t="s">
        <v>143</v>
      </c>
      <c r="D10" s="108">
        <f>1-D11</f>
        <v>0.5</v>
      </c>
      <c r="E10" s="109">
        <f>'emails and excerpts'!M140</f>
        <v>216</v>
      </c>
      <c r="F10" s="110">
        <f>PacifiCorp!G21</f>
        <v>59.1</v>
      </c>
      <c r="G10" s="841">
        <f>SUMPRODUCT(D10:D11,E10:E11)</f>
        <v>111</v>
      </c>
      <c r="H10" s="841">
        <f>SUMPRODUCT(D10:D11,F10:F11)</f>
        <v>59.1</v>
      </c>
      <c r="I10" s="843">
        <f>PacifiCorp!J11</f>
        <v>1142.0704360309376</v>
      </c>
      <c r="J10" s="858">
        <f>'emails and excerpts'!N239</f>
        <v>5.1100000000000003</v>
      </c>
      <c r="K10" s="851"/>
      <c r="Z10" s="97"/>
    </row>
    <row r="11" spans="1:26" ht="13.5" thickBot="1">
      <c r="A11" s="837"/>
      <c r="B11" s="840"/>
      <c r="C11" s="111" t="s">
        <v>144</v>
      </c>
      <c r="D11" s="112">
        <f>'emails and excerpts'!M138</f>
        <v>0.5</v>
      </c>
      <c r="E11" s="113">
        <f>'emails and excerpts'!M139</f>
        <v>6</v>
      </c>
      <c r="F11" s="114">
        <f>F10</f>
        <v>59.1</v>
      </c>
      <c r="G11" s="842"/>
      <c r="H11" s="842"/>
      <c r="I11" s="844"/>
      <c r="J11" s="856"/>
      <c r="K11" s="851"/>
      <c r="Z11" s="97"/>
    </row>
    <row r="12" spans="1:26">
      <c r="A12" s="837"/>
      <c r="B12" s="853" t="s">
        <v>145</v>
      </c>
      <c r="C12" s="107" t="s">
        <v>143</v>
      </c>
      <c r="D12" s="108">
        <f>D10</f>
        <v>0.5</v>
      </c>
      <c r="E12" s="109">
        <f>E10</f>
        <v>216</v>
      </c>
      <c r="F12" s="115">
        <f>PacifiCorp!G22</f>
        <v>68.027111111111111</v>
      </c>
      <c r="G12" s="841">
        <f>SUMPRODUCT(D12:D13,E12:E13)</f>
        <v>111</v>
      </c>
      <c r="H12" s="841">
        <f>SUMPRODUCT(D12:D13,F12:F13)</f>
        <v>68.027111111111111</v>
      </c>
      <c r="I12" s="843">
        <f>I10</f>
        <v>1142.0704360309376</v>
      </c>
      <c r="J12" s="856"/>
      <c r="K12" s="851"/>
      <c r="Z12" s="97"/>
    </row>
    <row r="13" spans="1:26" ht="13.5" thickBot="1">
      <c r="A13" s="838"/>
      <c r="B13" s="854"/>
      <c r="C13" s="111" t="s">
        <v>144</v>
      </c>
      <c r="D13" s="112">
        <f>D11</f>
        <v>0.5</v>
      </c>
      <c r="E13" s="113">
        <f>E11</f>
        <v>6</v>
      </c>
      <c r="F13" s="114">
        <f>F12</f>
        <v>68.027111111111111</v>
      </c>
      <c r="G13" s="842"/>
      <c r="H13" s="842"/>
      <c r="I13" s="844"/>
      <c r="J13" s="859"/>
      <c r="K13" s="851"/>
      <c r="Z13" s="97"/>
    </row>
    <row r="14" spans="1:26">
      <c r="A14" s="837" t="s">
        <v>147</v>
      </c>
      <c r="B14" s="845" t="s">
        <v>142</v>
      </c>
      <c r="C14" s="116" t="s">
        <v>143</v>
      </c>
      <c r="D14" s="117">
        <f>1-D15</f>
        <v>0.38882684197179085</v>
      </c>
      <c r="E14" s="118">
        <f>AVERAGE('[2]Depth of Wells'!E35:E36)</f>
        <v>90.5</v>
      </c>
      <c r="F14" s="119">
        <f>('[2]Depth of Wells'!H35*'[2]Depth of Wells'!C35+'[2]Depth of Wells'!H36*'[2]Depth of Wells'!C36)/SUM('[2]Depth of Wells'!C35:C36)</f>
        <v>63.44047619047619</v>
      </c>
      <c r="G14" s="846">
        <f>SUMPRODUCT(D14:D15,E14:E15)</f>
        <v>52.301677623236927</v>
      </c>
      <c r="H14" s="846">
        <f>SUMPRODUCT(D14:D15,F14:F15)</f>
        <v>61.337749492021999</v>
      </c>
      <c r="I14" s="848">
        <f>'emails and excerpts'!M163</f>
        <v>1000</v>
      </c>
      <c r="J14" s="871">
        <f>J6</f>
        <v>3.9054755444242075</v>
      </c>
      <c r="K14" s="851"/>
      <c r="Z14" s="97"/>
    </row>
    <row r="15" spans="1:26" ht="13.5" thickBot="1">
      <c r="A15" s="837"/>
      <c r="B15" s="840"/>
      <c r="C15" s="111" t="s">
        <v>144</v>
      </c>
      <c r="D15" s="112">
        <f>AVERAGE('[2]Energy Expense'!D24:D25)</f>
        <v>0.61117315802820915</v>
      </c>
      <c r="E15" s="113">
        <f>AVERAGE('[2]Depth of Wells'!D24:D25)</f>
        <v>28</v>
      </c>
      <c r="F15" s="120">
        <f>('[2]Depth of Wells'!E24*'[2]Depth of Wells'!C24+'[2]Depth of Wells'!E25*'[2]Depth of Wells'!C25)/SUM('[2]Depth of Wells'!C24:C25)</f>
        <v>60</v>
      </c>
      <c r="G15" s="847"/>
      <c r="H15" s="847"/>
      <c r="I15" s="849"/>
      <c r="J15" s="872"/>
      <c r="K15" s="851"/>
      <c r="Z15" s="97"/>
    </row>
    <row r="16" spans="1:26">
      <c r="A16" s="837"/>
      <c r="B16" s="839" t="s">
        <v>145</v>
      </c>
      <c r="C16" s="107" t="s">
        <v>143</v>
      </c>
      <c r="D16" s="108">
        <f t="shared" ref="D16:D17" si="0">D14</f>
        <v>0.38882684197179085</v>
      </c>
      <c r="E16" s="109">
        <f>E14</f>
        <v>90.5</v>
      </c>
      <c r="F16" s="115">
        <f>F14</f>
        <v>63.44047619047619</v>
      </c>
      <c r="G16" s="846">
        <f>SUMPRODUCT(D16:D17,E16:E17)</f>
        <v>52.301677623236927</v>
      </c>
      <c r="H16" s="846">
        <f>SUMPRODUCT(D16:D17,F16:F17)</f>
        <v>61.337749492021999</v>
      </c>
      <c r="I16" s="874">
        <f>I14</f>
        <v>1000</v>
      </c>
      <c r="J16" s="872"/>
      <c r="K16" s="851"/>
      <c r="Z16" s="97"/>
    </row>
    <row r="17" spans="1:26" ht="13.5" thickBot="1">
      <c r="A17" s="838"/>
      <c r="B17" s="840"/>
      <c r="C17" s="121" t="s">
        <v>144</v>
      </c>
      <c r="D17" s="122">
        <f t="shared" si="0"/>
        <v>0.61117315802820915</v>
      </c>
      <c r="E17" s="123">
        <f>E15</f>
        <v>28</v>
      </c>
      <c r="F17" s="124">
        <f>F15</f>
        <v>60</v>
      </c>
      <c r="G17" s="847"/>
      <c r="H17" s="847"/>
      <c r="I17" s="849"/>
      <c r="J17" s="872"/>
      <c r="K17" s="851"/>
      <c r="Z17" s="97"/>
    </row>
    <row r="18" spans="1:26">
      <c r="A18" s="836" t="s">
        <v>148</v>
      </c>
      <c r="B18" s="839" t="s">
        <v>142</v>
      </c>
      <c r="C18" s="107" t="s">
        <v>143</v>
      </c>
      <c r="D18" s="108">
        <f t="shared" ref="D18:E21" si="1">D14</f>
        <v>0.38882684197179085</v>
      </c>
      <c r="E18" s="109">
        <f t="shared" ref="E18:F20" si="2">E14</f>
        <v>90.5</v>
      </c>
      <c r="F18" s="115">
        <f t="shared" si="2"/>
        <v>63.44047619047619</v>
      </c>
      <c r="G18" s="841">
        <f>SUMPRODUCT(D18:D19,E18:E19)</f>
        <v>52.301677623236927</v>
      </c>
      <c r="H18" s="841">
        <f>SUMPRODUCT(D18:D19,F18:F19)</f>
        <v>61.337749492021999</v>
      </c>
      <c r="I18" s="843">
        <f>'emails and excerpts'!M164</f>
        <v>2200</v>
      </c>
      <c r="J18" s="872"/>
      <c r="K18" s="851"/>
      <c r="Z18" s="97"/>
    </row>
    <row r="19" spans="1:26" ht="13.5" thickBot="1">
      <c r="A19" s="837"/>
      <c r="B19" s="840"/>
      <c r="C19" s="111" t="s">
        <v>144</v>
      </c>
      <c r="D19" s="112">
        <f t="shared" si="1"/>
        <v>0.61117315802820915</v>
      </c>
      <c r="E19" s="113">
        <f t="shared" si="2"/>
        <v>28</v>
      </c>
      <c r="F19" s="114">
        <f t="shared" si="2"/>
        <v>60</v>
      </c>
      <c r="G19" s="842"/>
      <c r="H19" s="842"/>
      <c r="I19" s="844"/>
      <c r="J19" s="872"/>
      <c r="K19" s="851"/>
      <c r="Z19" s="97"/>
    </row>
    <row r="20" spans="1:26">
      <c r="A20" s="837"/>
      <c r="B20" s="853" t="s">
        <v>145</v>
      </c>
      <c r="C20" s="107" t="s">
        <v>143</v>
      </c>
      <c r="D20" s="108">
        <f t="shared" si="1"/>
        <v>0.38882684197179085</v>
      </c>
      <c r="E20" s="109">
        <f t="shared" si="2"/>
        <v>90.5</v>
      </c>
      <c r="F20" s="115">
        <f t="shared" si="2"/>
        <v>63.44047619047619</v>
      </c>
      <c r="G20" s="841">
        <f>SUMPRODUCT(D20:D21,E20:E21)</f>
        <v>52.301677623236927</v>
      </c>
      <c r="H20" s="841">
        <f>SUMPRODUCT(D20:D21,F20:F21)</f>
        <v>61.337749492021999</v>
      </c>
      <c r="I20" s="843">
        <f>I18</f>
        <v>2200</v>
      </c>
      <c r="J20" s="872"/>
      <c r="K20" s="851"/>
      <c r="Z20" s="97"/>
    </row>
    <row r="21" spans="1:26" ht="13.5" thickBot="1">
      <c r="A21" s="838"/>
      <c r="B21" s="854"/>
      <c r="C21" s="111" t="s">
        <v>144</v>
      </c>
      <c r="D21" s="112">
        <f t="shared" si="1"/>
        <v>0.61117315802820915</v>
      </c>
      <c r="E21" s="113">
        <f t="shared" si="1"/>
        <v>28</v>
      </c>
      <c r="F21" s="114">
        <f>F17</f>
        <v>60</v>
      </c>
      <c r="G21" s="842"/>
      <c r="H21" s="842"/>
      <c r="I21" s="844"/>
      <c r="J21" s="872"/>
      <c r="K21" s="851"/>
      <c r="Z21" s="97"/>
    </row>
    <row r="22" spans="1:26">
      <c r="A22" s="837" t="s">
        <v>149</v>
      </c>
      <c r="B22" s="845" t="s">
        <v>142</v>
      </c>
      <c r="C22" s="116" t="s">
        <v>143</v>
      </c>
      <c r="D22" s="117">
        <f>1-D23</f>
        <v>5.1562588142381682E-2</v>
      </c>
      <c r="E22" s="118">
        <f>'[2]Depth of Wells'!E34</f>
        <v>43</v>
      </c>
      <c r="F22" s="125">
        <f>'[2]Depth of Wells'!H34</f>
        <v>62</v>
      </c>
      <c r="G22" s="841">
        <f>SUMPRODUCT(D22:D23,E22:E23)</f>
        <v>24.97968917470525</v>
      </c>
      <c r="H22" s="841">
        <f>SUMPRODUCT(D22:D23,F22:F23)</f>
        <v>45.876563998420487</v>
      </c>
      <c r="I22" s="875">
        <f>'[2]Depth of Wells'!J34</f>
        <v>419</v>
      </c>
      <c r="J22" s="872"/>
      <c r="K22" s="851"/>
      <c r="Z22" s="97"/>
    </row>
    <row r="23" spans="1:26" ht="13.5" thickBot="1">
      <c r="A23" s="837"/>
      <c r="B23" s="840"/>
      <c r="C23" s="111" t="s">
        <v>144</v>
      </c>
      <c r="D23" s="112">
        <f>'[2]Energy Expense'!D23</f>
        <v>0.94843741185761832</v>
      </c>
      <c r="E23" s="113">
        <f>'[2]Depth of Wells'!D23</f>
        <v>24</v>
      </c>
      <c r="F23" s="114">
        <f>'[2]Depth of Wells'!E23</f>
        <v>45</v>
      </c>
      <c r="G23" s="842"/>
      <c r="H23" s="842"/>
      <c r="I23" s="844"/>
      <c r="J23" s="872"/>
      <c r="K23" s="851"/>
      <c r="Z23" s="97"/>
    </row>
    <row r="24" spans="1:26">
      <c r="A24" s="837"/>
      <c r="B24" s="853" t="s">
        <v>145</v>
      </c>
      <c r="C24" s="107" t="s">
        <v>143</v>
      </c>
      <c r="D24" s="108">
        <f>D22</f>
        <v>5.1562588142381682E-2</v>
      </c>
      <c r="E24" s="109">
        <f>E22</f>
        <v>43</v>
      </c>
      <c r="F24" s="115">
        <f>F22</f>
        <v>62</v>
      </c>
      <c r="G24" s="841">
        <f>SUMPRODUCT(D24:D25,E24:E25)</f>
        <v>24.97968917470525</v>
      </c>
      <c r="H24" s="841">
        <f>SUMPRODUCT(D24:D25,F24:F25)</f>
        <v>60.103125176284763</v>
      </c>
      <c r="I24" s="843">
        <f>I22</f>
        <v>419</v>
      </c>
      <c r="J24" s="872"/>
      <c r="K24" s="851"/>
      <c r="Z24" s="97"/>
    </row>
    <row r="25" spans="1:26" ht="13.5" thickBot="1">
      <c r="A25" s="838"/>
      <c r="B25" s="854"/>
      <c r="C25" s="111" t="s">
        <v>144</v>
      </c>
      <c r="D25" s="112">
        <f>D23</f>
        <v>0.94843741185761832</v>
      </c>
      <c r="E25" s="113">
        <f>E23</f>
        <v>24</v>
      </c>
      <c r="F25" s="114">
        <f>F21</f>
        <v>60</v>
      </c>
      <c r="G25" s="842"/>
      <c r="H25" s="842"/>
      <c r="I25" s="844"/>
      <c r="J25" s="873"/>
      <c r="K25" s="852"/>
      <c r="Z25" s="97"/>
    </row>
    <row r="26" spans="1:26">
      <c r="Z26" s="97"/>
    </row>
    <row r="27" spans="1:26">
      <c r="Z27" s="97"/>
    </row>
    <row r="28" spans="1:26">
      <c r="B28" s="97"/>
      <c r="E28" s="97"/>
      <c r="G28" s="97"/>
      <c r="H28" s="97"/>
      <c r="I28" s="97"/>
      <c r="J28" s="97"/>
      <c r="K28" s="97"/>
      <c r="L28" s="97"/>
      <c r="M28" s="97"/>
      <c r="N28" s="126"/>
      <c r="Q28" s="127"/>
      <c r="R28" s="97"/>
      <c r="T28" s="97"/>
      <c r="U28" s="97"/>
      <c r="X28" s="128"/>
      <c r="Z28" s="97"/>
    </row>
    <row r="29" spans="1:26" s="129" customFormat="1" ht="13.5" thickBot="1"/>
    <row r="30" spans="1:26" ht="29.25" customHeight="1" thickBot="1">
      <c r="A30" s="860" t="s">
        <v>7</v>
      </c>
      <c r="B30" s="863" t="s">
        <v>150</v>
      </c>
      <c r="C30" s="863"/>
      <c r="D30" s="863" t="s">
        <v>151</v>
      </c>
      <c r="E30" s="866" t="s">
        <v>152</v>
      </c>
      <c r="F30" s="867"/>
      <c r="G30" s="867"/>
      <c r="H30" s="867"/>
      <c r="I30" s="867"/>
      <c r="J30" s="867"/>
      <c r="K30" s="867"/>
      <c r="L30" s="867"/>
      <c r="M30" s="867"/>
      <c r="N30" s="868"/>
      <c r="O30" s="97"/>
      <c r="P30" s="97"/>
      <c r="Q30" s="97"/>
      <c r="R30" s="97"/>
      <c r="S30" s="97"/>
      <c r="T30" s="97"/>
      <c r="U30" s="97"/>
      <c r="V30" s="97"/>
      <c r="W30" s="97"/>
      <c r="X30" s="97"/>
      <c r="Y30" s="97"/>
      <c r="Z30" s="97"/>
    </row>
    <row r="31" spans="1:26" ht="29.25" customHeight="1" thickBot="1">
      <c r="A31" s="861"/>
      <c r="B31" s="864"/>
      <c r="C31" s="864"/>
      <c r="D31" s="864"/>
      <c r="E31" s="869" t="s">
        <v>153</v>
      </c>
      <c r="F31" s="870"/>
      <c r="G31" s="870"/>
      <c r="H31" s="869" t="s">
        <v>154</v>
      </c>
      <c r="I31" s="870"/>
      <c r="J31" s="870"/>
      <c r="K31" s="866" t="s">
        <v>155</v>
      </c>
      <c r="L31" s="867"/>
      <c r="M31" s="867"/>
      <c r="N31" s="868"/>
      <c r="O31" s="97"/>
      <c r="P31" s="97"/>
      <c r="Q31" s="97"/>
      <c r="R31" s="97"/>
      <c r="S31" s="97"/>
      <c r="T31" s="97"/>
      <c r="U31" s="97"/>
      <c r="V31" s="97"/>
      <c r="W31" s="97"/>
      <c r="X31" s="97"/>
      <c r="Y31" s="97"/>
      <c r="Z31" s="97"/>
    </row>
    <row r="32" spans="1:26" ht="51.75" customHeight="1" thickBot="1">
      <c r="A32" s="862"/>
      <c r="B32" s="865"/>
      <c r="C32" s="865"/>
      <c r="D32" s="865"/>
      <c r="E32" s="130" t="s">
        <v>156</v>
      </c>
      <c r="F32" s="131" t="s">
        <v>157</v>
      </c>
      <c r="G32" s="132" t="s">
        <v>158</v>
      </c>
      <c r="H32" s="130" t="s">
        <v>156</v>
      </c>
      <c r="I32" s="131" t="s">
        <v>157</v>
      </c>
      <c r="J32" s="132" t="s">
        <v>158</v>
      </c>
      <c r="K32" s="133" t="s">
        <v>159</v>
      </c>
      <c r="L32" s="134" t="s">
        <v>160</v>
      </c>
      <c r="M32" s="135" t="s">
        <v>161</v>
      </c>
      <c r="N32" s="136" t="s">
        <v>162</v>
      </c>
      <c r="O32" s="97"/>
      <c r="P32" s="97"/>
      <c r="Q32" s="97"/>
      <c r="R32" s="97"/>
      <c r="S32" s="97"/>
      <c r="T32" s="97"/>
      <c r="U32" s="97"/>
      <c r="V32" s="97"/>
      <c r="W32" s="97"/>
      <c r="X32" s="97"/>
      <c r="Y32" s="97"/>
      <c r="Z32" s="97"/>
    </row>
    <row r="33" spans="1:26" ht="29.25" customHeight="1">
      <c r="A33" s="137" t="s">
        <v>163</v>
      </c>
      <c r="B33" s="138" t="s">
        <v>164</v>
      </c>
      <c r="C33" s="139" t="s">
        <v>165</v>
      </c>
      <c r="D33" s="140" t="s">
        <v>166</v>
      </c>
      <c r="E33" s="141">
        <f>J6</f>
        <v>3.9054755444242075</v>
      </c>
      <c r="F33" s="142">
        <f>IDStudy!P8</f>
        <v>0.12096502398015993</v>
      </c>
      <c r="G33" s="143">
        <f>F33*E33</f>
        <v>0.4724259428852024</v>
      </c>
      <c r="H33" s="144">
        <f>J10</f>
        <v>5.1100000000000003</v>
      </c>
      <c r="I33" s="145">
        <f>F33</f>
        <v>0.12096502398015993</v>
      </c>
      <c r="J33" s="146">
        <f>I33*H33</f>
        <v>0.61813127253861733</v>
      </c>
      <c r="K33" s="147">
        <v>4</v>
      </c>
      <c r="L33" s="148">
        <v>4</v>
      </c>
      <c r="M33" s="149">
        <f>10/60*10</f>
        <v>1.6666666666666665</v>
      </c>
      <c r="N33" s="150">
        <f t="shared" ref="N33:N45" si="3">M33+L33</f>
        <v>5.6666666666666661</v>
      </c>
      <c r="O33" s="97"/>
      <c r="P33" s="151"/>
      <c r="Q33" s="97"/>
      <c r="R33" s="97"/>
      <c r="S33" s="97"/>
      <c r="T33" s="97"/>
      <c r="U33" s="97"/>
      <c r="V33" s="97"/>
      <c r="W33" s="97"/>
      <c r="X33" s="97"/>
      <c r="Y33" s="97"/>
      <c r="Z33" s="97"/>
    </row>
    <row r="34" spans="1:26" ht="29.25" customHeight="1">
      <c r="A34" s="152" t="s">
        <v>167</v>
      </c>
      <c r="B34" s="153" t="s">
        <v>164</v>
      </c>
      <c r="C34" s="154" t="s">
        <v>165</v>
      </c>
      <c r="D34" s="155" t="s">
        <v>166</v>
      </c>
      <c r="E34" s="156">
        <f>J6</f>
        <v>3.9054755444242075</v>
      </c>
      <c r="F34" s="157">
        <f>F33</f>
        <v>0.12096502398015993</v>
      </c>
      <c r="G34" s="143">
        <f>F34*E34</f>
        <v>0.4724259428852024</v>
      </c>
      <c r="H34" s="158">
        <f>J10</f>
        <v>5.1100000000000003</v>
      </c>
      <c r="I34" s="159">
        <f>I33</f>
        <v>0.12096502398015993</v>
      </c>
      <c r="J34" s="146">
        <f>I34*H34</f>
        <v>0.61813127253861733</v>
      </c>
      <c r="K34" s="160">
        <v>4</v>
      </c>
      <c r="L34" s="161">
        <v>0.45</v>
      </c>
      <c r="M34" s="162">
        <f>M33</f>
        <v>1.6666666666666665</v>
      </c>
      <c r="N34" s="163">
        <f t="shared" si="3"/>
        <v>2.1166666666666667</v>
      </c>
      <c r="O34" s="97"/>
      <c r="P34" s="151"/>
      <c r="Q34" s="97"/>
      <c r="R34" s="97"/>
      <c r="S34" s="97"/>
      <c r="T34" s="97"/>
      <c r="U34" s="97"/>
      <c r="V34" s="97"/>
      <c r="W34" s="97"/>
      <c r="X34" s="97"/>
      <c r="Y34" s="97"/>
      <c r="Z34" s="97"/>
    </row>
    <row r="35" spans="1:26" ht="29.25" customHeight="1">
      <c r="A35" s="152" t="s">
        <v>168</v>
      </c>
      <c r="B35" s="153" t="s">
        <v>164</v>
      </c>
      <c r="C35" s="154" t="s">
        <v>165</v>
      </c>
      <c r="D35" s="153" t="s">
        <v>169</v>
      </c>
      <c r="E35" s="164"/>
      <c r="F35" s="165"/>
      <c r="G35" s="143">
        <f>IDStudy!P16</f>
        <v>0.41530612244897963</v>
      </c>
      <c r="H35" s="164"/>
      <c r="I35" s="165"/>
      <c r="J35" s="166">
        <f t="shared" ref="J35:J44" si="4">G35</f>
        <v>0.41530612244897963</v>
      </c>
      <c r="K35" s="160">
        <v>5</v>
      </c>
      <c r="L35" s="161">
        <v>9</v>
      </c>
      <c r="M35" s="162">
        <f>20/60*10</f>
        <v>3.333333333333333</v>
      </c>
      <c r="N35" s="163">
        <f t="shared" si="3"/>
        <v>12.333333333333332</v>
      </c>
      <c r="O35" s="97"/>
      <c r="P35" s="151"/>
      <c r="Q35" s="97"/>
      <c r="R35" s="97"/>
      <c r="S35" s="97"/>
      <c r="T35" s="97"/>
      <c r="U35" s="97"/>
      <c r="V35" s="97"/>
      <c r="W35" s="97"/>
      <c r="X35" s="97"/>
      <c r="Y35" s="97"/>
      <c r="Z35" s="97"/>
    </row>
    <row r="36" spans="1:26" ht="29.25" customHeight="1">
      <c r="A36" s="152" t="s">
        <v>170</v>
      </c>
      <c r="B36" s="155" t="s">
        <v>164</v>
      </c>
      <c r="C36" s="167"/>
      <c r="D36" s="155" t="s">
        <v>171</v>
      </c>
      <c r="E36" s="168"/>
      <c r="F36" s="169"/>
      <c r="G36" s="170">
        <f>IDStudy!P11</f>
        <v>2.4850000000000003</v>
      </c>
      <c r="H36" s="168"/>
      <c r="I36" s="169"/>
      <c r="J36" s="171">
        <f t="shared" si="4"/>
        <v>2.4850000000000003</v>
      </c>
      <c r="K36" s="160">
        <v>5</v>
      </c>
      <c r="L36" s="172">
        <v>2.25</v>
      </c>
      <c r="M36" s="173">
        <f>10/60*10</f>
        <v>1.6666666666666665</v>
      </c>
      <c r="N36" s="163">
        <f t="shared" si="3"/>
        <v>3.9166666666666665</v>
      </c>
      <c r="O36" s="97"/>
      <c r="P36" s="174"/>
      <c r="Q36" s="97"/>
      <c r="R36" s="97"/>
      <c r="S36" s="97"/>
      <c r="T36" s="97"/>
      <c r="U36" s="97"/>
      <c r="V36" s="97"/>
      <c r="W36" s="97"/>
      <c r="X36" s="97"/>
      <c r="Y36" s="97"/>
      <c r="Z36" s="97"/>
    </row>
    <row r="37" spans="1:26" ht="29.25" customHeight="1">
      <c r="A37" s="152" t="s">
        <v>172</v>
      </c>
      <c r="B37" s="155" t="s">
        <v>164</v>
      </c>
      <c r="C37" s="167"/>
      <c r="D37" s="155" t="s">
        <v>171</v>
      </c>
      <c r="E37" s="168"/>
      <c r="F37" s="175"/>
      <c r="G37" s="170">
        <f>IDStudy!P12</f>
        <v>2.5755263157894732</v>
      </c>
      <c r="H37" s="168"/>
      <c r="I37" s="175"/>
      <c r="J37" s="171">
        <f t="shared" si="4"/>
        <v>2.5755263157894732</v>
      </c>
      <c r="K37" s="160">
        <v>5</v>
      </c>
      <c r="L37" s="172">
        <v>12</v>
      </c>
      <c r="M37" s="173">
        <f>10/60*10</f>
        <v>1.6666666666666665</v>
      </c>
      <c r="N37" s="163">
        <f t="shared" si="3"/>
        <v>13.666666666666666</v>
      </c>
      <c r="O37" s="97"/>
      <c r="P37" s="174"/>
      <c r="Q37" s="97"/>
      <c r="R37" s="97"/>
      <c r="S37" s="97"/>
      <c r="T37" s="97"/>
      <c r="U37" s="97"/>
      <c r="V37" s="97"/>
      <c r="W37" s="97"/>
      <c r="X37" s="97"/>
      <c r="Y37" s="97"/>
      <c r="Z37" s="97"/>
    </row>
    <row r="38" spans="1:26" ht="29.25" customHeight="1">
      <c r="A38" s="152" t="s">
        <v>173</v>
      </c>
      <c r="B38" s="155" t="s">
        <v>164</v>
      </c>
      <c r="C38" s="167"/>
      <c r="D38" s="155" t="s">
        <v>171</v>
      </c>
      <c r="E38" s="168"/>
      <c r="F38" s="176"/>
      <c r="G38" s="170">
        <f>IDStudy!P13</f>
        <v>1.2364705882352942</v>
      </c>
      <c r="H38" s="168"/>
      <c r="I38" s="176"/>
      <c r="J38" s="171">
        <f t="shared" si="4"/>
        <v>1.2364705882352942</v>
      </c>
      <c r="K38" s="160">
        <v>8</v>
      </c>
      <c r="L38" s="172">
        <v>18</v>
      </c>
      <c r="M38" s="173"/>
      <c r="N38" s="163">
        <f t="shared" si="3"/>
        <v>18</v>
      </c>
      <c r="O38" s="97"/>
      <c r="P38" s="177"/>
      <c r="Q38" s="97"/>
      <c r="R38" s="97"/>
      <c r="S38" s="97"/>
      <c r="T38" s="97"/>
      <c r="U38" s="97"/>
      <c r="V38" s="97"/>
      <c r="W38" s="97"/>
      <c r="X38" s="97"/>
      <c r="Y38" s="97"/>
      <c r="Z38" s="97"/>
    </row>
    <row r="39" spans="1:26" ht="29.25" customHeight="1">
      <c r="A39" s="152" t="s">
        <v>174</v>
      </c>
      <c r="B39" s="155" t="s">
        <v>175</v>
      </c>
      <c r="C39" s="167"/>
      <c r="D39" s="155" t="s">
        <v>171</v>
      </c>
      <c r="E39" s="168"/>
      <c r="F39" s="169"/>
      <c r="G39" s="170">
        <f>IDStudy!P14</f>
        <v>1.07</v>
      </c>
      <c r="H39" s="168"/>
      <c r="I39" s="169"/>
      <c r="J39" s="171">
        <f t="shared" si="4"/>
        <v>1.07</v>
      </c>
      <c r="K39" s="160">
        <v>10</v>
      </c>
      <c r="L39" s="161">
        <v>45</v>
      </c>
      <c r="M39" s="162">
        <f>30/60*10</f>
        <v>5</v>
      </c>
      <c r="N39" s="163">
        <f t="shared" si="3"/>
        <v>50</v>
      </c>
      <c r="O39" s="97"/>
      <c r="P39" s="178"/>
      <c r="Q39" s="97"/>
      <c r="R39" s="97"/>
      <c r="S39" s="97"/>
      <c r="T39" s="97"/>
      <c r="U39" s="97"/>
      <c r="V39" s="97"/>
      <c r="W39" s="97"/>
      <c r="X39" s="97"/>
      <c r="Y39" s="97"/>
      <c r="Z39" s="97"/>
    </row>
    <row r="40" spans="1:26" ht="29.25" customHeight="1" thickBot="1">
      <c r="A40" s="179" t="s">
        <v>176</v>
      </c>
      <c r="B40" s="153" t="s">
        <v>177</v>
      </c>
      <c r="C40" s="154"/>
      <c r="D40" s="153" t="s">
        <v>171</v>
      </c>
      <c r="E40" s="180"/>
      <c r="F40" s="181"/>
      <c r="G40" s="182">
        <f>IDStudy!P15</f>
        <v>0.61621621621621625</v>
      </c>
      <c r="H40" s="180"/>
      <c r="I40" s="181"/>
      <c r="J40" s="183">
        <f t="shared" si="4"/>
        <v>0.61621621621621625</v>
      </c>
      <c r="K40" s="184">
        <v>5</v>
      </c>
      <c r="L40" s="185">
        <v>0.75</v>
      </c>
      <c r="M40" s="186">
        <f>15/60*10</f>
        <v>2.5</v>
      </c>
      <c r="N40" s="187">
        <f t="shared" si="3"/>
        <v>3.25</v>
      </c>
      <c r="O40" s="97"/>
      <c r="P40" s="151"/>
      <c r="Q40" s="97"/>
      <c r="R40" s="97"/>
      <c r="S40" s="97"/>
      <c r="T40" s="97"/>
      <c r="U40" s="97"/>
      <c r="V40" s="97"/>
      <c r="W40" s="97"/>
      <c r="X40" s="97"/>
      <c r="Y40" s="97"/>
      <c r="Z40" s="97"/>
    </row>
    <row r="41" spans="1:26" ht="46.5" customHeight="1">
      <c r="A41" s="188" t="s">
        <v>178</v>
      </c>
      <c r="B41" s="189" t="s">
        <v>179</v>
      </c>
      <c r="C41" s="190" t="s">
        <v>180</v>
      </c>
      <c r="D41" s="191" t="s">
        <v>181</v>
      </c>
      <c r="E41" s="192">
        <f>K6</f>
        <v>7</v>
      </c>
      <c r="F41" s="193">
        <f>IDStudy!P10</f>
        <v>0.19650192307692305</v>
      </c>
      <c r="G41" s="194">
        <f>E41*F41</f>
        <v>1.3755134615384614</v>
      </c>
      <c r="H41" s="195">
        <f t="shared" ref="H41:I43" si="5">E41</f>
        <v>7</v>
      </c>
      <c r="I41" s="196">
        <f t="shared" si="5"/>
        <v>0.19650192307692305</v>
      </c>
      <c r="J41" s="197">
        <f t="shared" si="4"/>
        <v>1.3755134615384614</v>
      </c>
      <c r="K41" s="147">
        <v>5</v>
      </c>
      <c r="L41" s="198">
        <v>21.7</v>
      </c>
      <c r="M41" s="199">
        <v>3.83</v>
      </c>
      <c r="N41" s="200">
        <f t="shared" si="3"/>
        <v>25.53</v>
      </c>
      <c r="O41" s="97"/>
      <c r="P41" s="201"/>
      <c r="Q41" s="97"/>
      <c r="R41" s="97"/>
      <c r="S41" s="97"/>
      <c r="T41" s="97"/>
      <c r="U41" s="97"/>
      <c r="V41" s="97"/>
      <c r="W41" s="97"/>
      <c r="X41" s="97"/>
      <c r="Y41" s="97"/>
      <c r="Z41" s="97"/>
    </row>
    <row r="42" spans="1:26" ht="29.25" customHeight="1">
      <c r="A42" s="202" t="s">
        <v>182</v>
      </c>
      <c r="B42" s="203" t="s">
        <v>179</v>
      </c>
      <c r="C42" s="204"/>
      <c r="D42" s="205" t="s">
        <v>183</v>
      </c>
      <c r="E42" s="156">
        <f>K6</f>
        <v>7</v>
      </c>
      <c r="F42" s="206">
        <f>'emails and excerpts'!T74*0.5</f>
        <v>1.4999999999999999E-2</v>
      </c>
      <c r="G42" s="207">
        <f>E42*F42</f>
        <v>0.105</v>
      </c>
      <c r="H42" s="208">
        <f t="shared" si="5"/>
        <v>7</v>
      </c>
      <c r="I42" s="209">
        <f t="shared" si="5"/>
        <v>1.4999999999999999E-2</v>
      </c>
      <c r="J42" s="210">
        <f t="shared" si="4"/>
        <v>0.105</v>
      </c>
      <c r="K42" s="160">
        <v>15</v>
      </c>
      <c r="L42" s="161">
        <v>3</v>
      </c>
      <c r="M42" s="162">
        <f>7/60*10</f>
        <v>1.1666666666666667</v>
      </c>
      <c r="N42" s="163">
        <f t="shared" si="3"/>
        <v>4.166666666666667</v>
      </c>
      <c r="O42" s="97"/>
      <c r="P42" s="174"/>
      <c r="Q42" s="97"/>
      <c r="R42" s="97"/>
      <c r="S42" s="97"/>
      <c r="T42" s="97"/>
      <c r="U42" s="97"/>
      <c r="V42" s="97"/>
      <c r="W42" s="97"/>
      <c r="X42" s="97"/>
      <c r="Y42" s="97"/>
      <c r="Z42" s="97"/>
    </row>
    <row r="43" spans="1:26" ht="29.25" customHeight="1">
      <c r="A43" s="202" t="s">
        <v>184</v>
      </c>
      <c r="B43" s="203" t="s">
        <v>179</v>
      </c>
      <c r="C43" s="204"/>
      <c r="D43" s="205" t="s">
        <v>183</v>
      </c>
      <c r="E43" s="156">
        <f>K6</f>
        <v>7</v>
      </c>
      <c r="F43" s="206">
        <f>F42</f>
        <v>1.4999999999999999E-2</v>
      </c>
      <c r="G43" s="207">
        <f>E43*F43</f>
        <v>0.105</v>
      </c>
      <c r="H43" s="208">
        <f t="shared" si="5"/>
        <v>7</v>
      </c>
      <c r="I43" s="209">
        <f t="shared" si="5"/>
        <v>1.4999999999999999E-2</v>
      </c>
      <c r="J43" s="210">
        <f t="shared" si="4"/>
        <v>0.105</v>
      </c>
      <c r="K43" s="160">
        <v>10</v>
      </c>
      <c r="L43" s="161">
        <v>6</v>
      </c>
      <c r="M43" s="162">
        <f>3/60*10</f>
        <v>0.5</v>
      </c>
      <c r="N43" s="163">
        <f t="shared" si="3"/>
        <v>6.5</v>
      </c>
      <c r="P43" s="174"/>
      <c r="Q43" s="97"/>
      <c r="R43" s="97"/>
      <c r="S43" s="97"/>
      <c r="T43" s="97"/>
      <c r="U43" s="97"/>
      <c r="V43" s="97"/>
      <c r="W43" s="97"/>
      <c r="X43" s="97"/>
      <c r="Y43" s="97"/>
      <c r="Z43" s="97"/>
    </row>
    <row r="44" spans="1:26" ht="21" customHeight="1">
      <c r="A44" s="202" t="s">
        <v>185</v>
      </c>
      <c r="B44" s="203" t="s">
        <v>186</v>
      </c>
      <c r="C44" s="204"/>
      <c r="D44" s="205" t="s">
        <v>171</v>
      </c>
      <c r="E44" s="211"/>
      <c r="F44" s="176"/>
      <c r="G44" s="207">
        <v>20</v>
      </c>
      <c r="H44" s="211"/>
      <c r="I44" s="176"/>
      <c r="J44" s="210">
        <f t="shared" si="4"/>
        <v>20</v>
      </c>
      <c r="K44" s="160">
        <v>8</v>
      </c>
      <c r="L44" s="161">
        <v>25</v>
      </c>
      <c r="M44" s="162">
        <v>225</v>
      </c>
      <c r="N44" s="163">
        <f t="shared" si="3"/>
        <v>250</v>
      </c>
      <c r="P44" s="212"/>
      <c r="Z44" s="100"/>
    </row>
    <row r="45" spans="1:26" ht="21" customHeight="1" thickBot="1">
      <c r="A45" s="213" t="s">
        <v>187</v>
      </c>
      <c r="B45" s="214" t="s">
        <v>186</v>
      </c>
      <c r="C45" s="215"/>
      <c r="D45" s="216" t="s">
        <v>171</v>
      </c>
      <c r="E45" s="217"/>
      <c r="F45" s="218"/>
      <c r="G45" s="219">
        <f>IDStudy!P17</f>
        <v>0.5</v>
      </c>
      <c r="H45" s="217"/>
      <c r="I45" s="218"/>
      <c r="J45" s="220">
        <f>G45</f>
        <v>0.5</v>
      </c>
      <c r="K45" s="221">
        <v>8</v>
      </c>
      <c r="L45" s="222">
        <f>B3*'emails and excerpts'!O266</f>
        <v>30</v>
      </c>
      <c r="M45" s="223">
        <f>B3*'emails and excerpts'!O267</f>
        <v>30</v>
      </c>
      <c r="N45" s="224">
        <f t="shared" si="3"/>
        <v>60</v>
      </c>
      <c r="P45" s="212"/>
      <c r="Z45" s="100"/>
    </row>
    <row r="46" spans="1:26">
      <c r="B46" s="97"/>
      <c r="E46" s="97"/>
      <c r="G46" s="97"/>
      <c r="H46" s="97"/>
      <c r="I46" s="97"/>
      <c r="J46" s="97"/>
      <c r="K46" s="97"/>
      <c r="L46" s="97"/>
      <c r="M46" s="97"/>
      <c r="Z46" s="97"/>
    </row>
    <row r="47" spans="1:26">
      <c r="B47" s="97"/>
      <c r="E47" s="97"/>
      <c r="G47" s="97"/>
      <c r="H47" s="97"/>
      <c r="I47" s="97"/>
      <c r="J47" s="97"/>
      <c r="K47" s="97"/>
      <c r="L47" s="97"/>
      <c r="M47" s="97"/>
      <c r="Z47" s="97"/>
    </row>
    <row r="48" spans="1:26">
      <c r="B48" s="97"/>
      <c r="E48" s="97"/>
      <c r="G48" s="97"/>
      <c r="H48" s="97"/>
      <c r="I48" s="97"/>
      <c r="J48" s="97"/>
      <c r="K48" s="97"/>
      <c r="L48" s="97"/>
      <c r="M48" s="97"/>
      <c r="Z48" s="97"/>
    </row>
    <row r="49" spans="2:26">
      <c r="B49" s="97"/>
      <c r="E49" s="97"/>
      <c r="G49" s="97"/>
      <c r="H49" s="97"/>
      <c r="I49" s="97"/>
      <c r="J49" s="97"/>
      <c r="K49" s="97"/>
      <c r="L49" s="97"/>
      <c r="M49" s="97"/>
      <c r="Z49" s="97"/>
    </row>
    <row r="50" spans="2:26">
      <c r="B50" s="97"/>
      <c r="E50" s="97"/>
      <c r="G50" s="97"/>
      <c r="H50" s="97"/>
      <c r="I50" s="97"/>
      <c r="J50" s="97"/>
      <c r="K50" s="97"/>
      <c r="L50" s="97"/>
      <c r="M50" s="97"/>
      <c r="Z50" s="97"/>
    </row>
    <row r="51" spans="2:26">
      <c r="B51" s="97"/>
      <c r="E51" s="97"/>
      <c r="G51" s="97"/>
      <c r="H51" s="97"/>
      <c r="I51" s="97"/>
      <c r="J51" s="97"/>
      <c r="K51" s="97"/>
      <c r="L51" s="97"/>
      <c r="M51" s="97"/>
      <c r="Z51" s="97"/>
    </row>
    <row r="52" spans="2:26">
      <c r="B52" s="97"/>
      <c r="E52" s="97"/>
      <c r="G52" s="97"/>
      <c r="H52" s="97"/>
      <c r="I52" s="97"/>
      <c r="J52" s="97"/>
      <c r="K52" s="97"/>
      <c r="L52" s="97"/>
      <c r="M52" s="97"/>
      <c r="Z52" s="97"/>
    </row>
    <row r="53" spans="2:26">
      <c r="B53" s="97"/>
      <c r="E53" s="97"/>
      <c r="G53" s="97"/>
      <c r="H53" s="97"/>
      <c r="I53" s="97"/>
      <c r="J53" s="97"/>
      <c r="K53" s="97"/>
      <c r="L53" s="97"/>
      <c r="M53" s="97"/>
      <c r="Z53" s="97"/>
    </row>
    <row r="54" spans="2:26">
      <c r="B54" s="97"/>
      <c r="E54" s="97"/>
      <c r="G54" s="97"/>
      <c r="H54" s="97"/>
      <c r="I54" s="97"/>
      <c r="J54" s="97"/>
      <c r="K54" s="97"/>
      <c r="L54" s="97"/>
      <c r="M54" s="97"/>
      <c r="Z54" s="97"/>
    </row>
    <row r="55" spans="2:26">
      <c r="B55" s="97"/>
      <c r="E55" s="97"/>
      <c r="G55" s="97"/>
      <c r="H55" s="97"/>
      <c r="I55" s="97"/>
      <c r="J55" s="97"/>
      <c r="K55" s="97"/>
      <c r="L55" s="97"/>
      <c r="M55" s="97"/>
      <c r="Z55" s="97"/>
    </row>
    <row r="56" spans="2:26">
      <c r="B56" s="97"/>
      <c r="E56" s="97"/>
      <c r="G56" s="97"/>
      <c r="H56" s="97"/>
      <c r="I56" s="97"/>
      <c r="J56" s="97"/>
      <c r="K56" s="97"/>
      <c r="L56" s="97"/>
      <c r="M56" s="97"/>
      <c r="Z56" s="97"/>
    </row>
    <row r="57" spans="2:26">
      <c r="B57" s="97"/>
      <c r="E57" s="97"/>
      <c r="G57" s="97"/>
      <c r="H57" s="97"/>
      <c r="I57" s="97"/>
      <c r="J57" s="97"/>
      <c r="K57" s="97"/>
      <c r="L57" s="97"/>
      <c r="M57" s="97"/>
      <c r="Z57" s="97"/>
    </row>
    <row r="58" spans="2:26">
      <c r="B58" s="97"/>
      <c r="E58" s="97"/>
      <c r="G58" s="97"/>
      <c r="H58" s="97"/>
      <c r="I58" s="97"/>
      <c r="J58" s="97"/>
      <c r="K58" s="97"/>
      <c r="L58" s="97"/>
      <c r="M58" s="97"/>
      <c r="Z58" s="97"/>
    </row>
    <row r="59" spans="2:26">
      <c r="B59" s="97"/>
      <c r="E59" s="97"/>
      <c r="G59" s="97"/>
      <c r="H59" s="97"/>
      <c r="I59" s="97"/>
      <c r="J59" s="97"/>
      <c r="K59" s="97"/>
      <c r="L59" s="97"/>
      <c r="M59" s="97"/>
      <c r="Z59" s="97"/>
    </row>
    <row r="60" spans="2:26">
      <c r="B60" s="97"/>
      <c r="E60" s="97"/>
      <c r="G60" s="97"/>
      <c r="H60" s="97"/>
      <c r="I60" s="97"/>
      <c r="J60" s="97"/>
      <c r="K60" s="97"/>
      <c r="L60" s="97"/>
      <c r="M60" s="97"/>
      <c r="Z60" s="97"/>
    </row>
    <row r="61" spans="2:26">
      <c r="B61" s="97"/>
      <c r="E61" s="97"/>
      <c r="G61" s="97"/>
      <c r="H61" s="97"/>
      <c r="I61" s="97"/>
      <c r="J61" s="97"/>
      <c r="K61" s="97"/>
      <c r="L61" s="97"/>
      <c r="M61" s="97"/>
      <c r="Z61" s="97"/>
    </row>
    <row r="62" spans="2:26">
      <c r="B62" s="97"/>
      <c r="E62" s="97"/>
      <c r="G62" s="97"/>
      <c r="H62" s="97"/>
      <c r="I62" s="97"/>
      <c r="J62" s="97"/>
      <c r="K62" s="97"/>
      <c r="L62" s="97"/>
      <c r="M62" s="97"/>
      <c r="Z62" s="97"/>
    </row>
    <row r="63" spans="2:26">
      <c r="B63" s="97"/>
      <c r="E63" s="97"/>
      <c r="G63" s="97"/>
      <c r="H63" s="97"/>
      <c r="I63" s="97"/>
      <c r="J63" s="97"/>
      <c r="K63" s="97"/>
      <c r="L63" s="97"/>
      <c r="M63" s="97"/>
      <c r="Z63" s="97"/>
    </row>
    <row r="64" spans="2:26">
      <c r="B64" s="97"/>
      <c r="E64" s="97"/>
      <c r="G64" s="97"/>
      <c r="H64" s="97"/>
      <c r="I64" s="97"/>
      <c r="J64" s="97"/>
      <c r="K64" s="97"/>
      <c r="L64" s="97"/>
      <c r="M64" s="97"/>
      <c r="Z64" s="97"/>
    </row>
    <row r="65" spans="2:26">
      <c r="B65" s="97"/>
      <c r="E65" s="97"/>
      <c r="G65" s="97"/>
      <c r="H65" s="97"/>
      <c r="I65" s="97"/>
      <c r="J65" s="97"/>
      <c r="K65" s="97"/>
      <c r="L65" s="97"/>
      <c r="M65" s="97"/>
      <c r="Z65" s="97"/>
    </row>
    <row r="66" spans="2:26">
      <c r="B66" s="97"/>
      <c r="E66" s="97"/>
      <c r="G66" s="97"/>
      <c r="H66" s="97"/>
      <c r="I66" s="97"/>
      <c r="J66" s="97"/>
      <c r="K66" s="97"/>
      <c r="L66" s="97"/>
      <c r="M66" s="97"/>
      <c r="Z66" s="97"/>
    </row>
    <row r="67" spans="2:26">
      <c r="B67" s="97"/>
      <c r="E67" s="97"/>
      <c r="G67" s="97"/>
      <c r="H67" s="97"/>
      <c r="I67" s="97"/>
      <c r="J67" s="97"/>
      <c r="K67" s="97"/>
      <c r="L67" s="97"/>
      <c r="M67" s="97"/>
      <c r="Z67" s="97"/>
    </row>
    <row r="68" spans="2:26">
      <c r="B68" s="97"/>
      <c r="E68" s="97"/>
      <c r="G68" s="97"/>
      <c r="H68" s="97"/>
      <c r="I68" s="97"/>
      <c r="J68" s="97"/>
      <c r="K68" s="97"/>
      <c r="L68" s="97"/>
      <c r="M68" s="97"/>
      <c r="Z68" s="97"/>
    </row>
    <row r="69" spans="2:26" ht="12.75" customHeight="1">
      <c r="B69" s="97"/>
      <c r="E69" s="97"/>
      <c r="G69" s="97"/>
      <c r="H69" s="97"/>
      <c r="I69" s="97"/>
      <c r="J69" s="97"/>
      <c r="K69" s="97"/>
      <c r="L69" s="97"/>
      <c r="M69" s="97"/>
      <c r="Z69" s="97"/>
    </row>
    <row r="70" spans="2:26">
      <c r="B70" s="97"/>
      <c r="E70" s="97"/>
      <c r="G70" s="97"/>
      <c r="H70" s="97"/>
      <c r="I70" s="97"/>
      <c r="J70" s="97"/>
      <c r="K70" s="97"/>
      <c r="L70" s="97"/>
      <c r="M70" s="97"/>
      <c r="Z70" s="97"/>
    </row>
    <row r="71" spans="2:26">
      <c r="B71" s="97"/>
      <c r="E71" s="97"/>
      <c r="G71" s="97"/>
      <c r="H71" s="97"/>
      <c r="I71" s="97"/>
      <c r="J71" s="97"/>
      <c r="K71" s="97"/>
      <c r="L71" s="97"/>
      <c r="M71" s="97"/>
      <c r="Z71" s="97"/>
    </row>
    <row r="72" spans="2:26">
      <c r="B72" s="97"/>
      <c r="E72" s="97"/>
      <c r="G72" s="97"/>
      <c r="H72" s="97"/>
      <c r="I72" s="97"/>
      <c r="J72" s="97"/>
      <c r="K72" s="97"/>
      <c r="L72" s="97"/>
      <c r="M72" s="97"/>
      <c r="Z72" s="97"/>
    </row>
    <row r="73" spans="2:26" ht="12.75" customHeight="1">
      <c r="B73" s="97"/>
      <c r="E73" s="97"/>
      <c r="G73" s="97"/>
      <c r="H73" s="97"/>
      <c r="I73" s="97"/>
      <c r="J73" s="97"/>
      <c r="K73" s="97"/>
      <c r="L73" s="97"/>
      <c r="M73" s="97"/>
      <c r="Z73" s="97"/>
    </row>
    <row r="74" spans="2:26">
      <c r="B74" s="97"/>
      <c r="E74" s="97"/>
      <c r="G74" s="97"/>
      <c r="H74" s="97"/>
      <c r="I74" s="97"/>
      <c r="J74" s="97"/>
      <c r="K74" s="97"/>
      <c r="L74" s="97"/>
      <c r="M74" s="97"/>
      <c r="Z74" s="97"/>
    </row>
    <row r="75" spans="2:26">
      <c r="B75" s="97"/>
      <c r="E75" s="97"/>
      <c r="G75" s="97"/>
      <c r="H75" s="97"/>
      <c r="I75" s="97"/>
      <c r="J75" s="97"/>
      <c r="K75" s="97"/>
      <c r="L75" s="97"/>
      <c r="M75" s="97"/>
      <c r="Z75" s="97"/>
    </row>
    <row r="76" spans="2:26">
      <c r="B76" s="97"/>
      <c r="E76" s="97"/>
      <c r="G76" s="97"/>
      <c r="H76" s="97"/>
      <c r="I76" s="97"/>
      <c r="J76" s="97"/>
      <c r="K76" s="97"/>
      <c r="L76" s="97"/>
      <c r="M76" s="97"/>
      <c r="Z76" s="97"/>
    </row>
    <row r="77" spans="2:26" ht="12.75" customHeight="1">
      <c r="B77" s="97"/>
      <c r="E77" s="97"/>
      <c r="G77" s="97"/>
      <c r="H77" s="97"/>
      <c r="I77" s="97"/>
      <c r="J77" s="97"/>
      <c r="K77" s="97"/>
      <c r="L77" s="97"/>
      <c r="M77" s="97"/>
      <c r="Z77" s="97"/>
    </row>
    <row r="78" spans="2:26">
      <c r="B78" s="97"/>
      <c r="E78" s="97"/>
      <c r="G78" s="97"/>
      <c r="H78" s="97"/>
      <c r="I78" s="97"/>
      <c r="J78" s="97"/>
      <c r="K78" s="97"/>
      <c r="L78" s="97"/>
      <c r="M78" s="97"/>
      <c r="Z78" s="97"/>
    </row>
    <row r="79" spans="2:26">
      <c r="B79" s="97"/>
      <c r="E79" s="97"/>
      <c r="G79" s="97"/>
      <c r="H79" s="97"/>
      <c r="I79" s="97"/>
      <c r="J79" s="97"/>
      <c r="K79" s="97"/>
      <c r="L79" s="97"/>
      <c r="M79" s="97"/>
      <c r="Z79" s="97"/>
    </row>
    <row r="80" spans="2:26">
      <c r="B80" s="97"/>
      <c r="E80" s="97"/>
      <c r="G80" s="97"/>
      <c r="H80" s="97"/>
      <c r="I80" s="97"/>
      <c r="J80" s="97"/>
      <c r="K80" s="97"/>
      <c r="L80" s="97"/>
      <c r="M80" s="97"/>
      <c r="Z80" s="97"/>
    </row>
    <row r="81" spans="2:26">
      <c r="B81" s="97"/>
      <c r="E81" s="97"/>
      <c r="G81" s="97"/>
      <c r="H81" s="97"/>
      <c r="I81" s="97"/>
      <c r="J81" s="97"/>
      <c r="K81" s="97"/>
      <c r="L81" s="97"/>
      <c r="M81" s="97"/>
      <c r="Z81" s="97"/>
    </row>
    <row r="82" spans="2:26">
      <c r="B82" s="97"/>
      <c r="E82" s="97"/>
      <c r="G82" s="97"/>
      <c r="H82" s="97"/>
      <c r="I82" s="97"/>
      <c r="J82" s="97"/>
      <c r="K82" s="97"/>
      <c r="L82" s="97"/>
      <c r="M82" s="97"/>
      <c r="Z82" s="97"/>
    </row>
    <row r="83" spans="2:26">
      <c r="B83" s="97"/>
      <c r="E83" s="97"/>
      <c r="G83" s="97"/>
      <c r="H83" s="97"/>
      <c r="I83" s="97"/>
      <c r="J83" s="97"/>
      <c r="K83" s="97"/>
      <c r="L83" s="97"/>
      <c r="M83" s="97"/>
      <c r="Z83" s="97"/>
    </row>
    <row r="84" spans="2:26">
      <c r="B84" s="97"/>
      <c r="E84" s="97"/>
      <c r="G84" s="97"/>
      <c r="H84" s="97"/>
      <c r="I84" s="97"/>
      <c r="J84" s="97"/>
      <c r="K84" s="97"/>
      <c r="L84" s="97"/>
      <c r="M84" s="97"/>
    </row>
    <row r="85" spans="2:26">
      <c r="B85" s="97"/>
      <c r="E85" s="97"/>
      <c r="G85" s="97"/>
      <c r="H85" s="97"/>
      <c r="I85" s="97"/>
      <c r="J85" s="97"/>
      <c r="K85" s="97"/>
      <c r="L85" s="97"/>
      <c r="M85" s="97"/>
    </row>
    <row r="86" spans="2:26">
      <c r="B86" s="97"/>
      <c r="E86" s="97"/>
      <c r="G86" s="97"/>
      <c r="H86" s="97"/>
      <c r="I86" s="97"/>
      <c r="J86" s="97"/>
      <c r="K86" s="97"/>
      <c r="L86" s="97"/>
      <c r="M86" s="97"/>
    </row>
    <row r="87" spans="2:26">
      <c r="B87" s="97"/>
      <c r="E87" s="97"/>
      <c r="G87" s="97"/>
      <c r="H87" s="97"/>
      <c r="I87" s="97"/>
      <c r="J87" s="97"/>
      <c r="K87" s="97"/>
      <c r="L87" s="97"/>
      <c r="M87" s="97"/>
    </row>
    <row r="88" spans="2:26">
      <c r="B88" s="97"/>
      <c r="E88" s="97"/>
      <c r="G88" s="97"/>
      <c r="H88" s="97"/>
      <c r="I88" s="97"/>
      <c r="J88" s="97"/>
      <c r="K88" s="97"/>
      <c r="L88" s="97"/>
      <c r="M88" s="97"/>
    </row>
    <row r="89" spans="2:26">
      <c r="B89" s="97"/>
      <c r="E89" s="97"/>
      <c r="G89" s="97"/>
      <c r="H89" s="97"/>
      <c r="I89" s="97"/>
      <c r="J89" s="97"/>
      <c r="K89" s="97"/>
      <c r="L89" s="97"/>
      <c r="M89" s="97"/>
    </row>
    <row r="90" spans="2:26">
      <c r="B90" s="97"/>
      <c r="E90" s="97"/>
      <c r="G90" s="97"/>
      <c r="H90" s="97"/>
      <c r="I90" s="97"/>
      <c r="J90" s="97"/>
      <c r="K90" s="97"/>
      <c r="L90" s="97"/>
      <c r="M90" s="97"/>
    </row>
    <row r="91" spans="2:26">
      <c r="B91" s="97"/>
      <c r="E91" s="97"/>
      <c r="G91" s="97"/>
      <c r="H91" s="97"/>
      <c r="I91" s="97"/>
      <c r="J91" s="97"/>
      <c r="K91" s="97"/>
      <c r="L91" s="97"/>
      <c r="M91" s="97"/>
    </row>
    <row r="92" spans="2:26">
      <c r="B92" s="97"/>
      <c r="E92" s="97"/>
      <c r="G92" s="97"/>
      <c r="H92" s="97"/>
      <c r="I92" s="97"/>
      <c r="J92" s="97"/>
      <c r="K92" s="97"/>
      <c r="L92" s="97"/>
      <c r="M92" s="97"/>
    </row>
    <row r="93" spans="2:26">
      <c r="B93" s="97"/>
      <c r="E93" s="97"/>
      <c r="G93" s="97"/>
      <c r="H93" s="97"/>
      <c r="I93" s="97"/>
      <c r="J93" s="97"/>
      <c r="K93" s="97"/>
      <c r="L93" s="97"/>
      <c r="M93" s="97"/>
    </row>
    <row r="94" spans="2:26">
      <c r="B94" s="97"/>
      <c r="E94" s="97"/>
      <c r="G94" s="97"/>
      <c r="H94" s="97"/>
      <c r="I94" s="97"/>
      <c r="J94" s="97"/>
      <c r="K94" s="97"/>
      <c r="L94" s="97"/>
      <c r="M94" s="97"/>
    </row>
    <row r="95" spans="2:26">
      <c r="B95" s="97"/>
      <c r="E95" s="97"/>
      <c r="G95" s="97"/>
      <c r="H95" s="97"/>
      <c r="I95" s="97"/>
      <c r="J95" s="97"/>
      <c r="K95" s="97"/>
      <c r="L95" s="97"/>
      <c r="M95" s="97"/>
    </row>
    <row r="96" spans="2:26">
      <c r="B96" s="97"/>
      <c r="E96" s="97"/>
      <c r="G96" s="97"/>
      <c r="H96" s="97"/>
      <c r="I96" s="97"/>
      <c r="J96" s="97"/>
      <c r="K96" s="97"/>
      <c r="L96" s="97"/>
      <c r="M96" s="97"/>
    </row>
    <row r="97" s="97" customFormat="1"/>
    <row r="98" s="97" customFormat="1"/>
    <row r="99" s="97" customFormat="1"/>
    <row r="100" s="97" customFormat="1"/>
    <row r="101" s="97" customFormat="1"/>
    <row r="102" s="97" customFormat="1"/>
    <row r="103" s="97" customFormat="1"/>
    <row r="104" s="97" customFormat="1"/>
    <row r="105" s="97" customFormat="1"/>
    <row r="106" s="97" customFormat="1"/>
    <row r="107" s="97" customFormat="1"/>
    <row r="108" s="97" customFormat="1"/>
    <row r="109" s="97" customFormat="1"/>
    <row r="110" s="97" customFormat="1"/>
    <row r="111" s="97" customFormat="1"/>
    <row r="112" s="97" customFormat="1"/>
    <row r="113" s="97" customFormat="1"/>
    <row r="114" s="97" customFormat="1"/>
    <row r="115" s="97" customFormat="1"/>
    <row r="116" s="97" customFormat="1"/>
    <row r="117" s="97" customFormat="1"/>
    <row r="118" s="97" customFormat="1"/>
    <row r="119" s="97" customFormat="1"/>
    <row r="120" s="97" customFormat="1"/>
    <row r="121" s="97" customFormat="1"/>
    <row r="122" s="97" customFormat="1"/>
    <row r="123" s="97" customFormat="1"/>
    <row r="124" s="97" customFormat="1"/>
    <row r="125" s="97" customFormat="1"/>
    <row r="126" s="97" customFormat="1"/>
    <row r="127" s="97" customFormat="1"/>
    <row r="128" s="97" customFormat="1"/>
    <row r="129" s="97" customFormat="1"/>
    <row r="130" s="97" customFormat="1"/>
    <row r="131" s="97" customFormat="1"/>
    <row r="132" s="97" customFormat="1"/>
    <row r="133" s="97" customFormat="1"/>
    <row r="134" s="97" customFormat="1"/>
    <row r="135" s="97" customFormat="1"/>
    <row r="136" s="97" customFormat="1"/>
  </sheetData>
  <mergeCells count="56">
    <mergeCell ref="A14:A17"/>
    <mergeCell ref="G20:G21"/>
    <mergeCell ref="H20:H21"/>
    <mergeCell ref="J14:J25"/>
    <mergeCell ref="B16:B17"/>
    <mergeCell ref="G16:G17"/>
    <mergeCell ref="H16:H17"/>
    <mergeCell ref="I16:I17"/>
    <mergeCell ref="I20:I21"/>
    <mergeCell ref="A22:A25"/>
    <mergeCell ref="B22:B23"/>
    <mergeCell ref="G22:G23"/>
    <mergeCell ref="H22:H23"/>
    <mergeCell ref="I22:I23"/>
    <mergeCell ref="B24:B25"/>
    <mergeCell ref="A18:A21"/>
    <mergeCell ref="A30:A32"/>
    <mergeCell ref="B30:C32"/>
    <mergeCell ref="D30:D32"/>
    <mergeCell ref="E30:N30"/>
    <mergeCell ref="E31:G31"/>
    <mergeCell ref="H31:J31"/>
    <mergeCell ref="K31:N31"/>
    <mergeCell ref="B18:B19"/>
    <mergeCell ref="G18:G19"/>
    <mergeCell ref="H18:H19"/>
    <mergeCell ref="I18:I19"/>
    <mergeCell ref="G24:G25"/>
    <mergeCell ref="H24:H25"/>
    <mergeCell ref="I24:I25"/>
    <mergeCell ref="B14:B15"/>
    <mergeCell ref="G14:G15"/>
    <mergeCell ref="H14:H15"/>
    <mergeCell ref="I14:I15"/>
    <mergeCell ref="K6:K25"/>
    <mergeCell ref="B8:B9"/>
    <mergeCell ref="G8:G9"/>
    <mergeCell ref="H8:H9"/>
    <mergeCell ref="I8:I9"/>
    <mergeCell ref="J6:J9"/>
    <mergeCell ref="J10:J13"/>
    <mergeCell ref="B12:B13"/>
    <mergeCell ref="G12:G13"/>
    <mergeCell ref="H12:H13"/>
    <mergeCell ref="I12:I13"/>
    <mergeCell ref="B20:B21"/>
    <mergeCell ref="A10:A13"/>
    <mergeCell ref="B10:B11"/>
    <mergeCell ref="G10:G11"/>
    <mergeCell ref="H10:H11"/>
    <mergeCell ref="I10:I11"/>
    <mergeCell ref="A6:A9"/>
    <mergeCell ref="B6:B7"/>
    <mergeCell ref="G6:G7"/>
    <mergeCell ref="H6:H7"/>
    <mergeCell ref="I6:I7"/>
  </mergeCells>
  <conditionalFormatting sqref="F6:F25">
    <cfRule type="colorScale" priority="4">
      <colorScale>
        <cfvo type="min" val="0"/>
        <cfvo type="percentile" val="50"/>
        <cfvo type="max" val="0"/>
        <color rgb="FFF8696B"/>
        <color rgb="FFFFEB84"/>
        <color rgb="FF63BE7B"/>
      </colorScale>
    </cfRule>
  </conditionalFormatting>
  <conditionalFormatting sqref="E6:E25">
    <cfRule type="colorScale" priority="3">
      <colorScale>
        <cfvo type="min" val="0"/>
        <cfvo type="percentile" val="50"/>
        <cfvo type="max" val="0"/>
        <color rgb="FFF8696B"/>
        <color rgb="FFFFEB84"/>
        <color rgb="FF63BE7B"/>
      </colorScale>
    </cfRule>
  </conditionalFormatting>
  <conditionalFormatting sqref="D6:D25">
    <cfRule type="colorScale" priority="2">
      <colorScale>
        <cfvo type="min" val="0"/>
        <cfvo type="percentile" val="50"/>
        <cfvo type="max" val="0"/>
        <color rgb="FFF8696B"/>
        <color rgb="FFFFEB84"/>
        <color rgb="FF63BE7B"/>
      </colorScale>
    </cfRule>
  </conditionalFormatting>
  <conditionalFormatting sqref="I6:I25">
    <cfRule type="colorScale" priority="1">
      <colorScale>
        <cfvo type="min" val="0"/>
        <cfvo type="percentile" val="50"/>
        <cfvo type="max" val="0"/>
        <color rgb="FFF8696B"/>
        <color rgb="FFFFEB84"/>
        <color rgb="FF63BE7B"/>
      </colorScale>
    </cfRule>
  </conditionalFormatting>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sheetPr codeName="Sheet3"/>
  <dimension ref="A63:U298"/>
  <sheetViews>
    <sheetView topLeftCell="A271" zoomScaleNormal="100" workbookViewId="0">
      <selection activeCell="S292" sqref="S292"/>
    </sheetView>
  </sheetViews>
  <sheetFormatPr defaultRowHeight="12.75"/>
  <cols>
    <col min="1" max="16384" width="9.140625" style="227"/>
  </cols>
  <sheetData>
    <row r="63" spans="1:1">
      <c r="A63" s="97" t="s">
        <v>383</v>
      </c>
    </row>
    <row r="68" spans="19:21">
      <c r="S68" s="355"/>
    </row>
    <row r="69" spans="19:21">
      <c r="S69" s="355"/>
    </row>
    <row r="70" spans="19:21">
      <c r="S70" s="355"/>
    </row>
    <row r="71" spans="19:21">
      <c r="S71" s="355"/>
    </row>
    <row r="72" spans="19:21">
      <c r="S72" s="356" t="s">
        <v>384</v>
      </c>
      <c r="T72" s="357">
        <v>0.01</v>
      </c>
    </row>
    <row r="73" spans="19:21">
      <c r="S73" s="356" t="s">
        <v>385</v>
      </c>
      <c r="T73" s="227">
        <v>3</v>
      </c>
      <c r="U73" s="226" t="s">
        <v>386</v>
      </c>
    </row>
    <row r="74" spans="19:21">
      <c r="S74" s="355"/>
      <c r="T74" s="358">
        <f>T73*T72</f>
        <v>0.03</v>
      </c>
    </row>
    <row r="75" spans="19:21">
      <c r="S75" s="355"/>
    </row>
    <row r="76" spans="19:21">
      <c r="S76" s="355"/>
    </row>
    <row r="77" spans="19:21">
      <c r="S77" s="355"/>
    </row>
    <row r="78" spans="19:21">
      <c r="S78" s="355"/>
    </row>
    <row r="79" spans="19:21">
      <c r="S79" s="355"/>
    </row>
    <row r="89" spans="1:1">
      <c r="A89" s="359" t="s">
        <v>387</v>
      </c>
    </row>
    <row r="119" spans="12:13">
      <c r="L119" s="356" t="s">
        <v>388</v>
      </c>
      <c r="M119" s="357">
        <v>0.7</v>
      </c>
    </row>
    <row r="120" spans="12:13">
      <c r="L120" s="356" t="s">
        <v>389</v>
      </c>
      <c r="M120" s="357">
        <v>0.65</v>
      </c>
    </row>
    <row r="121" spans="12:13">
      <c r="L121" s="356" t="s">
        <v>390</v>
      </c>
      <c r="M121" s="227">
        <v>175</v>
      </c>
    </row>
    <row r="122" spans="12:13">
      <c r="L122" s="356" t="s">
        <v>391</v>
      </c>
      <c r="M122" s="227">
        <v>8</v>
      </c>
    </row>
    <row r="123" spans="12:13">
      <c r="L123" s="356" t="s">
        <v>392</v>
      </c>
      <c r="M123" s="227">
        <v>65</v>
      </c>
    </row>
    <row r="124" spans="12:13">
      <c r="L124" s="356" t="s">
        <v>393</v>
      </c>
      <c r="M124" s="227">
        <v>55</v>
      </c>
    </row>
    <row r="125" spans="12:13">
      <c r="L125" s="356" t="s">
        <v>394</v>
      </c>
      <c r="M125" s="227">
        <v>1600</v>
      </c>
    </row>
    <row r="133" spans="12:13">
      <c r="L133" s="355"/>
    </row>
    <row r="134" spans="12:13">
      <c r="L134" s="355"/>
    </row>
    <row r="135" spans="12:13">
      <c r="L135" s="355"/>
    </row>
    <row r="136" spans="12:13">
      <c r="L136" s="355"/>
    </row>
    <row r="137" spans="12:13">
      <c r="L137" s="355"/>
    </row>
    <row r="138" spans="12:13">
      <c r="L138" s="356" t="s">
        <v>395</v>
      </c>
      <c r="M138" s="357">
        <v>0.5</v>
      </c>
    </row>
    <row r="139" spans="12:13">
      <c r="L139" s="356" t="s">
        <v>396</v>
      </c>
      <c r="M139" s="227">
        <v>6</v>
      </c>
    </row>
    <row r="140" spans="12:13">
      <c r="L140" s="356" t="s">
        <v>390</v>
      </c>
      <c r="M140" s="227">
        <v>216</v>
      </c>
    </row>
    <row r="141" spans="12:13">
      <c r="L141" s="355"/>
    </row>
    <row r="142" spans="12:13">
      <c r="L142" s="355"/>
    </row>
    <row r="143" spans="12:13">
      <c r="L143" s="355"/>
    </row>
    <row r="144" spans="12:13">
      <c r="L144" s="355"/>
    </row>
    <row r="145" spans="12:12">
      <c r="L145" s="355"/>
    </row>
    <row r="146" spans="12:12">
      <c r="L146" s="355"/>
    </row>
    <row r="147" spans="12:12">
      <c r="L147" s="355"/>
    </row>
    <row r="148" spans="12:12">
      <c r="L148" s="355"/>
    </row>
    <row r="163" spans="12:13">
      <c r="L163" s="356" t="s">
        <v>397</v>
      </c>
      <c r="M163" s="227">
        <v>1000</v>
      </c>
    </row>
    <row r="164" spans="12:13">
      <c r="L164" s="356" t="s">
        <v>398</v>
      </c>
      <c r="M164" s="227">
        <v>2200</v>
      </c>
    </row>
    <row r="165" spans="12:13">
      <c r="L165" s="355"/>
    </row>
    <row r="203" spans="13:15">
      <c r="M203" s="355" t="s">
        <v>399</v>
      </c>
      <c r="N203" s="227">
        <v>60.4</v>
      </c>
      <c r="O203" s="227" t="s">
        <v>135</v>
      </c>
    </row>
    <row r="204" spans="13:15">
      <c r="M204" s="355" t="s">
        <v>400</v>
      </c>
      <c r="N204" s="227">
        <v>66.2</v>
      </c>
      <c r="O204" s="227" t="s">
        <v>135</v>
      </c>
    </row>
    <row r="237" spans="13:15">
      <c r="M237" s="355" t="s">
        <v>146</v>
      </c>
    </row>
    <row r="238" spans="13:15">
      <c r="M238" s="355" t="s">
        <v>401</v>
      </c>
    </row>
    <row r="239" spans="13:15">
      <c r="M239" s="355" t="s">
        <v>402</v>
      </c>
      <c r="N239" s="360">
        <v>5.1100000000000003</v>
      </c>
      <c r="O239" s="227" t="s">
        <v>403</v>
      </c>
    </row>
    <row r="266" spans="14:15">
      <c r="N266" s="355" t="s">
        <v>404</v>
      </c>
      <c r="O266" s="361">
        <v>30</v>
      </c>
    </row>
    <row r="267" spans="14:15">
      <c r="N267" s="355" t="s">
        <v>405</v>
      </c>
      <c r="O267" s="361">
        <v>30</v>
      </c>
    </row>
    <row r="281" spans="13:19">
      <c r="M281" s="876" t="s">
        <v>406</v>
      </c>
      <c r="N281" s="876"/>
      <c r="O281" s="876"/>
      <c r="P281" s="876"/>
      <c r="Q281" s="876"/>
      <c r="R281" s="876"/>
      <c r="S281" s="877"/>
    </row>
    <row r="282" spans="13:19">
      <c r="M282" s="362"/>
      <c r="N282" s="878" t="s">
        <v>407</v>
      </c>
      <c r="O282" s="879"/>
      <c r="P282" s="878" t="s">
        <v>408</v>
      </c>
      <c r="Q282" s="879"/>
      <c r="R282" s="878" t="s">
        <v>409</v>
      </c>
      <c r="S282" s="879"/>
    </row>
    <row r="283" spans="13:19" ht="51.75" thickBot="1">
      <c r="M283" s="363" t="s">
        <v>410</v>
      </c>
      <c r="N283" s="363" t="s">
        <v>411</v>
      </c>
      <c r="O283" s="363" t="s">
        <v>412</v>
      </c>
      <c r="P283" s="363" t="s">
        <v>411</v>
      </c>
      <c r="Q283" s="363" t="s">
        <v>412</v>
      </c>
      <c r="R283" s="363" t="s">
        <v>411</v>
      </c>
      <c r="S283" s="363" t="s">
        <v>412</v>
      </c>
    </row>
    <row r="284" spans="13:19" ht="13.5" thickTop="1">
      <c r="M284" s="364" t="s">
        <v>413</v>
      </c>
      <c r="N284" s="365">
        <v>0</v>
      </c>
      <c r="O284" s="365"/>
      <c r="P284" s="365">
        <v>5</v>
      </c>
      <c r="Q284" s="366">
        <v>2.5</v>
      </c>
      <c r="R284" s="365">
        <v>0</v>
      </c>
      <c r="S284" s="365"/>
    </row>
    <row r="285" spans="13:19">
      <c r="M285" s="367" t="s">
        <v>414</v>
      </c>
      <c r="N285" s="365">
        <v>0</v>
      </c>
      <c r="O285" s="365"/>
      <c r="P285" s="365">
        <v>18</v>
      </c>
      <c r="Q285" s="366">
        <v>3.3</v>
      </c>
      <c r="R285" s="365">
        <v>13</v>
      </c>
      <c r="S285" s="365">
        <v>2.9</v>
      </c>
    </row>
    <row r="286" spans="13:19">
      <c r="M286" s="367" t="s">
        <v>415</v>
      </c>
      <c r="N286" s="365">
        <v>0</v>
      </c>
      <c r="O286" s="365"/>
      <c r="P286" s="365">
        <v>121</v>
      </c>
      <c r="Q286" s="366">
        <v>4.0999999999999996</v>
      </c>
      <c r="R286" s="365">
        <v>58</v>
      </c>
      <c r="S286" s="365">
        <v>3.6</v>
      </c>
    </row>
    <row r="287" spans="13:19">
      <c r="M287" s="367" t="s">
        <v>416</v>
      </c>
      <c r="N287" s="365">
        <v>62</v>
      </c>
      <c r="O287" s="366">
        <v>4.7</v>
      </c>
      <c r="P287" s="365">
        <v>116</v>
      </c>
      <c r="Q287" s="366">
        <v>5</v>
      </c>
      <c r="R287" s="365">
        <v>62</v>
      </c>
      <c r="S287" s="366">
        <v>4.4000000000000004</v>
      </c>
    </row>
    <row r="288" spans="13:19">
      <c r="M288" s="367" t="s">
        <v>417</v>
      </c>
      <c r="N288" s="365">
        <v>44</v>
      </c>
      <c r="O288" s="366">
        <v>5.7</v>
      </c>
      <c r="P288" s="365">
        <v>10</v>
      </c>
      <c r="Q288" s="366">
        <v>6.1</v>
      </c>
      <c r="R288" s="365">
        <v>9</v>
      </c>
      <c r="S288" s="366">
        <v>5.4</v>
      </c>
    </row>
    <row r="289" spans="13:19">
      <c r="M289" s="367" t="s">
        <v>418</v>
      </c>
      <c r="N289" s="365">
        <v>1</v>
      </c>
      <c r="O289" s="366">
        <v>8</v>
      </c>
      <c r="P289" s="365">
        <v>0</v>
      </c>
      <c r="Q289" s="366"/>
      <c r="R289" s="365">
        <v>0</v>
      </c>
      <c r="S289" s="365"/>
    </row>
    <row r="290" spans="13:19" ht="13.5" thickBot="1">
      <c r="M290" s="368" t="s">
        <v>419</v>
      </c>
      <c r="N290" s="369">
        <v>2</v>
      </c>
      <c r="O290" s="370">
        <v>9.1999999999999993</v>
      </c>
      <c r="P290" s="369">
        <v>2</v>
      </c>
      <c r="Q290" s="370">
        <v>9.8000000000000007</v>
      </c>
      <c r="R290" s="369">
        <v>0</v>
      </c>
      <c r="S290" s="369"/>
    </row>
    <row r="291" spans="13:19" ht="13.5" thickTop="1">
      <c r="M291" s="371" t="s">
        <v>420</v>
      </c>
      <c r="N291" s="365">
        <f>SUM(N284:N290)</f>
        <v>109</v>
      </c>
      <c r="O291" s="365"/>
      <c r="P291" s="365">
        <f>SUM(P284:P290)</f>
        <v>272</v>
      </c>
      <c r="Q291" s="365"/>
      <c r="R291" s="365">
        <f>SUM(R284:R290)</f>
        <v>142</v>
      </c>
      <c r="S291" s="365"/>
    </row>
    <row r="292" spans="13:19">
      <c r="M292" s="371" t="s">
        <v>421</v>
      </c>
      <c r="N292" s="365"/>
      <c r="O292" s="366">
        <f>(N287*O287+N288*O288+N289*O289+N290*O290)/N291</f>
        <v>5.2165137614678905</v>
      </c>
      <c r="P292" s="365"/>
      <c r="Q292" s="366">
        <f>(P284*Q284+P285*Q285+P286*Q286+P287*Q287+P288*Q288+P290*Q290)/P291</f>
        <v>4.5169117647058821</v>
      </c>
      <c r="R292" s="365"/>
      <c r="S292" s="366">
        <f>(R285*S285+R286*S286+R287*S287+R288*S288)/R291</f>
        <v>3.9992957746478872</v>
      </c>
    </row>
    <row r="293" spans="13:19">
      <c r="M293" s="365"/>
      <c r="N293" s="365"/>
      <c r="O293" s="365"/>
      <c r="P293" s="372"/>
      <c r="Q293" s="365"/>
      <c r="R293" s="365"/>
      <c r="S293" s="365"/>
    </row>
    <row r="294" spans="13:19" ht="18">
      <c r="M294" s="373" t="s">
        <v>422</v>
      </c>
      <c r="N294" s="365"/>
      <c r="O294" s="365"/>
      <c r="P294" s="365"/>
      <c r="Q294" s="365"/>
      <c r="R294" s="365"/>
      <c r="S294" s="365"/>
    </row>
    <row r="295" spans="13:19" ht="51.75" thickBot="1">
      <c r="M295" s="374" t="s">
        <v>423</v>
      </c>
      <c r="N295" s="374" t="s">
        <v>424</v>
      </c>
      <c r="O295" s="374" t="s">
        <v>425</v>
      </c>
      <c r="P295" s="365"/>
      <c r="Q295" s="880" t="s">
        <v>426</v>
      </c>
      <c r="R295" s="880"/>
      <c r="S295" s="880"/>
    </row>
    <row r="296" spans="13:19" ht="13.5" thickTop="1">
      <c r="M296" s="375" t="s">
        <v>427</v>
      </c>
      <c r="N296" s="375">
        <v>45</v>
      </c>
      <c r="O296" s="366">
        <f>O292</f>
        <v>5.2165137614678905</v>
      </c>
      <c r="P296" s="365"/>
      <c r="Q296" s="880"/>
      <c r="R296" s="880"/>
      <c r="S296" s="880"/>
    </row>
    <row r="297" spans="13:19">
      <c r="M297" s="375" t="s">
        <v>428</v>
      </c>
      <c r="N297" s="375">
        <v>52</v>
      </c>
      <c r="O297" s="366">
        <f>Q292</f>
        <v>4.5169117647058821</v>
      </c>
      <c r="P297" s="365"/>
      <c r="Q297" s="880"/>
      <c r="R297" s="880"/>
      <c r="S297" s="880"/>
    </row>
    <row r="298" spans="13:19">
      <c r="M298" s="375" t="s">
        <v>429</v>
      </c>
      <c r="N298" s="375">
        <v>40</v>
      </c>
      <c r="O298" s="366">
        <f>S292</f>
        <v>3.9992957746478872</v>
      </c>
      <c r="P298" s="365"/>
      <c r="Q298" s="880"/>
      <c r="R298" s="880"/>
      <c r="S298" s="880"/>
    </row>
  </sheetData>
  <mergeCells count="5">
    <mergeCell ref="M281:S281"/>
    <mergeCell ref="N282:O282"/>
    <mergeCell ref="P282:Q282"/>
    <mergeCell ref="R282:S282"/>
    <mergeCell ref="Q295:S29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sheetPr codeName="Sheet17"/>
  <dimension ref="A1:S258"/>
  <sheetViews>
    <sheetView topLeftCell="A208" zoomScale="90" zoomScaleNormal="90" workbookViewId="0">
      <selection activeCell="C258" sqref="C258"/>
    </sheetView>
  </sheetViews>
  <sheetFormatPr defaultRowHeight="12.75"/>
  <cols>
    <col min="1" max="1" width="15.85546875" style="376" customWidth="1"/>
    <col min="2" max="2" width="13.42578125" style="376" bestFit="1" customWidth="1"/>
    <col min="3" max="3" width="13.42578125" style="376" customWidth="1"/>
    <col min="4" max="4" width="17.42578125" style="376" customWidth="1"/>
    <col min="5" max="5" width="23.7109375" style="376" bestFit="1" customWidth="1"/>
    <col min="6" max="6" width="11" style="376" customWidth="1"/>
    <col min="7" max="7" width="20.7109375" style="376" customWidth="1"/>
    <col min="8" max="8" width="9.140625" style="376"/>
    <col min="9" max="9" width="12.5703125" style="376" customWidth="1"/>
    <col min="10" max="13" width="9.140625" style="376"/>
    <col min="14" max="14" width="12.42578125" style="376" bestFit="1" customWidth="1"/>
    <col min="15" max="15" width="30.28515625" style="376" customWidth="1"/>
    <col min="16" max="16" width="9.140625" style="376"/>
    <col min="17" max="17" width="19.140625" style="376" bestFit="1" customWidth="1"/>
    <col min="18" max="18" width="9.7109375" style="376" customWidth="1"/>
    <col min="19" max="19" width="17.7109375" style="376" customWidth="1"/>
    <col min="20" max="16384" width="9.140625" style="376"/>
  </cols>
  <sheetData>
    <row r="1" spans="1:19">
      <c r="A1" s="376" t="s">
        <v>434</v>
      </c>
    </row>
    <row r="4" spans="1:19" ht="13.5" thickBot="1">
      <c r="A4" s="377" t="s">
        <v>435</v>
      </c>
    </row>
    <row r="5" spans="1:19">
      <c r="A5" s="881" t="s">
        <v>436</v>
      </c>
      <c r="B5" s="883" t="s">
        <v>437</v>
      </c>
      <c r="C5" s="885" t="s">
        <v>438</v>
      </c>
      <c r="D5" s="885"/>
      <c r="E5" s="885"/>
      <c r="F5" s="886" t="s">
        <v>439</v>
      </c>
      <c r="G5" s="887"/>
    </row>
    <row r="6" spans="1:19" ht="57.75" customHeight="1" thickBot="1">
      <c r="A6" s="882"/>
      <c r="B6" s="884"/>
      <c r="C6" s="378" t="s">
        <v>440</v>
      </c>
      <c r="D6" s="378" t="s">
        <v>441</v>
      </c>
      <c r="E6" s="378" t="s">
        <v>170</v>
      </c>
      <c r="F6" s="378" t="s">
        <v>442</v>
      </c>
      <c r="G6" s="379" t="s">
        <v>443</v>
      </c>
      <c r="N6" s="380" t="s">
        <v>202</v>
      </c>
      <c r="O6" s="376" t="s">
        <v>444</v>
      </c>
      <c r="P6" s="381" t="s">
        <v>445</v>
      </c>
      <c r="Q6" s="381" t="s">
        <v>446</v>
      </c>
      <c r="R6" s="151" t="s">
        <v>447</v>
      </c>
      <c r="S6" s="381" t="s">
        <v>448</v>
      </c>
    </row>
    <row r="7" spans="1:19" ht="32.25" customHeight="1">
      <c r="A7" s="382" t="s">
        <v>449</v>
      </c>
      <c r="B7" s="383">
        <v>504</v>
      </c>
      <c r="C7" s="384" t="s">
        <v>450</v>
      </c>
      <c r="D7" s="384" t="s">
        <v>451</v>
      </c>
      <c r="E7" s="384" t="s">
        <v>452</v>
      </c>
      <c r="F7" s="385">
        <f>F31</f>
        <v>16.34</v>
      </c>
      <c r="G7" s="386">
        <v>203</v>
      </c>
      <c r="N7" s="376" t="s">
        <v>453</v>
      </c>
      <c r="O7" s="387" t="s">
        <v>454</v>
      </c>
      <c r="P7" s="388">
        <f>SUM(E15:E30,E36:E47,E53:E57)/SUM(H15:H30,H36:H47,H53:H57)</f>
        <v>0.13253563155956666</v>
      </c>
      <c r="Q7" s="151" t="s">
        <v>455</v>
      </c>
      <c r="R7" s="381">
        <f>COUNTA(A15:A30,A36:A47,A53:A57)</f>
        <v>33</v>
      </c>
      <c r="S7" s="381"/>
    </row>
    <row r="8" spans="1:19" ht="45" customHeight="1">
      <c r="A8" s="389" t="s">
        <v>456</v>
      </c>
      <c r="B8" s="390">
        <v>346</v>
      </c>
      <c r="C8" s="391" t="s">
        <v>457</v>
      </c>
      <c r="D8" s="391" t="s">
        <v>458</v>
      </c>
      <c r="E8" s="391" t="s">
        <v>459</v>
      </c>
      <c r="F8" s="392">
        <f>F48</f>
        <v>11.6</v>
      </c>
      <c r="G8" s="393">
        <v>144</v>
      </c>
      <c r="N8" s="376" t="s">
        <v>453</v>
      </c>
      <c r="O8" s="387" t="s">
        <v>460</v>
      </c>
      <c r="P8" s="388">
        <f>SUM(E161,E163:E176,E182:E193,E199:E202)/SUM(H161,H163:H176,H182:H193,H199:H202)</f>
        <v>0.12096502398015993</v>
      </c>
      <c r="Q8" s="151" t="s">
        <v>461</v>
      </c>
      <c r="R8" s="381">
        <f>R7</f>
        <v>33</v>
      </c>
      <c r="S8" s="381"/>
    </row>
    <row r="9" spans="1:19" ht="36.75" customHeight="1" thickBot="1">
      <c r="A9" s="394" t="s">
        <v>462</v>
      </c>
      <c r="B9" s="395">
        <v>72</v>
      </c>
      <c r="C9" s="396" t="s">
        <v>463</v>
      </c>
      <c r="D9" s="396" t="s">
        <v>115</v>
      </c>
      <c r="E9" s="396" t="s">
        <v>464</v>
      </c>
      <c r="F9" s="397">
        <f>F58</f>
        <v>35.6</v>
      </c>
      <c r="G9" s="398">
        <v>381</v>
      </c>
      <c r="N9" s="376" t="s">
        <v>465</v>
      </c>
      <c r="O9" s="380" t="s">
        <v>466</v>
      </c>
      <c r="P9" s="388">
        <f>SUMPRODUCT(M110:M139,O110:O139)/SUM(M110:M139)/100</f>
        <v>5.15201668984701E-3</v>
      </c>
      <c r="Q9" s="151" t="s">
        <v>455</v>
      </c>
      <c r="R9" s="381">
        <f>COUNTA(A208:A211,A214:A238)</f>
        <v>29</v>
      </c>
      <c r="S9" s="381"/>
    </row>
    <row r="10" spans="1:19" ht="51.75" thickBot="1">
      <c r="A10" s="399" t="s">
        <v>198</v>
      </c>
      <c r="B10" s="400"/>
      <c r="C10" s="401"/>
      <c r="D10" s="401"/>
      <c r="E10" s="401"/>
      <c r="F10" s="402">
        <f>AVERAGE(F7:F9)</f>
        <v>21.18</v>
      </c>
      <c r="G10" s="403">
        <v>243</v>
      </c>
      <c r="N10" s="376" t="s">
        <v>465</v>
      </c>
      <c r="O10" s="380" t="s">
        <v>467</v>
      </c>
      <c r="P10" s="388">
        <f>SUM(K208:K238)/SUM(D208:D228,D230:D238)</f>
        <v>0.19650192307692305</v>
      </c>
      <c r="Q10" s="151" t="s">
        <v>468</v>
      </c>
      <c r="R10" s="381">
        <f>R9-1</f>
        <v>28</v>
      </c>
      <c r="S10" s="381"/>
    </row>
    <row r="11" spans="1:19" ht="25.5">
      <c r="M11" s="376" t="s">
        <v>469</v>
      </c>
      <c r="N11" s="376" t="s">
        <v>453</v>
      </c>
      <c r="O11" s="380" t="s">
        <v>470</v>
      </c>
      <c r="P11" s="404">
        <f t="shared" ref="P11:P16" si="0">SUMIFS($I$63:$I$105,$H$63:$H$105,$M11)/SUMIFS($J$63:$J$105,$H$63:$H$105,$M11)</f>
        <v>2.4850000000000003</v>
      </c>
      <c r="Q11" s="151" t="s">
        <v>455</v>
      </c>
      <c r="R11" s="381">
        <f>R7</f>
        <v>33</v>
      </c>
      <c r="S11" s="405">
        <f t="shared" ref="S11:S16" si="1">SUMIFS($J$63:$J$105,$H$63:$H$105,$M11)</f>
        <v>54</v>
      </c>
    </row>
    <row r="12" spans="1:19" ht="25.5">
      <c r="M12" s="376" t="s">
        <v>471</v>
      </c>
      <c r="N12" s="376" t="s">
        <v>453</v>
      </c>
      <c r="O12" s="380" t="s">
        <v>472</v>
      </c>
      <c r="P12" s="404">
        <f t="shared" si="0"/>
        <v>2.5755263157894732</v>
      </c>
      <c r="Q12" s="151" t="s">
        <v>455</v>
      </c>
      <c r="R12" s="381">
        <f>R8</f>
        <v>33</v>
      </c>
      <c r="S12" s="405">
        <f t="shared" si="1"/>
        <v>38</v>
      </c>
    </row>
    <row r="13" spans="1:19" ht="26.25" thickBot="1">
      <c r="A13" s="377" t="s">
        <v>473</v>
      </c>
      <c r="M13" s="376" t="s">
        <v>474</v>
      </c>
      <c r="N13" s="376" t="s">
        <v>453</v>
      </c>
      <c r="O13" s="380" t="s">
        <v>475</v>
      </c>
      <c r="P13" s="404">
        <f t="shared" si="0"/>
        <v>1.2364705882352942</v>
      </c>
      <c r="Q13" s="151" t="s">
        <v>455</v>
      </c>
      <c r="R13" s="381">
        <f>R12</f>
        <v>33</v>
      </c>
      <c r="S13" s="405">
        <f t="shared" si="1"/>
        <v>34</v>
      </c>
    </row>
    <row r="14" spans="1:19" ht="51.75" thickBot="1">
      <c r="A14" s="406" t="s">
        <v>476</v>
      </c>
      <c r="B14" s="407" t="s">
        <v>477</v>
      </c>
      <c r="C14" s="408" t="s">
        <v>478</v>
      </c>
      <c r="D14" s="408" t="s">
        <v>479</v>
      </c>
      <c r="E14" s="408" t="s">
        <v>480</v>
      </c>
      <c r="F14" s="408" t="s">
        <v>481</v>
      </c>
      <c r="G14" s="409" t="s">
        <v>482</v>
      </c>
      <c r="H14" s="380" t="s">
        <v>483</v>
      </c>
      <c r="M14" s="376" t="s">
        <v>484</v>
      </c>
      <c r="N14" s="376" t="s">
        <v>453</v>
      </c>
      <c r="O14" s="380" t="s">
        <v>485</v>
      </c>
      <c r="P14" s="404">
        <f t="shared" si="0"/>
        <v>1.07</v>
      </c>
      <c r="Q14" s="151" t="s">
        <v>455</v>
      </c>
      <c r="R14" s="381">
        <f>COUNTA(A36:A47)</f>
        <v>12</v>
      </c>
      <c r="S14" s="405">
        <f t="shared" si="1"/>
        <v>121</v>
      </c>
    </row>
    <row r="15" spans="1:19" ht="25.5">
      <c r="A15" s="410" t="s">
        <v>486</v>
      </c>
      <c r="B15" s="411"/>
      <c r="C15" s="412">
        <v>33</v>
      </c>
      <c r="D15" s="412">
        <v>6</v>
      </c>
      <c r="E15" s="413">
        <v>12.3</v>
      </c>
      <c r="F15" s="414">
        <v>9.44</v>
      </c>
      <c r="G15" s="415">
        <v>112.46</v>
      </c>
      <c r="H15" s="416">
        <f t="shared" ref="H15:H30" si="2">E15/F15*100</f>
        <v>130.29661016949154</v>
      </c>
      <c r="M15" s="376" t="s">
        <v>487</v>
      </c>
      <c r="N15" s="376" t="s">
        <v>453</v>
      </c>
      <c r="O15" s="380" t="s">
        <v>488</v>
      </c>
      <c r="P15" s="404">
        <f t="shared" si="0"/>
        <v>0.61621621621621625</v>
      </c>
      <c r="Q15" s="151" t="s">
        <v>455</v>
      </c>
      <c r="R15" s="381">
        <f>COUNTA(A15:A30,A36:A47)</f>
        <v>28</v>
      </c>
      <c r="S15" s="405">
        <f t="shared" si="1"/>
        <v>74</v>
      </c>
    </row>
    <row r="16" spans="1:19" ht="25.5">
      <c r="A16" s="417" t="s">
        <v>489</v>
      </c>
      <c r="B16" s="418"/>
      <c r="C16" s="419">
        <v>14</v>
      </c>
      <c r="D16" s="419">
        <v>13</v>
      </c>
      <c r="E16" s="419">
        <v>62</v>
      </c>
      <c r="F16" s="419">
        <v>103</v>
      </c>
      <c r="G16" s="420">
        <v>1336.16</v>
      </c>
      <c r="H16" s="416">
        <f t="shared" si="2"/>
        <v>60.194174757281552</v>
      </c>
      <c r="M16" s="376" t="s">
        <v>490</v>
      </c>
      <c r="N16" s="376" t="s">
        <v>453</v>
      </c>
      <c r="O16" s="380" t="s">
        <v>491</v>
      </c>
      <c r="P16" s="404">
        <f t="shared" si="0"/>
        <v>0.41530612244897963</v>
      </c>
      <c r="Q16" s="151" t="s">
        <v>455</v>
      </c>
      <c r="R16" s="381">
        <f>R7</f>
        <v>33</v>
      </c>
      <c r="S16" s="405">
        <f t="shared" si="1"/>
        <v>49</v>
      </c>
    </row>
    <row r="17" spans="1:19" ht="25.5">
      <c r="A17" s="417" t="s">
        <v>492</v>
      </c>
      <c r="B17" s="418"/>
      <c r="C17" s="419">
        <v>32</v>
      </c>
      <c r="D17" s="419">
        <v>3</v>
      </c>
      <c r="E17" s="421">
        <v>0.9</v>
      </c>
      <c r="F17" s="422">
        <v>0.74</v>
      </c>
      <c r="G17" s="420">
        <v>8.49</v>
      </c>
      <c r="H17" s="416">
        <f t="shared" si="2"/>
        <v>121.62162162162163</v>
      </c>
      <c r="M17" s="376" t="s">
        <v>493</v>
      </c>
      <c r="N17" s="376" t="s">
        <v>465</v>
      </c>
      <c r="O17" s="380" t="s">
        <v>494</v>
      </c>
      <c r="P17" s="404">
        <f>S143</f>
        <v>0.5</v>
      </c>
      <c r="Q17" s="151" t="s">
        <v>455</v>
      </c>
      <c r="R17" s="381">
        <f>R9</f>
        <v>29</v>
      </c>
      <c r="S17" s="405">
        <f>R140</f>
        <v>14</v>
      </c>
    </row>
    <row r="18" spans="1:19">
      <c r="A18" s="417" t="s">
        <v>495</v>
      </c>
      <c r="B18" s="418"/>
      <c r="C18" s="419">
        <v>37</v>
      </c>
      <c r="D18" s="419">
        <v>2</v>
      </c>
      <c r="E18" s="421">
        <v>9.4</v>
      </c>
      <c r="F18" s="422">
        <v>6.43</v>
      </c>
      <c r="G18" s="420">
        <v>76.650000000000006</v>
      </c>
      <c r="H18" s="416">
        <f t="shared" si="2"/>
        <v>146.18973561430795</v>
      </c>
    </row>
    <row r="19" spans="1:19">
      <c r="A19" s="417" t="s">
        <v>496</v>
      </c>
      <c r="B19" s="418"/>
      <c r="C19" s="419">
        <v>26</v>
      </c>
      <c r="D19" s="419">
        <v>11</v>
      </c>
      <c r="E19" s="421">
        <v>9.3000000000000007</v>
      </c>
      <c r="F19" s="422">
        <v>7.02</v>
      </c>
      <c r="G19" s="420">
        <v>107.92</v>
      </c>
      <c r="H19" s="416">
        <f t="shared" si="2"/>
        <v>132.47863247863251</v>
      </c>
    </row>
    <row r="20" spans="1:19">
      <c r="A20" s="417" t="s">
        <v>497</v>
      </c>
      <c r="B20" s="418"/>
      <c r="C20" s="419">
        <v>25</v>
      </c>
      <c r="D20" s="419">
        <v>10</v>
      </c>
      <c r="E20" s="421">
        <v>19.7</v>
      </c>
      <c r="F20" s="422">
        <v>15.55</v>
      </c>
      <c r="G20" s="420">
        <v>237.75</v>
      </c>
      <c r="H20" s="416">
        <f t="shared" si="2"/>
        <v>126.68810289389067</v>
      </c>
    </row>
    <row r="21" spans="1:19" ht="25.5">
      <c r="A21" s="417" t="s">
        <v>498</v>
      </c>
      <c r="B21" s="423" t="s">
        <v>499</v>
      </c>
      <c r="C21" s="419">
        <v>28</v>
      </c>
      <c r="D21" s="419">
        <v>2</v>
      </c>
      <c r="E21" s="421">
        <v>3.4</v>
      </c>
      <c r="F21" s="422">
        <v>2.19</v>
      </c>
      <c r="G21" s="420">
        <v>36.64</v>
      </c>
      <c r="H21" s="416">
        <f t="shared" si="2"/>
        <v>155.2511415525114</v>
      </c>
    </row>
    <row r="22" spans="1:19">
      <c r="A22" s="417" t="s">
        <v>500</v>
      </c>
      <c r="B22" s="423" t="s">
        <v>501</v>
      </c>
      <c r="C22" s="419">
        <v>33</v>
      </c>
      <c r="D22" s="419">
        <v>11</v>
      </c>
      <c r="E22" s="421">
        <v>28.3</v>
      </c>
      <c r="F22" s="422">
        <v>19.11</v>
      </c>
      <c r="G22" s="420">
        <v>258.74</v>
      </c>
      <c r="H22" s="416">
        <f t="shared" si="2"/>
        <v>148.09000523286238</v>
      </c>
    </row>
    <row r="23" spans="1:19">
      <c r="A23" s="417" t="s">
        <v>502</v>
      </c>
      <c r="B23" s="423" t="s">
        <v>501</v>
      </c>
      <c r="C23" s="419">
        <v>32</v>
      </c>
      <c r="D23" s="419">
        <v>12</v>
      </c>
      <c r="E23" s="421">
        <v>6.3</v>
      </c>
      <c r="F23" s="422">
        <v>6.63</v>
      </c>
      <c r="G23" s="420">
        <v>59.4</v>
      </c>
      <c r="H23" s="416">
        <f t="shared" si="2"/>
        <v>95.02262443438913</v>
      </c>
    </row>
    <row r="24" spans="1:19">
      <c r="A24" s="417" t="s">
        <v>503</v>
      </c>
      <c r="B24" s="418"/>
      <c r="C24" s="419">
        <v>33</v>
      </c>
      <c r="D24" s="419">
        <v>4</v>
      </c>
      <c r="E24" s="421">
        <v>1.2</v>
      </c>
      <c r="F24" s="422">
        <v>0.92</v>
      </c>
      <c r="G24" s="420">
        <v>10.97</v>
      </c>
      <c r="H24" s="416">
        <f t="shared" si="2"/>
        <v>130.43478260869563</v>
      </c>
    </row>
    <row r="25" spans="1:19">
      <c r="A25" s="417" t="s">
        <v>504</v>
      </c>
      <c r="B25" s="423" t="s">
        <v>505</v>
      </c>
      <c r="C25" s="419">
        <v>32</v>
      </c>
      <c r="D25" s="419">
        <v>5</v>
      </c>
      <c r="E25" s="421">
        <v>2.9</v>
      </c>
      <c r="F25" s="422">
        <v>2.17</v>
      </c>
      <c r="G25" s="420">
        <v>27.34</v>
      </c>
      <c r="H25" s="416">
        <f t="shared" si="2"/>
        <v>133.64055299539172</v>
      </c>
    </row>
    <row r="26" spans="1:19">
      <c r="A26" s="417" t="s">
        <v>506</v>
      </c>
      <c r="B26" s="423" t="s">
        <v>505</v>
      </c>
      <c r="C26" s="419">
        <v>32</v>
      </c>
      <c r="D26" s="419">
        <v>10</v>
      </c>
      <c r="E26" s="422">
        <v>2.75</v>
      </c>
      <c r="F26" s="422">
        <v>2.29</v>
      </c>
      <c r="G26" s="420">
        <v>25.93</v>
      </c>
      <c r="H26" s="416">
        <f t="shared" si="2"/>
        <v>120.08733624454149</v>
      </c>
    </row>
    <row r="27" spans="1:19">
      <c r="A27" s="417" t="s">
        <v>507</v>
      </c>
      <c r="B27" s="423" t="s">
        <v>508</v>
      </c>
      <c r="C27" s="419">
        <v>48</v>
      </c>
      <c r="D27" s="419">
        <v>26</v>
      </c>
      <c r="E27" s="422">
        <v>9.5500000000000007</v>
      </c>
      <c r="F27" s="422">
        <v>5.41</v>
      </c>
      <c r="G27" s="420">
        <v>60.03</v>
      </c>
      <c r="H27" s="416">
        <f t="shared" si="2"/>
        <v>176.52495378927912</v>
      </c>
    </row>
    <row r="28" spans="1:19">
      <c r="A28" s="417" t="s">
        <v>509</v>
      </c>
      <c r="B28" s="423" t="s">
        <v>508</v>
      </c>
      <c r="C28" s="419">
        <v>34</v>
      </c>
      <c r="D28" s="419">
        <v>22</v>
      </c>
      <c r="E28" s="421">
        <v>50.8</v>
      </c>
      <c r="F28" s="422">
        <v>32.35</v>
      </c>
      <c r="G28" s="420">
        <v>450.8</v>
      </c>
      <c r="H28" s="416">
        <f t="shared" si="2"/>
        <v>157.032457496136</v>
      </c>
    </row>
    <row r="29" spans="1:19">
      <c r="A29" s="417" t="s">
        <v>510</v>
      </c>
      <c r="B29" s="423" t="s">
        <v>501</v>
      </c>
      <c r="C29" s="419">
        <v>33</v>
      </c>
      <c r="D29" s="419">
        <v>22</v>
      </c>
      <c r="E29" s="422">
        <v>46.45</v>
      </c>
      <c r="F29" s="422">
        <v>46.89</v>
      </c>
      <c r="G29" s="420">
        <v>424.69</v>
      </c>
      <c r="H29" s="416">
        <f t="shared" si="2"/>
        <v>99.061633610577942</v>
      </c>
    </row>
    <row r="30" spans="1:19" ht="13.5" thickBot="1">
      <c r="A30" s="424" t="s">
        <v>511</v>
      </c>
      <c r="B30" s="425" t="s">
        <v>501</v>
      </c>
      <c r="C30" s="426">
        <v>32</v>
      </c>
      <c r="D30" s="426">
        <v>6</v>
      </c>
      <c r="E30" s="427">
        <v>1.7</v>
      </c>
      <c r="F30" s="428">
        <v>1.35</v>
      </c>
      <c r="G30" s="429">
        <v>16.03</v>
      </c>
      <c r="H30" s="416">
        <f t="shared" si="2"/>
        <v>125.92592592592591</v>
      </c>
    </row>
    <row r="31" spans="1:19" ht="13.5" thickBot="1">
      <c r="A31" s="430" t="s">
        <v>198</v>
      </c>
      <c r="B31" s="431"/>
      <c r="C31" s="432"/>
      <c r="D31" s="433">
        <v>10</v>
      </c>
      <c r="E31" s="434">
        <v>16.7</v>
      </c>
      <c r="F31" s="435">
        <v>16.34</v>
      </c>
      <c r="G31" s="436">
        <v>203.12</v>
      </c>
    </row>
    <row r="32" spans="1:19">
      <c r="A32" s="376" t="s">
        <v>203</v>
      </c>
      <c r="B32" s="376">
        <f>COUNTA(A15:A30)</f>
        <v>16</v>
      </c>
    </row>
    <row r="34" spans="1:8" ht="13.5" thickBot="1">
      <c r="A34" s="377" t="s">
        <v>512</v>
      </c>
    </row>
    <row r="35" spans="1:8" ht="39" thickBot="1">
      <c r="A35" s="406" t="s">
        <v>476</v>
      </c>
      <c r="B35" s="437" t="s">
        <v>477</v>
      </c>
      <c r="C35" s="408" t="s">
        <v>478</v>
      </c>
      <c r="D35" s="408" t="s">
        <v>479</v>
      </c>
      <c r="E35" s="408" t="s">
        <v>480</v>
      </c>
      <c r="F35" s="408" t="s">
        <v>481</v>
      </c>
      <c r="G35" s="409" t="s">
        <v>513</v>
      </c>
      <c r="H35" s="380" t="s">
        <v>483</v>
      </c>
    </row>
    <row r="36" spans="1:8">
      <c r="A36" s="410" t="s">
        <v>514</v>
      </c>
      <c r="B36" s="438"/>
      <c r="C36" s="412">
        <v>32</v>
      </c>
      <c r="D36" s="412">
        <v>12</v>
      </c>
      <c r="E36" s="413">
        <v>2.8</v>
      </c>
      <c r="F36" s="414">
        <v>2.04</v>
      </c>
      <c r="G36" s="415">
        <v>26.4</v>
      </c>
      <c r="H36" s="416">
        <f t="shared" ref="H36:H47" si="3">E36/F36*100</f>
        <v>137.25490196078428</v>
      </c>
    </row>
    <row r="37" spans="1:8">
      <c r="A37" s="417" t="s">
        <v>515</v>
      </c>
      <c r="B37" s="439"/>
      <c r="C37" s="419">
        <v>15</v>
      </c>
      <c r="D37" s="419">
        <v>20</v>
      </c>
      <c r="E37" s="422">
        <v>11.95</v>
      </c>
      <c r="F37" s="422">
        <v>19.079999999999998</v>
      </c>
      <c r="G37" s="420">
        <v>240.37</v>
      </c>
      <c r="H37" s="416">
        <f t="shared" si="3"/>
        <v>62.631027253668769</v>
      </c>
    </row>
    <row r="38" spans="1:8" ht="25.5">
      <c r="A38" s="417" t="s">
        <v>516</v>
      </c>
      <c r="B38" s="440" t="s">
        <v>517</v>
      </c>
      <c r="C38" s="419">
        <v>30</v>
      </c>
      <c r="D38" s="419">
        <v>12</v>
      </c>
      <c r="E38" s="422">
        <v>2.85</v>
      </c>
      <c r="F38" s="422">
        <v>2.61</v>
      </c>
      <c r="G38" s="420">
        <v>28.66</v>
      </c>
      <c r="H38" s="416">
        <f t="shared" si="3"/>
        <v>109.19540229885058</v>
      </c>
    </row>
    <row r="39" spans="1:8" ht="25.5">
      <c r="A39" s="417" t="s">
        <v>518</v>
      </c>
      <c r="B39" s="440" t="s">
        <v>517</v>
      </c>
      <c r="C39" s="419">
        <v>29</v>
      </c>
      <c r="D39" s="419">
        <v>18</v>
      </c>
      <c r="E39" s="422">
        <v>20.85</v>
      </c>
      <c r="F39" s="422">
        <v>16.239999999999998</v>
      </c>
      <c r="G39" s="420">
        <v>216.92</v>
      </c>
      <c r="H39" s="416">
        <f t="shared" si="3"/>
        <v>128.38669950738918</v>
      </c>
    </row>
    <row r="40" spans="1:8">
      <c r="A40" s="417" t="s">
        <v>519</v>
      </c>
      <c r="B40" s="441">
        <v>5</v>
      </c>
      <c r="C40" s="419">
        <v>30</v>
      </c>
      <c r="D40" s="419">
        <v>16</v>
      </c>
      <c r="E40" s="422">
        <v>27.45</v>
      </c>
      <c r="F40" s="422">
        <v>22.05</v>
      </c>
      <c r="G40" s="420">
        <v>276.07</v>
      </c>
      <c r="H40" s="416">
        <f t="shared" si="3"/>
        <v>124.48979591836734</v>
      </c>
    </row>
    <row r="41" spans="1:8">
      <c r="A41" s="417" t="s">
        <v>520</v>
      </c>
      <c r="B41" s="441">
        <v>5</v>
      </c>
      <c r="C41" s="419">
        <v>30</v>
      </c>
      <c r="D41" s="419">
        <v>6</v>
      </c>
      <c r="E41" s="422">
        <v>2.12</v>
      </c>
      <c r="F41" s="422">
        <v>1.67</v>
      </c>
      <c r="G41" s="420">
        <v>21.32</v>
      </c>
      <c r="H41" s="416">
        <f t="shared" si="3"/>
        <v>126.94610778443113</v>
      </c>
    </row>
    <row r="42" spans="1:8">
      <c r="A42" s="417" t="s">
        <v>521</v>
      </c>
      <c r="B42" s="439"/>
      <c r="C42" s="419">
        <v>32</v>
      </c>
      <c r="D42" s="419">
        <v>12</v>
      </c>
      <c r="E42" s="421">
        <v>4.9000000000000004</v>
      </c>
      <c r="F42" s="422">
        <v>3.46</v>
      </c>
      <c r="G42" s="420">
        <v>46.2</v>
      </c>
      <c r="H42" s="416">
        <f t="shared" si="3"/>
        <v>141.61849710982659</v>
      </c>
    </row>
    <row r="43" spans="1:8">
      <c r="A43" s="417" t="s">
        <v>522</v>
      </c>
      <c r="B43" s="441">
        <v>5</v>
      </c>
      <c r="C43" s="419">
        <v>30</v>
      </c>
      <c r="D43" s="419">
        <v>12</v>
      </c>
      <c r="E43" s="421">
        <v>16.600000000000001</v>
      </c>
      <c r="F43" s="422">
        <v>12.73</v>
      </c>
      <c r="G43" s="420">
        <v>166.95</v>
      </c>
      <c r="H43" s="416">
        <f t="shared" si="3"/>
        <v>130.40062843676355</v>
      </c>
    </row>
    <row r="44" spans="1:8">
      <c r="A44" s="417" t="s">
        <v>523</v>
      </c>
      <c r="B44" s="441">
        <v>2</v>
      </c>
      <c r="C44" s="419">
        <v>21</v>
      </c>
      <c r="D44" s="419">
        <v>23</v>
      </c>
      <c r="E44" s="422">
        <v>19.95</v>
      </c>
      <c r="F44" s="422">
        <v>22.21</v>
      </c>
      <c r="G44" s="420">
        <v>286.63</v>
      </c>
      <c r="H44" s="416">
        <f t="shared" si="3"/>
        <v>89.824403421882025</v>
      </c>
    </row>
    <row r="45" spans="1:8">
      <c r="A45" s="417" t="s">
        <v>524</v>
      </c>
      <c r="B45" s="441">
        <v>2</v>
      </c>
      <c r="C45" s="419">
        <v>32</v>
      </c>
      <c r="D45" s="419">
        <v>31</v>
      </c>
      <c r="E45" s="421">
        <v>18.600000000000001</v>
      </c>
      <c r="F45" s="422">
        <v>16.05</v>
      </c>
      <c r="G45" s="420">
        <v>175.37</v>
      </c>
      <c r="H45" s="416">
        <f t="shared" si="3"/>
        <v>115.88785046728974</v>
      </c>
    </row>
    <row r="46" spans="1:8">
      <c r="A46" s="417" t="s">
        <v>525</v>
      </c>
      <c r="B46" s="441">
        <v>2</v>
      </c>
      <c r="C46" s="419">
        <v>32</v>
      </c>
      <c r="D46" s="419">
        <v>19</v>
      </c>
      <c r="E46" s="422">
        <v>14.95</v>
      </c>
      <c r="F46" s="422">
        <v>12.28</v>
      </c>
      <c r="G46" s="420">
        <v>140.96</v>
      </c>
      <c r="H46" s="416">
        <f t="shared" si="3"/>
        <v>121.74267100977198</v>
      </c>
    </row>
    <row r="47" spans="1:8" ht="13.5" thickBot="1">
      <c r="A47" s="424" t="s">
        <v>526</v>
      </c>
      <c r="B47" s="442">
        <v>2</v>
      </c>
      <c r="C47" s="426">
        <v>32</v>
      </c>
      <c r="D47" s="426">
        <v>25</v>
      </c>
      <c r="E47" s="428">
        <v>11.95</v>
      </c>
      <c r="F47" s="428">
        <v>8.99</v>
      </c>
      <c r="G47" s="429">
        <v>112.67</v>
      </c>
      <c r="H47" s="416">
        <f t="shared" si="3"/>
        <v>132.9254727474972</v>
      </c>
    </row>
    <row r="48" spans="1:8" ht="13.5" thickBot="1">
      <c r="A48" s="430" t="s">
        <v>198</v>
      </c>
      <c r="B48" s="443"/>
      <c r="C48" s="432"/>
      <c r="D48" s="433">
        <v>17</v>
      </c>
      <c r="E48" s="434">
        <v>12.9</v>
      </c>
      <c r="F48" s="434">
        <v>11.6</v>
      </c>
      <c r="G48" s="436">
        <v>144.88</v>
      </c>
      <c r="H48" s="416"/>
    </row>
    <row r="49" spans="1:10">
      <c r="A49" s="376" t="s">
        <v>203</v>
      </c>
      <c r="B49" s="376">
        <f>COUNTA(A36:A47)</f>
        <v>12</v>
      </c>
      <c r="H49" s="416"/>
    </row>
    <row r="50" spans="1:10">
      <c r="H50" s="416"/>
    </row>
    <row r="51" spans="1:10" ht="13.5" thickBot="1">
      <c r="A51" s="377" t="s">
        <v>527</v>
      </c>
      <c r="H51" s="416"/>
    </row>
    <row r="52" spans="1:10" ht="51.75" thickBot="1">
      <c r="A52" s="406" t="s">
        <v>476</v>
      </c>
      <c r="B52" s="437" t="s">
        <v>477</v>
      </c>
      <c r="C52" s="408" t="s">
        <v>478</v>
      </c>
      <c r="D52" s="408" t="s">
        <v>479</v>
      </c>
      <c r="E52" s="408" t="s">
        <v>480</v>
      </c>
      <c r="F52" s="408" t="s">
        <v>481</v>
      </c>
      <c r="G52" s="409" t="s">
        <v>528</v>
      </c>
      <c r="H52" s="380" t="s">
        <v>483</v>
      </c>
    </row>
    <row r="53" spans="1:10">
      <c r="A53" s="410" t="s">
        <v>529</v>
      </c>
      <c r="B53" s="438"/>
      <c r="C53" s="412">
        <v>33</v>
      </c>
      <c r="D53" s="412">
        <v>9</v>
      </c>
      <c r="E53" s="413">
        <v>41.3</v>
      </c>
      <c r="F53" s="413">
        <v>34.4</v>
      </c>
      <c r="G53" s="415">
        <v>377.6</v>
      </c>
      <c r="H53" s="416">
        <f>E53/F53*100</f>
        <v>120.05813953488371</v>
      </c>
    </row>
    <row r="54" spans="1:10">
      <c r="A54" s="417" t="s">
        <v>530</v>
      </c>
      <c r="B54" s="439"/>
      <c r="C54" s="419">
        <v>6</v>
      </c>
      <c r="D54" s="419">
        <v>8</v>
      </c>
      <c r="E54" s="421">
        <v>18.3</v>
      </c>
      <c r="F54" s="421">
        <v>84.7</v>
      </c>
      <c r="G54" s="420">
        <v>920.23</v>
      </c>
      <c r="H54" s="416">
        <f>E54/F54*100</f>
        <v>21.605667060212514</v>
      </c>
    </row>
    <row r="55" spans="1:10">
      <c r="A55" s="417" t="s">
        <v>531</v>
      </c>
      <c r="B55" s="439"/>
      <c r="C55" s="419">
        <v>6</v>
      </c>
      <c r="D55" s="419">
        <v>2</v>
      </c>
      <c r="E55" s="419">
        <v>10</v>
      </c>
      <c r="F55" s="421">
        <v>50.5</v>
      </c>
      <c r="G55" s="420">
        <v>502.86</v>
      </c>
      <c r="H55" s="416">
        <f>E55/F55*100</f>
        <v>19.801980198019802</v>
      </c>
    </row>
    <row r="56" spans="1:10">
      <c r="A56" s="417" t="s">
        <v>532</v>
      </c>
      <c r="B56" s="439"/>
      <c r="C56" s="419">
        <v>16</v>
      </c>
      <c r="D56" s="419">
        <v>3</v>
      </c>
      <c r="E56" s="421">
        <v>1.9</v>
      </c>
      <c r="F56" s="421">
        <v>3.6</v>
      </c>
      <c r="G56" s="420">
        <v>35.83</v>
      </c>
      <c r="H56" s="416">
        <f>E56/F56*100</f>
        <v>52.777777777777779</v>
      </c>
    </row>
    <row r="57" spans="1:10" ht="13.5" thickBot="1">
      <c r="A57" s="424" t="s">
        <v>533</v>
      </c>
      <c r="B57" s="444"/>
      <c r="C57" s="426">
        <v>9</v>
      </c>
      <c r="D57" s="426">
        <v>2</v>
      </c>
      <c r="E57" s="427">
        <v>2.1</v>
      </c>
      <c r="F57" s="427">
        <v>4.7</v>
      </c>
      <c r="G57" s="429">
        <v>70.400000000000006</v>
      </c>
      <c r="H57" s="416">
        <f>E57/F57*100</f>
        <v>44.680851063829785</v>
      </c>
    </row>
    <row r="58" spans="1:10" ht="13.5" thickBot="1">
      <c r="A58" s="430" t="s">
        <v>198</v>
      </c>
      <c r="B58" s="443"/>
      <c r="C58" s="432"/>
      <c r="D58" s="434">
        <v>4.8</v>
      </c>
      <c r="E58" s="434">
        <v>14.7</v>
      </c>
      <c r="F58" s="434">
        <v>35.6</v>
      </c>
      <c r="G58" s="445">
        <v>381.38</v>
      </c>
    </row>
    <row r="59" spans="1:10">
      <c r="A59" s="376" t="s">
        <v>203</v>
      </c>
      <c r="B59" s="376">
        <f>COUNTA(A53:A57)</f>
        <v>5</v>
      </c>
    </row>
    <row r="61" spans="1:10" ht="13.5" thickBot="1">
      <c r="A61" s="377" t="s">
        <v>534</v>
      </c>
    </row>
    <row r="62" spans="1:10" ht="39" thickBot="1">
      <c r="A62" s="446" t="s">
        <v>535</v>
      </c>
      <c r="B62" s="447" t="s">
        <v>430</v>
      </c>
      <c r="C62" s="447" t="s">
        <v>536</v>
      </c>
      <c r="D62" s="447" t="s">
        <v>537</v>
      </c>
      <c r="E62" s="447" t="s">
        <v>538</v>
      </c>
      <c r="F62" s="448" t="s">
        <v>539</v>
      </c>
      <c r="I62" s="376" t="s">
        <v>540</v>
      </c>
      <c r="J62" s="376" t="s">
        <v>541</v>
      </c>
    </row>
    <row r="63" spans="1:10">
      <c r="A63" s="449" t="s">
        <v>441</v>
      </c>
      <c r="B63" s="412">
        <v>29</v>
      </c>
      <c r="C63" s="412">
        <v>18</v>
      </c>
      <c r="D63" s="413">
        <v>0.2</v>
      </c>
      <c r="E63" s="414">
        <v>3.26</v>
      </c>
      <c r="F63" s="450">
        <v>4.7</v>
      </c>
      <c r="H63" s="376" t="s">
        <v>471</v>
      </c>
      <c r="I63" s="376">
        <f t="shared" ref="I63:I74" si="4">IFERROR(E63*B63,0)</f>
        <v>94.539999999999992</v>
      </c>
      <c r="J63" s="451">
        <f t="shared" ref="J63:J74" si="5">IF(ISNUMBER(B63),B63,0)</f>
        <v>29</v>
      </c>
    </row>
    <row r="64" spans="1:10">
      <c r="A64" s="423" t="s">
        <v>542</v>
      </c>
      <c r="B64" s="419">
        <v>37</v>
      </c>
      <c r="C64" s="419">
        <v>10</v>
      </c>
      <c r="D64" s="421">
        <v>0.1</v>
      </c>
      <c r="E64" s="422">
        <v>1.79</v>
      </c>
      <c r="F64" s="420">
        <v>2.4700000000000002</v>
      </c>
      <c r="H64" s="376" t="s">
        <v>469</v>
      </c>
      <c r="I64" s="376">
        <f t="shared" si="4"/>
        <v>66.23</v>
      </c>
      <c r="J64" s="451">
        <f t="shared" si="5"/>
        <v>37</v>
      </c>
    </row>
    <row r="65" spans="1:10">
      <c r="A65" s="423" t="s">
        <v>543</v>
      </c>
      <c r="B65" s="419">
        <v>2</v>
      </c>
      <c r="C65" s="419">
        <v>7</v>
      </c>
      <c r="D65" s="421">
        <v>0.2</v>
      </c>
      <c r="E65" s="421">
        <v>3.6</v>
      </c>
      <c r="F65" s="452"/>
      <c r="H65" s="453" t="s">
        <v>469</v>
      </c>
      <c r="I65" s="376">
        <f t="shared" si="4"/>
        <v>7.2</v>
      </c>
      <c r="J65" s="451">
        <f t="shared" si="5"/>
        <v>2</v>
      </c>
    </row>
    <row r="66" spans="1:10">
      <c r="A66" s="454" t="s">
        <v>544</v>
      </c>
      <c r="B66" s="419">
        <v>27</v>
      </c>
      <c r="C66" s="421">
        <v>1.6</v>
      </c>
      <c r="D66" s="421">
        <v>0.1</v>
      </c>
      <c r="E66" s="422">
        <v>0.46</v>
      </c>
      <c r="F66" s="420">
        <v>0.43</v>
      </c>
      <c r="H66" s="376" t="s">
        <v>490</v>
      </c>
      <c r="I66" s="376">
        <f t="shared" si="4"/>
        <v>12.42</v>
      </c>
      <c r="J66" s="451">
        <f t="shared" si="5"/>
        <v>27</v>
      </c>
    </row>
    <row r="67" spans="1:10">
      <c r="A67" s="454" t="s">
        <v>545</v>
      </c>
      <c r="B67" s="419">
        <v>3</v>
      </c>
      <c r="C67" s="421">
        <v>0.4</v>
      </c>
      <c r="D67" s="421">
        <v>0.2</v>
      </c>
      <c r="E67" s="421">
        <v>0.3</v>
      </c>
      <c r="F67" s="455">
        <v>0.1</v>
      </c>
      <c r="H67" s="376" t="s">
        <v>490</v>
      </c>
      <c r="I67" s="376">
        <f t="shared" si="4"/>
        <v>0.89999999999999991</v>
      </c>
      <c r="J67" s="451">
        <f t="shared" si="5"/>
        <v>3</v>
      </c>
    </row>
    <row r="68" spans="1:10">
      <c r="A68" s="454" t="s">
        <v>546</v>
      </c>
      <c r="B68" s="419">
        <v>9</v>
      </c>
      <c r="C68" s="421">
        <v>14.4</v>
      </c>
      <c r="D68" s="421">
        <v>0.1</v>
      </c>
      <c r="E68" s="422">
        <v>3.24</v>
      </c>
      <c r="F68" s="455">
        <v>4.3</v>
      </c>
      <c r="H68" s="376" t="s">
        <v>474</v>
      </c>
      <c r="I68" s="376">
        <f t="shared" si="4"/>
        <v>29.160000000000004</v>
      </c>
      <c r="J68" s="451">
        <f t="shared" si="5"/>
        <v>9</v>
      </c>
    </row>
    <row r="69" spans="1:10">
      <c r="A69" s="454" t="s">
        <v>547</v>
      </c>
      <c r="B69" s="456"/>
      <c r="C69" s="456"/>
      <c r="D69" s="456"/>
      <c r="E69" s="456"/>
      <c r="F69" s="452"/>
      <c r="H69" s="376" t="s">
        <v>474</v>
      </c>
      <c r="I69" s="376">
        <f t="shared" si="4"/>
        <v>0</v>
      </c>
      <c r="J69" s="451">
        <f t="shared" si="5"/>
        <v>0</v>
      </c>
    </row>
    <row r="70" spans="1:10">
      <c r="A70" s="454" t="s">
        <v>548</v>
      </c>
      <c r="B70" s="419">
        <v>11</v>
      </c>
      <c r="C70" s="421">
        <v>0.7</v>
      </c>
      <c r="D70" s="421">
        <v>0.1</v>
      </c>
      <c r="E70" s="422">
        <v>0.33</v>
      </c>
      <c r="F70" s="420">
        <v>0.21</v>
      </c>
      <c r="H70" s="376" t="s">
        <v>474</v>
      </c>
      <c r="I70" s="376">
        <f t="shared" si="4"/>
        <v>3.6300000000000003</v>
      </c>
      <c r="J70" s="451">
        <f t="shared" si="5"/>
        <v>11</v>
      </c>
    </row>
    <row r="71" spans="1:10">
      <c r="A71" s="454" t="s">
        <v>549</v>
      </c>
      <c r="B71" s="419">
        <v>1</v>
      </c>
      <c r="C71" s="456"/>
      <c r="D71" s="456"/>
      <c r="E71" s="421">
        <v>3.9</v>
      </c>
      <c r="F71" s="452"/>
      <c r="H71" s="453" t="s">
        <v>469</v>
      </c>
      <c r="I71" s="376">
        <f t="shared" si="4"/>
        <v>3.9</v>
      </c>
      <c r="J71" s="451">
        <f t="shared" si="5"/>
        <v>1</v>
      </c>
    </row>
    <row r="72" spans="1:10">
      <c r="A72" s="454" t="s">
        <v>550</v>
      </c>
      <c r="B72" s="419">
        <v>2</v>
      </c>
      <c r="C72" s="421">
        <v>2.4</v>
      </c>
      <c r="D72" s="421">
        <v>0.5</v>
      </c>
      <c r="E72" s="421">
        <v>1.5</v>
      </c>
      <c r="F72" s="452"/>
      <c r="G72" s="457">
        <f>SUMPRODUCT(B68:B72,E68:E72)/SUM(B68:B72)</f>
        <v>1.7256521739130437</v>
      </c>
      <c r="H72" s="376" t="s">
        <v>551</v>
      </c>
      <c r="I72" s="376">
        <f t="shared" si="4"/>
        <v>3</v>
      </c>
      <c r="J72" s="451">
        <f t="shared" si="5"/>
        <v>2</v>
      </c>
    </row>
    <row r="73" spans="1:10" ht="25.5">
      <c r="A73" s="454" t="s">
        <v>552</v>
      </c>
      <c r="B73" s="419">
        <v>37</v>
      </c>
      <c r="C73" s="419">
        <v>25</v>
      </c>
      <c r="D73" s="421">
        <v>0.1</v>
      </c>
      <c r="E73" s="422">
        <v>0.92</v>
      </c>
      <c r="F73" s="420">
        <v>4.08</v>
      </c>
      <c r="G73" s="458"/>
      <c r="H73" s="453" t="s">
        <v>487</v>
      </c>
      <c r="I73" s="376">
        <f t="shared" si="4"/>
        <v>34.04</v>
      </c>
      <c r="J73" s="451">
        <f t="shared" si="5"/>
        <v>37</v>
      </c>
    </row>
    <row r="74" spans="1:10" ht="13.5" thickBot="1">
      <c r="A74" s="425" t="s">
        <v>553</v>
      </c>
      <c r="B74" s="426">
        <v>1</v>
      </c>
      <c r="C74" s="459"/>
      <c r="D74" s="459"/>
      <c r="E74" s="426">
        <v>4</v>
      </c>
      <c r="F74" s="460"/>
      <c r="G74" s="458"/>
      <c r="H74" s="453" t="s">
        <v>487</v>
      </c>
      <c r="I74" s="376">
        <f t="shared" si="4"/>
        <v>4</v>
      </c>
      <c r="J74" s="451">
        <f t="shared" si="5"/>
        <v>1</v>
      </c>
    </row>
    <row r="75" spans="1:10">
      <c r="B75" s="381"/>
      <c r="C75" s="381"/>
      <c r="D75" s="381"/>
      <c r="E75" s="381">
        <f>SUMPRODUCT(B63:B74,E63:E74)/SUM(B63:B74)</f>
        <v>1.6290566037735847</v>
      </c>
      <c r="F75" s="381"/>
      <c r="G75" s="458"/>
    </row>
    <row r="76" spans="1:10">
      <c r="B76" s="381"/>
      <c r="C76" s="381"/>
      <c r="D76" s="381"/>
      <c r="E76" s="381"/>
      <c r="F76" s="381"/>
      <c r="G76" s="458"/>
    </row>
    <row r="77" spans="1:10" ht="13.5" thickBot="1">
      <c r="A77" s="377" t="s">
        <v>554</v>
      </c>
      <c r="B77" s="381"/>
      <c r="C77" s="381"/>
      <c r="D77" s="381"/>
      <c r="E77" s="381"/>
      <c r="F77" s="381"/>
      <c r="G77" s="458"/>
    </row>
    <row r="78" spans="1:10" ht="39" thickBot="1">
      <c r="A78" s="446" t="s">
        <v>535</v>
      </c>
      <c r="B78" s="447" t="s">
        <v>430</v>
      </c>
      <c r="C78" s="447" t="s">
        <v>536</v>
      </c>
      <c r="D78" s="447" t="s">
        <v>537</v>
      </c>
      <c r="E78" s="447" t="s">
        <v>538</v>
      </c>
      <c r="F78" s="448" t="s">
        <v>539</v>
      </c>
      <c r="G78" s="458"/>
    </row>
    <row r="79" spans="1:10">
      <c r="A79" s="449" t="s">
        <v>441</v>
      </c>
      <c r="B79" s="412">
        <v>9</v>
      </c>
      <c r="C79" s="413">
        <v>0.7</v>
      </c>
      <c r="D79" s="413">
        <v>0.1</v>
      </c>
      <c r="E79" s="414">
        <v>0.37</v>
      </c>
      <c r="F79" s="415">
        <v>0.23</v>
      </c>
      <c r="G79" s="458"/>
      <c r="H79" s="376" t="s">
        <v>471</v>
      </c>
      <c r="I79" s="376">
        <f t="shared" ref="I79:I89" si="6">IFERROR(E79*B79,0)</f>
        <v>3.33</v>
      </c>
      <c r="J79" s="451">
        <f t="shared" ref="J79:J89" si="7">IF(ISNUMBER(B79),B79,0)</f>
        <v>9</v>
      </c>
    </row>
    <row r="80" spans="1:10">
      <c r="A80" s="423" t="s">
        <v>542</v>
      </c>
      <c r="B80" s="419">
        <v>121</v>
      </c>
      <c r="C80" s="421">
        <v>11.6</v>
      </c>
      <c r="D80" s="421">
        <v>0.1</v>
      </c>
      <c r="E80" s="422">
        <v>1.07</v>
      </c>
      <c r="F80" s="455">
        <v>1.5</v>
      </c>
      <c r="G80" s="458"/>
      <c r="H80" s="376" t="s">
        <v>484</v>
      </c>
      <c r="I80" s="376">
        <f t="shared" si="6"/>
        <v>129.47</v>
      </c>
      <c r="J80" s="451">
        <f t="shared" si="7"/>
        <v>121</v>
      </c>
    </row>
    <row r="81" spans="1:10">
      <c r="A81" s="423" t="s">
        <v>543</v>
      </c>
      <c r="B81" s="419">
        <v>1</v>
      </c>
      <c r="C81" s="456"/>
      <c r="D81" s="456"/>
      <c r="E81" s="421">
        <v>0.7</v>
      </c>
      <c r="F81" s="452"/>
      <c r="G81" s="458"/>
      <c r="H81" s="453" t="s">
        <v>469</v>
      </c>
      <c r="I81" s="376">
        <f t="shared" si="6"/>
        <v>0.7</v>
      </c>
      <c r="J81" s="451">
        <f t="shared" si="7"/>
        <v>1</v>
      </c>
    </row>
    <row r="82" spans="1:10">
      <c r="A82" s="454" t="s">
        <v>544</v>
      </c>
      <c r="B82" s="419">
        <v>19</v>
      </c>
      <c r="C82" s="421">
        <v>2.2999999999999998</v>
      </c>
      <c r="D82" s="421">
        <v>0.1</v>
      </c>
      <c r="E82" s="422">
        <v>0.37</v>
      </c>
      <c r="F82" s="420">
        <v>0.51</v>
      </c>
      <c r="G82" s="458"/>
      <c r="H82" s="376" t="s">
        <v>490</v>
      </c>
      <c r="I82" s="376">
        <f t="shared" si="6"/>
        <v>7.03</v>
      </c>
      <c r="J82" s="451">
        <f t="shared" si="7"/>
        <v>19</v>
      </c>
    </row>
    <row r="83" spans="1:10">
      <c r="A83" s="454" t="s">
        <v>545</v>
      </c>
      <c r="B83" s="419">
        <v>0</v>
      </c>
      <c r="C83" s="419">
        <v>0</v>
      </c>
      <c r="D83" s="419">
        <v>0</v>
      </c>
      <c r="E83" s="419">
        <v>0</v>
      </c>
      <c r="F83" s="461">
        <v>0</v>
      </c>
      <c r="G83" s="458"/>
      <c r="H83" s="376" t="s">
        <v>490</v>
      </c>
      <c r="I83" s="376">
        <f t="shared" si="6"/>
        <v>0</v>
      </c>
      <c r="J83" s="451">
        <f t="shared" si="7"/>
        <v>0</v>
      </c>
    </row>
    <row r="84" spans="1:10">
      <c r="A84" s="454" t="s">
        <v>546</v>
      </c>
      <c r="B84" s="419">
        <v>1</v>
      </c>
      <c r="C84" s="456"/>
      <c r="D84" s="456"/>
      <c r="E84" s="421">
        <v>0.4</v>
      </c>
      <c r="F84" s="452"/>
      <c r="G84" s="458"/>
      <c r="H84" s="376" t="s">
        <v>474</v>
      </c>
      <c r="I84" s="376">
        <f t="shared" si="6"/>
        <v>0.4</v>
      </c>
      <c r="J84" s="451">
        <f t="shared" si="7"/>
        <v>1</v>
      </c>
    </row>
    <row r="85" spans="1:10">
      <c r="A85" s="454" t="s">
        <v>547</v>
      </c>
      <c r="B85" s="456"/>
      <c r="C85" s="456"/>
      <c r="D85" s="456"/>
      <c r="E85" s="456"/>
      <c r="F85" s="452"/>
      <c r="G85" s="458"/>
      <c r="H85" s="376" t="s">
        <v>474</v>
      </c>
      <c r="I85" s="376">
        <f t="shared" si="6"/>
        <v>0</v>
      </c>
      <c r="J85" s="451">
        <f t="shared" si="7"/>
        <v>0</v>
      </c>
    </row>
    <row r="86" spans="1:10">
      <c r="A86" s="454" t="s">
        <v>548</v>
      </c>
      <c r="B86" s="419">
        <v>7</v>
      </c>
      <c r="C86" s="421">
        <v>0.7</v>
      </c>
      <c r="D86" s="421">
        <v>0.1</v>
      </c>
      <c r="E86" s="422">
        <v>0.35</v>
      </c>
      <c r="F86" s="455">
        <v>0.2</v>
      </c>
      <c r="G86" s="458"/>
      <c r="H86" s="376" t="s">
        <v>474</v>
      </c>
      <c r="I86" s="376">
        <f t="shared" si="6"/>
        <v>2.4499999999999997</v>
      </c>
      <c r="J86" s="451">
        <f t="shared" si="7"/>
        <v>7</v>
      </c>
    </row>
    <row r="87" spans="1:10">
      <c r="A87" s="454" t="s">
        <v>549</v>
      </c>
      <c r="B87" s="419">
        <v>0</v>
      </c>
      <c r="C87" s="419">
        <v>0</v>
      </c>
      <c r="D87" s="419">
        <v>0</v>
      </c>
      <c r="E87" s="419">
        <v>0</v>
      </c>
      <c r="F87" s="461">
        <v>0</v>
      </c>
      <c r="G87" s="457">
        <f>SUMPRODUCT(B83:B87,E83:E87)/SUM(B83:B87)</f>
        <v>0.35624999999999996</v>
      </c>
      <c r="H87" s="376" t="s">
        <v>469</v>
      </c>
      <c r="I87" s="376">
        <f t="shared" si="6"/>
        <v>0</v>
      </c>
      <c r="J87" s="451">
        <f t="shared" si="7"/>
        <v>0</v>
      </c>
    </row>
    <row r="88" spans="1:10">
      <c r="A88" s="454" t="s">
        <v>550</v>
      </c>
      <c r="B88" s="419">
        <v>0</v>
      </c>
      <c r="C88" s="419">
        <v>0</v>
      </c>
      <c r="D88" s="419">
        <v>0</v>
      </c>
      <c r="E88" s="419">
        <v>0</v>
      </c>
      <c r="F88" s="461">
        <v>0</v>
      </c>
      <c r="H88" s="376" t="s">
        <v>490</v>
      </c>
      <c r="I88" s="376">
        <f t="shared" si="6"/>
        <v>0</v>
      </c>
      <c r="J88" s="451">
        <f t="shared" si="7"/>
        <v>0</v>
      </c>
    </row>
    <row r="89" spans="1:10" ht="26.25" thickBot="1">
      <c r="A89" s="462" t="s">
        <v>552</v>
      </c>
      <c r="B89" s="426">
        <v>36</v>
      </c>
      <c r="C89" s="427">
        <v>0.7</v>
      </c>
      <c r="D89" s="427">
        <v>0.1</v>
      </c>
      <c r="E89" s="428">
        <v>0.21</v>
      </c>
      <c r="F89" s="429">
        <v>0.16</v>
      </c>
      <c r="H89" s="453" t="s">
        <v>487</v>
      </c>
      <c r="I89" s="376">
        <f t="shared" si="6"/>
        <v>7.56</v>
      </c>
      <c r="J89" s="451">
        <f t="shared" si="7"/>
        <v>36</v>
      </c>
    </row>
    <row r="90" spans="1:10">
      <c r="B90" s="381">
        <f>(B89)/SUM(B79:B89)</f>
        <v>0.18556701030927836</v>
      </c>
      <c r="C90" s="381"/>
      <c r="D90" s="381"/>
      <c r="E90" s="381">
        <f>SUMPRODUCT(E79:E89,B79:B89)/SUM(B79:B89)</f>
        <v>0.77804123711340201</v>
      </c>
      <c r="F90" s="381"/>
      <c r="J90" s="451"/>
    </row>
    <row r="91" spans="1:10">
      <c r="B91" s="381"/>
      <c r="C91" s="381"/>
      <c r="D91" s="381"/>
      <c r="E91" s="381"/>
      <c r="F91" s="381"/>
    </row>
    <row r="92" spans="1:10" ht="13.5" thickBot="1">
      <c r="A92" s="377" t="s">
        <v>555</v>
      </c>
      <c r="B92" s="381"/>
      <c r="C92" s="381"/>
      <c r="D92" s="381"/>
      <c r="E92" s="381"/>
      <c r="F92" s="381"/>
    </row>
    <row r="93" spans="1:10" ht="39" thickBot="1">
      <c r="A93" s="446" t="s">
        <v>535</v>
      </c>
      <c r="B93" s="447" t="s">
        <v>430</v>
      </c>
      <c r="C93" s="447" t="s">
        <v>536</v>
      </c>
      <c r="D93" s="447" t="s">
        <v>537</v>
      </c>
      <c r="E93" s="447" t="s">
        <v>538</v>
      </c>
      <c r="F93" s="448" t="s">
        <v>539</v>
      </c>
    </row>
    <row r="94" spans="1:10">
      <c r="A94" s="449" t="s">
        <v>441</v>
      </c>
      <c r="B94" s="463" t="s">
        <v>115</v>
      </c>
      <c r="C94" s="463" t="s">
        <v>115</v>
      </c>
      <c r="D94" s="463" t="s">
        <v>115</v>
      </c>
      <c r="E94" s="463" t="s">
        <v>115</v>
      </c>
      <c r="F94" s="464" t="s">
        <v>115</v>
      </c>
      <c r="H94" s="376" t="s">
        <v>471</v>
      </c>
      <c r="I94" s="376">
        <f t="shared" ref="I94:I105" si="8">IFERROR(E94*B94,0)</f>
        <v>0</v>
      </c>
      <c r="J94" s="451">
        <f t="shared" ref="J94:J105" si="9">IF(ISNUMBER(B94),B94,0)</f>
        <v>0</v>
      </c>
    </row>
    <row r="95" spans="1:10">
      <c r="A95" s="423" t="s">
        <v>542</v>
      </c>
      <c r="B95" s="419">
        <v>6</v>
      </c>
      <c r="C95" s="419">
        <v>21</v>
      </c>
      <c r="D95" s="421">
        <v>0.2</v>
      </c>
      <c r="E95" s="421">
        <v>5.8</v>
      </c>
      <c r="F95" s="455">
        <v>8</v>
      </c>
      <c r="H95" s="376" t="s">
        <v>469</v>
      </c>
      <c r="I95" s="376">
        <f t="shared" si="8"/>
        <v>34.799999999999997</v>
      </c>
      <c r="J95" s="451">
        <f t="shared" si="9"/>
        <v>6</v>
      </c>
    </row>
    <row r="96" spans="1:10">
      <c r="A96" s="423" t="s">
        <v>543</v>
      </c>
      <c r="B96" s="465" t="s">
        <v>115</v>
      </c>
      <c r="C96" s="465" t="s">
        <v>115</v>
      </c>
      <c r="D96" s="465" t="s">
        <v>115</v>
      </c>
      <c r="E96" s="465" t="s">
        <v>115</v>
      </c>
      <c r="F96" s="466" t="s">
        <v>115</v>
      </c>
      <c r="H96" s="376" t="s">
        <v>469</v>
      </c>
      <c r="I96" s="376">
        <f t="shared" si="8"/>
        <v>0</v>
      </c>
      <c r="J96" s="451">
        <f t="shared" si="9"/>
        <v>0</v>
      </c>
    </row>
    <row r="97" spans="1:16">
      <c r="A97" s="423" t="s">
        <v>544</v>
      </c>
      <c r="B97" s="419">
        <v>0</v>
      </c>
      <c r="C97" s="419">
        <v>0</v>
      </c>
      <c r="D97" s="419">
        <v>0</v>
      </c>
      <c r="E97" s="419">
        <v>0</v>
      </c>
      <c r="F97" s="461">
        <v>0</v>
      </c>
      <c r="H97" s="376" t="s">
        <v>490</v>
      </c>
      <c r="I97" s="376">
        <f t="shared" si="8"/>
        <v>0</v>
      </c>
      <c r="J97" s="451">
        <f t="shared" si="9"/>
        <v>0</v>
      </c>
    </row>
    <row r="98" spans="1:16">
      <c r="A98" s="423" t="s">
        <v>545</v>
      </c>
      <c r="B98" s="419">
        <v>0</v>
      </c>
      <c r="C98" s="419">
        <v>0</v>
      </c>
      <c r="D98" s="419">
        <v>0</v>
      </c>
      <c r="E98" s="419">
        <v>0</v>
      </c>
      <c r="F98" s="461">
        <v>0</v>
      </c>
      <c r="H98" s="376" t="s">
        <v>490</v>
      </c>
      <c r="I98" s="376">
        <f t="shared" si="8"/>
        <v>0</v>
      </c>
      <c r="J98" s="451">
        <f t="shared" si="9"/>
        <v>0</v>
      </c>
    </row>
    <row r="99" spans="1:16">
      <c r="A99" s="423" t="s">
        <v>546</v>
      </c>
      <c r="B99" s="419">
        <v>4</v>
      </c>
      <c r="C99" s="419">
        <v>2</v>
      </c>
      <c r="D99" s="421">
        <v>0.8</v>
      </c>
      <c r="E99" s="465">
        <v>1.45</v>
      </c>
      <c r="F99" s="420">
        <v>0.64</v>
      </c>
      <c r="H99" s="376" t="s">
        <v>474</v>
      </c>
      <c r="I99" s="376">
        <f t="shared" si="8"/>
        <v>5.8</v>
      </c>
      <c r="J99" s="451">
        <f t="shared" si="9"/>
        <v>4</v>
      </c>
    </row>
    <row r="100" spans="1:16">
      <c r="A100" s="423" t="s">
        <v>547</v>
      </c>
      <c r="B100" s="419">
        <v>0</v>
      </c>
      <c r="C100" s="419">
        <v>0</v>
      </c>
      <c r="D100" s="419">
        <v>0</v>
      </c>
      <c r="E100" s="419">
        <v>0</v>
      </c>
      <c r="F100" s="461">
        <v>0</v>
      </c>
      <c r="H100" s="376" t="s">
        <v>474</v>
      </c>
      <c r="I100" s="376">
        <f t="shared" si="8"/>
        <v>0</v>
      </c>
      <c r="J100" s="451">
        <f t="shared" si="9"/>
        <v>0</v>
      </c>
    </row>
    <row r="101" spans="1:16">
      <c r="A101" s="423" t="s">
        <v>548</v>
      </c>
      <c r="B101" s="419">
        <v>2</v>
      </c>
      <c r="C101" s="421">
        <v>0.5</v>
      </c>
      <c r="D101" s="421">
        <v>0.1</v>
      </c>
      <c r="E101" s="421">
        <v>0.3</v>
      </c>
      <c r="F101" s="452"/>
      <c r="H101" s="376" t="s">
        <v>474</v>
      </c>
      <c r="I101" s="376">
        <f t="shared" si="8"/>
        <v>0.6</v>
      </c>
      <c r="J101" s="451">
        <f t="shared" si="9"/>
        <v>2</v>
      </c>
    </row>
    <row r="102" spans="1:16">
      <c r="A102" s="423" t="s">
        <v>549</v>
      </c>
      <c r="B102" s="419">
        <v>4</v>
      </c>
      <c r="C102" s="421">
        <v>6.4</v>
      </c>
      <c r="D102" s="422">
        <v>0.55000000000000004</v>
      </c>
      <c r="E102" s="422">
        <v>2.94</v>
      </c>
      <c r="F102" s="420">
        <v>2.65</v>
      </c>
      <c r="H102" s="376" t="s">
        <v>469</v>
      </c>
      <c r="I102" s="376">
        <f t="shared" si="8"/>
        <v>11.76</v>
      </c>
      <c r="J102" s="451">
        <f t="shared" si="9"/>
        <v>4</v>
      </c>
    </row>
    <row r="103" spans="1:16">
      <c r="A103" s="423" t="s">
        <v>550</v>
      </c>
      <c r="B103" s="456"/>
      <c r="C103" s="456"/>
      <c r="D103" s="456"/>
      <c r="E103" s="456"/>
      <c r="F103" s="452"/>
      <c r="H103" s="376" t="s">
        <v>490</v>
      </c>
      <c r="I103" s="376">
        <f t="shared" si="8"/>
        <v>0</v>
      </c>
      <c r="J103" s="451">
        <f t="shared" si="9"/>
        <v>0</v>
      </c>
    </row>
    <row r="104" spans="1:16" ht="25.5">
      <c r="A104" s="423" t="s">
        <v>552</v>
      </c>
      <c r="B104" s="465" t="s">
        <v>115</v>
      </c>
      <c r="C104" s="465" t="s">
        <v>115</v>
      </c>
      <c r="D104" s="465" t="s">
        <v>115</v>
      </c>
      <c r="E104" s="465" t="s">
        <v>115</v>
      </c>
      <c r="F104" s="466" t="s">
        <v>115</v>
      </c>
      <c r="H104" s="376" t="s">
        <v>487</v>
      </c>
      <c r="I104" s="376">
        <f t="shared" si="8"/>
        <v>0</v>
      </c>
      <c r="J104" s="451">
        <f t="shared" si="9"/>
        <v>0</v>
      </c>
    </row>
    <row r="105" spans="1:16" ht="13.5" thickBot="1">
      <c r="A105" s="425" t="s">
        <v>556</v>
      </c>
      <c r="B105" s="426">
        <v>3</v>
      </c>
      <c r="C105" s="426">
        <v>6</v>
      </c>
      <c r="D105" s="427">
        <v>0.2</v>
      </c>
      <c r="E105" s="427">
        <v>3.2</v>
      </c>
      <c r="F105" s="460"/>
      <c r="H105" s="453" t="s">
        <v>469</v>
      </c>
      <c r="I105" s="376">
        <f t="shared" si="8"/>
        <v>9.6000000000000014</v>
      </c>
      <c r="J105" s="451">
        <f t="shared" si="9"/>
        <v>3</v>
      </c>
    </row>
    <row r="108" spans="1:16" ht="13.5" thickBot="1">
      <c r="A108" s="377" t="s">
        <v>557</v>
      </c>
    </row>
    <row r="109" spans="1:16" ht="77.25" thickBot="1">
      <c r="A109" s="467" t="s">
        <v>476</v>
      </c>
      <c r="B109" s="468" t="s">
        <v>558</v>
      </c>
      <c r="C109" s="468" t="s">
        <v>477</v>
      </c>
      <c r="D109" s="468" t="s">
        <v>559</v>
      </c>
      <c r="E109" s="468" t="s">
        <v>560</v>
      </c>
      <c r="F109" s="468" t="s">
        <v>561</v>
      </c>
      <c r="G109" s="468" t="s">
        <v>562</v>
      </c>
      <c r="H109" s="468" t="s">
        <v>442</v>
      </c>
      <c r="I109" s="469" t="s">
        <v>563</v>
      </c>
      <c r="M109" s="380" t="s">
        <v>564</v>
      </c>
      <c r="N109" s="380" t="s">
        <v>565</v>
      </c>
      <c r="O109" s="376" t="s">
        <v>566</v>
      </c>
      <c r="P109" s="376" t="s">
        <v>567</v>
      </c>
    </row>
    <row r="110" spans="1:16">
      <c r="A110" s="470" t="s">
        <v>568</v>
      </c>
      <c r="B110" s="384" t="s">
        <v>508</v>
      </c>
      <c r="C110" s="384" t="s">
        <v>508</v>
      </c>
      <c r="D110" s="471">
        <v>0</v>
      </c>
      <c r="E110" s="472"/>
      <c r="F110" s="472"/>
      <c r="G110" s="472"/>
      <c r="H110" s="473">
        <v>0</v>
      </c>
      <c r="I110" s="474">
        <v>0</v>
      </c>
      <c r="L110" s="376" t="str">
        <f>A208</f>
        <v>HP1</v>
      </c>
      <c r="M110" s="451">
        <f>D208</f>
        <v>22</v>
      </c>
      <c r="N110" s="376">
        <f t="shared" ref="N110:O113" si="10">G110</f>
        <v>0</v>
      </c>
      <c r="O110" s="376">
        <f t="shared" si="10"/>
        <v>0</v>
      </c>
      <c r="P110" s="475"/>
    </row>
    <row r="111" spans="1:16">
      <c r="A111" s="476" t="s">
        <v>569</v>
      </c>
      <c r="B111" s="391" t="s">
        <v>508</v>
      </c>
      <c r="C111" s="391" t="s">
        <v>508</v>
      </c>
      <c r="D111" s="477">
        <v>3</v>
      </c>
      <c r="E111" s="391" t="s">
        <v>570</v>
      </c>
      <c r="F111" s="478">
        <v>1.75</v>
      </c>
      <c r="G111" s="478">
        <v>1.75</v>
      </c>
      <c r="H111" s="478">
        <v>1.44</v>
      </c>
      <c r="I111" s="479">
        <v>11.2</v>
      </c>
      <c r="J111" s="376">
        <v>3</v>
      </c>
      <c r="L111" s="376" t="str">
        <f>A209</f>
        <v>HP2</v>
      </c>
      <c r="M111" s="451">
        <f>D209</f>
        <v>49</v>
      </c>
      <c r="N111" s="376">
        <f t="shared" si="10"/>
        <v>1.75</v>
      </c>
      <c r="O111" s="376">
        <f t="shared" si="10"/>
        <v>1.44</v>
      </c>
      <c r="P111" s="475">
        <f>G111/H111*100</f>
        <v>121.52777777777779</v>
      </c>
    </row>
    <row r="112" spans="1:16">
      <c r="A112" s="476" t="s">
        <v>571</v>
      </c>
      <c r="B112" s="391" t="s">
        <v>508</v>
      </c>
      <c r="C112" s="391" t="s">
        <v>508</v>
      </c>
      <c r="D112" s="477">
        <v>8</v>
      </c>
      <c r="E112" s="391" t="s">
        <v>572</v>
      </c>
      <c r="F112" s="392">
        <v>4.0999999999999996</v>
      </c>
      <c r="G112" s="392">
        <v>4.0999999999999996</v>
      </c>
      <c r="H112" s="478">
        <v>3.38</v>
      </c>
      <c r="I112" s="479">
        <v>26.24</v>
      </c>
      <c r="J112" s="376">
        <v>8</v>
      </c>
      <c r="L112" s="376" t="str">
        <f>A210</f>
        <v>HP3</v>
      </c>
      <c r="M112" s="451">
        <f>D210</f>
        <v>39</v>
      </c>
      <c r="N112" s="376">
        <f t="shared" si="10"/>
        <v>4.0999999999999996</v>
      </c>
      <c r="O112" s="376">
        <f t="shared" si="10"/>
        <v>3.38</v>
      </c>
      <c r="P112" s="475">
        <f>G112/H112*100</f>
        <v>121.30177514792899</v>
      </c>
    </row>
    <row r="113" spans="1:16" ht="13.5" thickBot="1">
      <c r="A113" s="480" t="s">
        <v>573</v>
      </c>
      <c r="B113" s="481">
        <v>20</v>
      </c>
      <c r="C113" s="481">
        <v>20</v>
      </c>
      <c r="D113" s="481">
        <v>0</v>
      </c>
      <c r="E113" s="482"/>
      <c r="F113" s="482"/>
      <c r="G113" s="482"/>
      <c r="H113" s="483">
        <v>0</v>
      </c>
      <c r="I113" s="484"/>
      <c r="M113" s="451">
        <f>D211</f>
        <v>120</v>
      </c>
      <c r="N113" s="376">
        <f t="shared" si="10"/>
        <v>0</v>
      </c>
      <c r="O113" s="376">
        <f t="shared" si="10"/>
        <v>0</v>
      </c>
      <c r="P113" s="475"/>
    </row>
    <row r="114" spans="1:16" ht="13.5" thickBot="1">
      <c r="A114" s="485" t="s">
        <v>574</v>
      </c>
      <c r="B114" s="486"/>
      <c r="C114" s="486"/>
      <c r="D114" s="486"/>
      <c r="E114" s="486"/>
      <c r="F114" s="486"/>
      <c r="G114" s="486"/>
      <c r="H114" s="487">
        <v>2.41</v>
      </c>
      <c r="I114" s="488">
        <v>18.72</v>
      </c>
      <c r="P114" s="475"/>
    </row>
    <row r="115" spans="1:16">
      <c r="A115" s="489" t="s">
        <v>575</v>
      </c>
      <c r="B115" s="490">
        <v>5</v>
      </c>
      <c r="C115" s="490">
        <v>5</v>
      </c>
      <c r="D115" s="490">
        <v>0</v>
      </c>
      <c r="E115" s="491"/>
      <c r="F115" s="491"/>
      <c r="G115" s="491"/>
      <c r="H115" s="492">
        <v>0</v>
      </c>
      <c r="I115" s="493"/>
      <c r="L115" s="376" t="str">
        <f t="shared" ref="L115:L139" si="11">A214</f>
        <v>LP1</v>
      </c>
      <c r="M115" s="451">
        <f t="shared" ref="M115:M129" si="12">D214</f>
        <v>60</v>
      </c>
      <c r="N115" s="376">
        <f t="shared" ref="N115:O117" si="13">G115</f>
        <v>0</v>
      </c>
      <c r="O115" s="376">
        <f t="shared" si="13"/>
        <v>0</v>
      </c>
      <c r="P115" s="475"/>
    </row>
    <row r="116" spans="1:16">
      <c r="A116" s="476" t="s">
        <v>576</v>
      </c>
      <c r="B116" s="477">
        <v>3</v>
      </c>
      <c r="C116" s="477">
        <v>3</v>
      </c>
      <c r="D116" s="477">
        <v>0</v>
      </c>
      <c r="E116" s="494"/>
      <c r="F116" s="494"/>
      <c r="G116" s="494"/>
      <c r="H116" s="478">
        <v>0</v>
      </c>
      <c r="I116" s="495"/>
      <c r="L116" s="376" t="str">
        <f t="shared" si="11"/>
        <v>LP2</v>
      </c>
      <c r="M116" s="451">
        <f t="shared" si="12"/>
        <v>88</v>
      </c>
      <c r="N116" s="376">
        <f t="shared" si="13"/>
        <v>0</v>
      </c>
      <c r="O116" s="376">
        <f t="shared" si="13"/>
        <v>0</v>
      </c>
      <c r="P116" s="475"/>
    </row>
    <row r="117" spans="1:16">
      <c r="A117" s="888" t="s">
        <v>577</v>
      </c>
      <c r="B117" s="889" t="s">
        <v>508</v>
      </c>
      <c r="C117" s="889" t="s">
        <v>508</v>
      </c>
      <c r="D117" s="890">
        <v>5</v>
      </c>
      <c r="E117" s="391" t="s">
        <v>578</v>
      </c>
      <c r="F117" s="392">
        <v>1.8</v>
      </c>
      <c r="G117" s="891">
        <v>9.35</v>
      </c>
      <c r="H117" s="891">
        <v>1.53</v>
      </c>
      <c r="I117" s="892">
        <v>11.87</v>
      </c>
      <c r="J117" s="376">
        <v>3</v>
      </c>
      <c r="L117" s="376" t="str">
        <f t="shared" si="11"/>
        <v>LP3</v>
      </c>
      <c r="M117" s="451">
        <f t="shared" si="12"/>
        <v>108</v>
      </c>
      <c r="N117" s="376">
        <f t="shared" si="13"/>
        <v>9.35</v>
      </c>
      <c r="O117" s="376">
        <f t="shared" si="13"/>
        <v>1.53</v>
      </c>
      <c r="P117" s="475">
        <f>G117/H117*100</f>
        <v>611.11111111111109</v>
      </c>
    </row>
    <row r="118" spans="1:16">
      <c r="A118" s="888"/>
      <c r="B118" s="889"/>
      <c r="C118" s="889"/>
      <c r="D118" s="890"/>
      <c r="E118" s="391" t="s">
        <v>579</v>
      </c>
      <c r="F118" s="478">
        <v>0.55000000000000004</v>
      </c>
      <c r="G118" s="891"/>
      <c r="H118" s="891"/>
      <c r="I118" s="892"/>
      <c r="J118" s="376">
        <v>2</v>
      </c>
      <c r="L118" s="376" t="str">
        <f t="shared" si="11"/>
        <v>LP4</v>
      </c>
      <c r="M118" s="451">
        <f t="shared" si="12"/>
        <v>58</v>
      </c>
      <c r="N118" s="376">
        <f>G120</f>
        <v>8.1</v>
      </c>
      <c r="O118" s="376">
        <f>H120</f>
        <v>4.7699999999999996</v>
      </c>
      <c r="P118" s="475">
        <f>G120/H120*100</f>
        <v>169.81132075471697</v>
      </c>
    </row>
    <row r="119" spans="1:16">
      <c r="A119" s="888"/>
      <c r="B119" s="889"/>
      <c r="C119" s="889"/>
      <c r="D119" s="890"/>
      <c r="E119" s="391" t="s">
        <v>580</v>
      </c>
      <c r="F119" s="392">
        <v>7</v>
      </c>
      <c r="G119" s="891"/>
      <c r="H119" s="891"/>
      <c r="I119" s="892"/>
      <c r="J119" s="376">
        <v>1</v>
      </c>
      <c r="L119" s="376" t="str">
        <f t="shared" si="11"/>
        <v>LP5</v>
      </c>
      <c r="M119" s="451">
        <f t="shared" si="12"/>
        <v>62</v>
      </c>
      <c r="N119" s="376">
        <f>G121</f>
        <v>4.95</v>
      </c>
      <c r="O119" s="376">
        <f>H121</f>
        <v>2.5499999999999998</v>
      </c>
      <c r="P119" s="475">
        <f>G121/H121*100</f>
        <v>194.11764705882354</v>
      </c>
    </row>
    <row r="120" spans="1:16">
      <c r="A120" s="476" t="s">
        <v>581</v>
      </c>
      <c r="B120" s="477">
        <v>15</v>
      </c>
      <c r="C120" s="391" t="s">
        <v>582</v>
      </c>
      <c r="D120" s="477">
        <v>1</v>
      </c>
      <c r="E120" s="391" t="s">
        <v>583</v>
      </c>
      <c r="F120" s="392">
        <v>8.1</v>
      </c>
      <c r="G120" s="392">
        <v>8.1</v>
      </c>
      <c r="H120" s="478">
        <v>4.7699999999999996</v>
      </c>
      <c r="I120" s="479">
        <v>37</v>
      </c>
      <c r="J120" s="376">
        <v>1</v>
      </c>
      <c r="L120" s="376" t="str">
        <f t="shared" si="11"/>
        <v>LP6</v>
      </c>
      <c r="M120" s="451">
        <f t="shared" si="12"/>
        <v>45</v>
      </c>
      <c r="N120" s="376">
        <f>G123</f>
        <v>0</v>
      </c>
      <c r="O120" s="376">
        <f>H123</f>
        <v>0</v>
      </c>
      <c r="P120" s="475"/>
    </row>
    <row r="121" spans="1:16">
      <c r="A121" s="888" t="s">
        <v>584</v>
      </c>
      <c r="B121" s="889" t="s">
        <v>585</v>
      </c>
      <c r="C121" s="889" t="s">
        <v>582</v>
      </c>
      <c r="D121" s="890">
        <v>5</v>
      </c>
      <c r="E121" s="391" t="s">
        <v>570</v>
      </c>
      <c r="F121" s="478">
        <v>1.55</v>
      </c>
      <c r="G121" s="891">
        <v>4.95</v>
      </c>
      <c r="H121" s="891">
        <v>2.5499999999999998</v>
      </c>
      <c r="I121" s="892">
        <v>19.79</v>
      </c>
      <c r="J121" s="376">
        <v>3</v>
      </c>
      <c r="L121" s="376" t="str">
        <f t="shared" si="11"/>
        <v>LP7</v>
      </c>
      <c r="M121" s="451">
        <f t="shared" si="12"/>
        <v>72</v>
      </c>
      <c r="N121" s="376">
        <f>G124</f>
        <v>0.6</v>
      </c>
      <c r="O121" s="376">
        <f>H124</f>
        <v>0.22</v>
      </c>
      <c r="P121" s="475">
        <f>G124/H124*100</f>
        <v>272.72727272727269</v>
      </c>
    </row>
    <row r="122" spans="1:16">
      <c r="A122" s="888"/>
      <c r="B122" s="889"/>
      <c r="C122" s="889"/>
      <c r="D122" s="890"/>
      <c r="E122" s="391" t="s">
        <v>579</v>
      </c>
      <c r="F122" s="392">
        <v>3.4</v>
      </c>
      <c r="G122" s="891"/>
      <c r="H122" s="891"/>
      <c r="I122" s="892"/>
      <c r="J122" s="376">
        <v>2</v>
      </c>
      <c r="L122" s="376" t="str">
        <f t="shared" si="11"/>
        <v>LP8</v>
      </c>
      <c r="M122" s="451">
        <f t="shared" si="12"/>
        <v>38</v>
      </c>
      <c r="N122" s="376">
        <f>G126</f>
        <v>1</v>
      </c>
      <c r="O122" s="376">
        <f>H126</f>
        <v>1.37</v>
      </c>
      <c r="P122" s="475">
        <f>G126/H126*100</f>
        <v>72.992700729927009</v>
      </c>
    </row>
    <row r="123" spans="1:16">
      <c r="A123" s="476" t="s">
        <v>586</v>
      </c>
      <c r="B123" s="477">
        <v>15</v>
      </c>
      <c r="C123" s="391" t="s">
        <v>582</v>
      </c>
      <c r="D123" s="477">
        <v>0</v>
      </c>
      <c r="E123" s="494"/>
      <c r="F123" s="494"/>
      <c r="G123" s="494"/>
      <c r="H123" s="478">
        <v>0</v>
      </c>
      <c r="I123" s="479">
        <v>0</v>
      </c>
      <c r="L123" s="376" t="str">
        <f t="shared" si="11"/>
        <v>LP9</v>
      </c>
      <c r="M123" s="451">
        <f t="shared" si="12"/>
        <v>97</v>
      </c>
      <c r="N123" s="376">
        <f t="shared" ref="N123:O128" si="14">G128</f>
        <v>2.4</v>
      </c>
      <c r="O123" s="376">
        <f t="shared" si="14"/>
        <v>0.51</v>
      </c>
      <c r="P123" s="475">
        <f>G128/H128*100</f>
        <v>470.58823529411768</v>
      </c>
    </row>
    <row r="124" spans="1:16">
      <c r="A124" s="888" t="s">
        <v>587</v>
      </c>
      <c r="B124" s="889" t="s">
        <v>588</v>
      </c>
      <c r="C124" s="889" t="s">
        <v>582</v>
      </c>
      <c r="D124" s="890">
        <v>3</v>
      </c>
      <c r="E124" s="391" t="s">
        <v>579</v>
      </c>
      <c r="F124" s="392">
        <v>0.5</v>
      </c>
      <c r="G124" s="893">
        <v>0.6</v>
      </c>
      <c r="H124" s="891">
        <v>0.22</v>
      </c>
      <c r="I124" s="892">
        <v>1.73</v>
      </c>
      <c r="J124" s="376">
        <v>2</v>
      </c>
      <c r="L124" s="376" t="str">
        <f t="shared" si="11"/>
        <v>LP10</v>
      </c>
      <c r="M124" s="451">
        <f t="shared" si="12"/>
        <v>110</v>
      </c>
      <c r="N124" s="376">
        <f t="shared" si="14"/>
        <v>0.7</v>
      </c>
      <c r="O124" s="376">
        <f t="shared" si="14"/>
        <v>0.11</v>
      </c>
      <c r="P124" s="475">
        <f>G129/H129*100</f>
        <v>636.36363636363637</v>
      </c>
    </row>
    <row r="125" spans="1:16">
      <c r="A125" s="888"/>
      <c r="B125" s="889"/>
      <c r="C125" s="889"/>
      <c r="D125" s="890"/>
      <c r="E125" s="391" t="s">
        <v>589</v>
      </c>
      <c r="F125" s="392">
        <v>0.1</v>
      </c>
      <c r="G125" s="893"/>
      <c r="H125" s="891"/>
      <c r="I125" s="892"/>
      <c r="J125" s="376">
        <v>1</v>
      </c>
      <c r="L125" s="376" t="str">
        <f t="shared" si="11"/>
        <v>LP11</v>
      </c>
      <c r="M125" s="451">
        <f t="shared" si="12"/>
        <v>47</v>
      </c>
      <c r="N125" s="376">
        <f t="shared" si="14"/>
        <v>0</v>
      </c>
      <c r="O125" s="376">
        <f t="shared" si="14"/>
        <v>0</v>
      </c>
      <c r="P125" s="475"/>
    </row>
    <row r="126" spans="1:16">
      <c r="A126" s="888" t="s">
        <v>590</v>
      </c>
      <c r="B126" s="890">
        <v>40</v>
      </c>
      <c r="C126" s="889" t="s">
        <v>582</v>
      </c>
      <c r="D126" s="890">
        <v>3</v>
      </c>
      <c r="E126" s="496" t="s">
        <v>591</v>
      </c>
      <c r="F126" s="392">
        <v>0.5</v>
      </c>
      <c r="G126" s="893">
        <v>1</v>
      </c>
      <c r="H126" s="891">
        <v>1.37</v>
      </c>
      <c r="I126" s="892">
        <v>10.64</v>
      </c>
      <c r="J126" s="376">
        <v>1</v>
      </c>
      <c r="L126" s="376" t="str">
        <f t="shared" si="11"/>
        <v>LP12</v>
      </c>
      <c r="M126" s="451">
        <f t="shared" si="12"/>
        <v>61</v>
      </c>
      <c r="N126" s="376">
        <f t="shared" si="14"/>
        <v>0</v>
      </c>
      <c r="O126" s="376">
        <f t="shared" si="14"/>
        <v>0</v>
      </c>
      <c r="P126" s="475"/>
    </row>
    <row r="127" spans="1:16">
      <c r="A127" s="888"/>
      <c r="B127" s="890"/>
      <c r="C127" s="889"/>
      <c r="D127" s="890"/>
      <c r="E127" s="391" t="s">
        <v>592</v>
      </c>
      <c r="F127" s="392">
        <v>0.5</v>
      </c>
      <c r="G127" s="893"/>
      <c r="H127" s="891"/>
      <c r="I127" s="892"/>
      <c r="J127" s="376">
        <v>2</v>
      </c>
      <c r="L127" s="376" t="str">
        <f t="shared" si="11"/>
        <v>LP13</v>
      </c>
      <c r="M127" s="451">
        <f t="shared" si="12"/>
        <v>166</v>
      </c>
      <c r="N127" s="376">
        <f t="shared" si="14"/>
        <v>0</v>
      </c>
      <c r="O127" s="376">
        <f t="shared" si="14"/>
        <v>0</v>
      </c>
      <c r="P127" s="475"/>
    </row>
    <row r="128" spans="1:16">
      <c r="A128" s="476" t="s">
        <v>593</v>
      </c>
      <c r="B128" s="477">
        <v>21</v>
      </c>
      <c r="C128" s="391" t="s">
        <v>582</v>
      </c>
      <c r="D128" s="477">
        <v>1</v>
      </c>
      <c r="E128" s="391" t="s">
        <v>594</v>
      </c>
      <c r="F128" s="392">
        <v>2.4</v>
      </c>
      <c r="G128" s="392">
        <v>2.4</v>
      </c>
      <c r="H128" s="478">
        <v>0.51</v>
      </c>
      <c r="I128" s="479">
        <v>3.92</v>
      </c>
      <c r="J128" s="376">
        <v>1</v>
      </c>
      <c r="L128" s="376" t="str">
        <f t="shared" si="11"/>
        <v>LP14</v>
      </c>
      <c r="M128" s="451">
        <f t="shared" si="12"/>
        <v>12</v>
      </c>
      <c r="N128" s="376">
        <f t="shared" si="14"/>
        <v>0</v>
      </c>
      <c r="O128" s="376">
        <f t="shared" si="14"/>
        <v>0</v>
      </c>
      <c r="P128" s="475"/>
    </row>
    <row r="129" spans="1:19">
      <c r="A129" s="476" t="s">
        <v>595</v>
      </c>
      <c r="B129" s="477">
        <v>20</v>
      </c>
      <c r="C129" s="477">
        <v>20</v>
      </c>
      <c r="D129" s="477">
        <v>3</v>
      </c>
      <c r="E129" s="391" t="s">
        <v>596</v>
      </c>
      <c r="F129" s="392">
        <v>0.7</v>
      </c>
      <c r="G129" s="392">
        <v>0.7</v>
      </c>
      <c r="H129" s="478">
        <v>0.11</v>
      </c>
      <c r="I129" s="479">
        <v>0.89</v>
      </c>
      <c r="J129" s="376">
        <v>3</v>
      </c>
      <c r="L129" s="376" t="str">
        <f t="shared" si="11"/>
        <v>LP15</v>
      </c>
      <c r="M129" s="451">
        <f t="shared" si="12"/>
        <v>95</v>
      </c>
      <c r="N129" s="497">
        <f>G134+G135</f>
        <v>0.9</v>
      </c>
      <c r="O129" s="497">
        <f>H134+H135</f>
        <v>0.2</v>
      </c>
      <c r="P129" s="475">
        <f>G134/H134*100</f>
        <v>200</v>
      </c>
    </row>
    <row r="130" spans="1:19">
      <c r="A130" s="476" t="s">
        <v>597</v>
      </c>
      <c r="B130" s="391" t="s">
        <v>598</v>
      </c>
      <c r="C130" s="477">
        <v>0</v>
      </c>
      <c r="D130" s="477">
        <v>0</v>
      </c>
      <c r="E130" s="494"/>
      <c r="F130" s="494"/>
      <c r="G130" s="494"/>
      <c r="H130" s="478">
        <v>0</v>
      </c>
      <c r="I130" s="495"/>
      <c r="L130" s="376" t="str">
        <f t="shared" si="11"/>
        <v>LP16</v>
      </c>
      <c r="M130" s="451">
        <f>D239</f>
        <v>77</v>
      </c>
      <c r="N130" s="376">
        <f>G136</f>
        <v>10.7</v>
      </c>
      <c r="O130" s="376">
        <f>H136</f>
        <v>1.24</v>
      </c>
      <c r="P130" s="475">
        <f>G136/H136*100</f>
        <v>862.90322580645159</v>
      </c>
    </row>
    <row r="131" spans="1:19">
      <c r="A131" s="476" t="s">
        <v>599</v>
      </c>
      <c r="B131" s="391" t="s">
        <v>598</v>
      </c>
      <c r="C131" s="477">
        <v>0</v>
      </c>
      <c r="D131" s="477">
        <v>0</v>
      </c>
      <c r="E131" s="494"/>
      <c r="F131" s="494"/>
      <c r="G131" s="494"/>
      <c r="H131" s="478">
        <v>0</v>
      </c>
      <c r="I131" s="495"/>
      <c r="L131" s="376" t="str">
        <f t="shared" si="11"/>
        <v>LP17</v>
      </c>
      <c r="M131" s="451">
        <f t="shared" ref="M131:M139" si="15">D230</f>
        <v>114</v>
      </c>
      <c r="N131" s="376">
        <f t="shared" ref="N131:O139" si="16">G139</f>
        <v>0</v>
      </c>
      <c r="O131" s="376">
        <f t="shared" si="16"/>
        <v>0</v>
      </c>
      <c r="P131" s="475"/>
    </row>
    <row r="132" spans="1:19">
      <c r="A132" s="476" t="s">
        <v>600</v>
      </c>
      <c r="B132" s="477">
        <v>0</v>
      </c>
      <c r="C132" s="477">
        <v>0</v>
      </c>
      <c r="D132" s="477">
        <v>0</v>
      </c>
      <c r="E132" s="494"/>
      <c r="F132" s="494"/>
      <c r="G132" s="494"/>
      <c r="H132" s="478">
        <v>0</v>
      </c>
      <c r="I132" s="495"/>
      <c r="L132" s="376" t="str">
        <f t="shared" si="11"/>
        <v>LP18</v>
      </c>
      <c r="M132" s="451">
        <f t="shared" si="15"/>
        <v>58</v>
      </c>
      <c r="N132" s="376">
        <f t="shared" si="16"/>
        <v>1.9</v>
      </c>
      <c r="O132" s="376">
        <f t="shared" si="16"/>
        <v>1.1200000000000001</v>
      </c>
      <c r="P132" s="475">
        <f>G140/H140*100</f>
        <v>169.64285714285711</v>
      </c>
    </row>
    <row r="133" spans="1:19">
      <c r="A133" s="476" t="s">
        <v>601</v>
      </c>
      <c r="B133" s="477">
        <v>13</v>
      </c>
      <c r="C133" s="477">
        <v>13</v>
      </c>
      <c r="D133" s="477">
        <v>0</v>
      </c>
      <c r="E133" s="494"/>
      <c r="F133" s="494"/>
      <c r="G133" s="494"/>
      <c r="H133" s="478">
        <v>0</v>
      </c>
      <c r="I133" s="495"/>
      <c r="L133" s="376" t="str">
        <f t="shared" si="11"/>
        <v>LP19</v>
      </c>
      <c r="M133" s="451">
        <f t="shared" si="15"/>
        <v>128</v>
      </c>
      <c r="N133" s="376">
        <f t="shared" si="16"/>
        <v>0</v>
      </c>
      <c r="O133" s="376">
        <f t="shared" si="16"/>
        <v>0</v>
      </c>
      <c r="P133" s="475"/>
    </row>
    <row r="134" spans="1:19">
      <c r="A134" s="888" t="s">
        <v>602</v>
      </c>
      <c r="B134" s="890">
        <v>13</v>
      </c>
      <c r="C134" s="890">
        <v>13</v>
      </c>
      <c r="D134" s="890">
        <v>3</v>
      </c>
      <c r="E134" s="391" t="s">
        <v>603</v>
      </c>
      <c r="F134" s="392">
        <v>0.4</v>
      </c>
      <c r="G134" s="392">
        <v>0.4</v>
      </c>
      <c r="H134" s="891">
        <v>0.2</v>
      </c>
      <c r="I134" s="892">
        <v>1.53</v>
      </c>
      <c r="J134" s="376">
        <v>2</v>
      </c>
      <c r="L134" s="376" t="str">
        <f t="shared" si="11"/>
        <v>LP20</v>
      </c>
      <c r="M134" s="451">
        <f t="shared" si="15"/>
        <v>122</v>
      </c>
      <c r="N134" s="376">
        <f t="shared" si="16"/>
        <v>0</v>
      </c>
      <c r="O134" s="376">
        <f t="shared" si="16"/>
        <v>0</v>
      </c>
      <c r="P134" s="475"/>
    </row>
    <row r="135" spans="1:19">
      <c r="A135" s="888"/>
      <c r="B135" s="890"/>
      <c r="C135" s="890"/>
      <c r="D135" s="890"/>
      <c r="E135" s="391" t="s">
        <v>604</v>
      </c>
      <c r="F135" s="392">
        <v>0.5</v>
      </c>
      <c r="G135" s="392">
        <v>0.5</v>
      </c>
      <c r="H135" s="891"/>
      <c r="I135" s="892"/>
      <c r="J135" s="376">
        <v>1</v>
      </c>
      <c r="L135" s="376" t="str">
        <f t="shared" si="11"/>
        <v>LP21</v>
      </c>
      <c r="M135" s="451">
        <f t="shared" si="15"/>
        <v>55</v>
      </c>
      <c r="N135" s="376">
        <f t="shared" si="16"/>
        <v>0</v>
      </c>
      <c r="O135" s="376">
        <f t="shared" si="16"/>
        <v>0</v>
      </c>
      <c r="P135" s="475"/>
    </row>
    <row r="136" spans="1:19">
      <c r="A136" s="888" t="s">
        <v>605</v>
      </c>
      <c r="B136" s="890">
        <v>5</v>
      </c>
      <c r="C136" s="890">
        <v>5</v>
      </c>
      <c r="D136" s="890">
        <v>7</v>
      </c>
      <c r="E136" s="391" t="s">
        <v>606</v>
      </c>
      <c r="F136" s="392">
        <v>3.6</v>
      </c>
      <c r="G136" s="893">
        <v>10.7</v>
      </c>
      <c r="H136" s="891">
        <v>1.24</v>
      </c>
      <c r="I136" s="892">
        <v>9.58</v>
      </c>
      <c r="J136" s="376">
        <v>4</v>
      </c>
      <c r="L136" s="376" t="str">
        <f t="shared" si="11"/>
        <v>LP22</v>
      </c>
      <c r="M136" s="451">
        <f t="shared" si="15"/>
        <v>61</v>
      </c>
      <c r="N136" s="376">
        <f t="shared" si="16"/>
        <v>0</v>
      </c>
      <c r="O136" s="376">
        <f t="shared" si="16"/>
        <v>0</v>
      </c>
      <c r="P136" s="475"/>
    </row>
    <row r="137" spans="1:19">
      <c r="A137" s="888"/>
      <c r="B137" s="890"/>
      <c r="C137" s="890"/>
      <c r="D137" s="890"/>
      <c r="E137" s="391" t="s">
        <v>579</v>
      </c>
      <c r="F137" s="392">
        <v>0.2</v>
      </c>
      <c r="G137" s="893"/>
      <c r="H137" s="891"/>
      <c r="I137" s="892"/>
      <c r="J137" s="376">
        <v>2</v>
      </c>
      <c r="L137" s="376" t="str">
        <f t="shared" si="11"/>
        <v>LP23</v>
      </c>
      <c r="M137" s="451">
        <f t="shared" si="15"/>
        <v>41</v>
      </c>
      <c r="N137" s="376">
        <f t="shared" si="16"/>
        <v>0</v>
      </c>
      <c r="O137" s="376">
        <f t="shared" si="16"/>
        <v>0</v>
      </c>
      <c r="P137" s="475"/>
    </row>
    <row r="138" spans="1:19">
      <c r="A138" s="888"/>
      <c r="B138" s="890"/>
      <c r="C138" s="890"/>
      <c r="D138" s="890"/>
      <c r="E138" s="391" t="s">
        <v>607</v>
      </c>
      <c r="F138" s="392">
        <v>6.9</v>
      </c>
      <c r="G138" s="893"/>
      <c r="H138" s="891"/>
      <c r="I138" s="892"/>
      <c r="J138" s="376">
        <v>1</v>
      </c>
      <c r="L138" s="376" t="str">
        <f t="shared" si="11"/>
        <v>LP24</v>
      </c>
      <c r="M138" s="451">
        <f t="shared" si="15"/>
        <v>43</v>
      </c>
      <c r="N138" s="376">
        <f t="shared" si="16"/>
        <v>0</v>
      </c>
      <c r="O138" s="376">
        <f t="shared" si="16"/>
        <v>0</v>
      </c>
      <c r="P138" s="475"/>
    </row>
    <row r="139" spans="1:19">
      <c r="A139" s="476" t="s">
        <v>608</v>
      </c>
      <c r="B139" s="477">
        <v>13</v>
      </c>
      <c r="C139" s="477">
        <v>13</v>
      </c>
      <c r="D139" s="477">
        <v>0</v>
      </c>
      <c r="E139" s="494"/>
      <c r="F139" s="494"/>
      <c r="G139" s="494"/>
      <c r="H139" s="478">
        <v>0</v>
      </c>
      <c r="I139" s="479">
        <v>0</v>
      </c>
      <c r="L139" s="376" t="str">
        <f t="shared" si="11"/>
        <v>LP25</v>
      </c>
      <c r="M139" s="451">
        <f t="shared" si="15"/>
        <v>109</v>
      </c>
      <c r="N139" s="376">
        <f t="shared" si="16"/>
        <v>0</v>
      </c>
      <c r="O139" s="376">
        <f t="shared" si="16"/>
        <v>0</v>
      </c>
      <c r="P139" s="475"/>
      <c r="Q139" s="498" t="s">
        <v>231</v>
      </c>
      <c r="R139" s="498" t="s">
        <v>203</v>
      </c>
      <c r="S139" s="498" t="s">
        <v>609</v>
      </c>
    </row>
    <row r="140" spans="1:19">
      <c r="A140" s="476" t="s">
        <v>610</v>
      </c>
      <c r="B140" s="477">
        <v>11</v>
      </c>
      <c r="C140" s="477">
        <v>11</v>
      </c>
      <c r="D140" s="477">
        <v>1</v>
      </c>
      <c r="E140" s="391" t="s">
        <v>611</v>
      </c>
      <c r="F140" s="392">
        <v>1.9</v>
      </c>
      <c r="G140" s="392">
        <v>1.9</v>
      </c>
      <c r="H140" s="478">
        <v>1.1200000000000001</v>
      </c>
      <c r="I140" s="479">
        <v>8.68</v>
      </c>
      <c r="J140" s="376">
        <v>1</v>
      </c>
      <c r="P140" s="499"/>
      <c r="Q140" s="500" t="s">
        <v>612</v>
      </c>
      <c r="R140" s="500">
        <f>SUM(J111,J117,J121,J125,J136)</f>
        <v>14</v>
      </c>
      <c r="S140" s="501">
        <f>SUM(J111*F111,J117*F117,J121*F121,J125*F125,J136*F136)/SUM(J111,J117,J121,J125,J136)</f>
        <v>2.1285714285714286</v>
      </c>
    </row>
    <row r="141" spans="1:19">
      <c r="A141" s="476" t="s">
        <v>613</v>
      </c>
      <c r="B141" s="477">
        <v>9</v>
      </c>
      <c r="C141" s="477">
        <v>9</v>
      </c>
      <c r="D141" s="477">
        <v>0</v>
      </c>
      <c r="E141" s="494"/>
      <c r="F141" s="494"/>
      <c r="G141" s="494"/>
      <c r="H141" s="478">
        <v>0</v>
      </c>
      <c r="I141" s="495"/>
      <c r="P141" s="499"/>
      <c r="Q141" s="500" t="s">
        <v>614</v>
      </c>
      <c r="R141" s="500">
        <f>SUM(J112)</f>
        <v>8</v>
      </c>
      <c r="S141" s="502">
        <f>F112</f>
        <v>4.0999999999999996</v>
      </c>
    </row>
    <row r="142" spans="1:19">
      <c r="A142" s="476" t="s">
        <v>615</v>
      </c>
      <c r="B142" s="477">
        <v>13</v>
      </c>
      <c r="C142" s="477">
        <v>13</v>
      </c>
      <c r="D142" s="477">
        <v>0</v>
      </c>
      <c r="E142" s="494"/>
      <c r="F142" s="494"/>
      <c r="G142" s="494"/>
      <c r="H142" s="478">
        <v>0</v>
      </c>
      <c r="I142" s="495"/>
      <c r="P142" s="499"/>
      <c r="Q142" s="500" t="s">
        <v>616</v>
      </c>
      <c r="R142" s="500">
        <f>SUM(J118,J122,J124,J128,J129,J137)</f>
        <v>12</v>
      </c>
      <c r="S142" s="500">
        <f>SUM(J118*F118,J122*F122,J124*F124,J128*F128,J129*F129,J137*F137)/SUM(J118,J122,J124,J128,J129,J137)</f>
        <v>1.1500000000000001</v>
      </c>
    </row>
    <row r="143" spans="1:19">
      <c r="A143" s="476" t="s">
        <v>617</v>
      </c>
      <c r="B143" s="477">
        <v>11</v>
      </c>
      <c r="C143" s="477">
        <v>11</v>
      </c>
      <c r="D143" s="477">
        <v>0</v>
      </c>
      <c r="E143" s="494"/>
      <c r="F143" s="494"/>
      <c r="G143" s="494"/>
      <c r="H143" s="478">
        <v>0</v>
      </c>
      <c r="I143" s="495"/>
      <c r="P143" s="499"/>
      <c r="Q143" s="500" t="s">
        <v>618</v>
      </c>
      <c r="R143" s="500">
        <f>J126</f>
        <v>1</v>
      </c>
      <c r="S143" s="502">
        <f>F126</f>
        <v>0.5</v>
      </c>
    </row>
    <row r="144" spans="1:19">
      <c r="A144" s="476" t="s">
        <v>619</v>
      </c>
      <c r="B144" s="477">
        <v>11</v>
      </c>
      <c r="C144" s="477">
        <v>11</v>
      </c>
      <c r="D144" s="477">
        <v>0</v>
      </c>
      <c r="E144" s="494"/>
      <c r="F144" s="494"/>
      <c r="G144" s="494"/>
      <c r="H144" s="478">
        <v>0</v>
      </c>
      <c r="I144" s="495"/>
      <c r="Q144" s="500" t="s">
        <v>620</v>
      </c>
      <c r="R144" s="500">
        <f>J127</f>
        <v>2</v>
      </c>
      <c r="S144" s="502">
        <f>F127</f>
        <v>0.5</v>
      </c>
    </row>
    <row r="145" spans="1:19">
      <c r="A145" s="476" t="s">
        <v>621</v>
      </c>
      <c r="B145" s="477">
        <v>11</v>
      </c>
      <c r="C145" s="477">
        <v>11</v>
      </c>
      <c r="D145" s="477">
        <v>0</v>
      </c>
      <c r="E145" s="494"/>
      <c r="F145" s="494"/>
      <c r="G145" s="494"/>
      <c r="H145" s="478">
        <v>0</v>
      </c>
      <c r="I145" s="495"/>
      <c r="Q145" s="500" t="s">
        <v>622</v>
      </c>
      <c r="R145" s="500">
        <f>J134</f>
        <v>2</v>
      </c>
      <c r="S145" s="502">
        <f>F134</f>
        <v>0.4</v>
      </c>
    </row>
    <row r="146" spans="1:19">
      <c r="A146" s="476" t="s">
        <v>623</v>
      </c>
      <c r="B146" s="477">
        <v>11</v>
      </c>
      <c r="C146" s="477">
        <v>11</v>
      </c>
      <c r="D146" s="477">
        <v>0</v>
      </c>
      <c r="E146" s="494"/>
      <c r="F146" s="494"/>
      <c r="G146" s="494"/>
      <c r="H146" s="478">
        <v>0</v>
      </c>
      <c r="I146" s="495"/>
      <c r="Q146" s="500" t="s">
        <v>624</v>
      </c>
      <c r="R146" s="500">
        <f>J135</f>
        <v>1</v>
      </c>
      <c r="S146" s="502">
        <f>F135</f>
        <v>0.5</v>
      </c>
    </row>
    <row r="147" spans="1:19" ht="13.5" thickBot="1">
      <c r="A147" s="503" t="s">
        <v>625</v>
      </c>
      <c r="B147" s="504">
        <v>13</v>
      </c>
      <c r="C147" s="504">
        <v>13</v>
      </c>
      <c r="D147" s="504">
        <v>0</v>
      </c>
      <c r="E147" s="505"/>
      <c r="F147" s="505"/>
      <c r="G147" s="505"/>
      <c r="H147" s="506">
        <v>0</v>
      </c>
      <c r="I147" s="507"/>
      <c r="Q147" s="500" t="s">
        <v>611</v>
      </c>
      <c r="R147" s="500">
        <f>J140</f>
        <v>1</v>
      </c>
      <c r="S147" s="502">
        <f>F140</f>
        <v>1.9</v>
      </c>
    </row>
    <row r="148" spans="1:19" ht="13.5" thickBot="1">
      <c r="A148" s="485" t="s">
        <v>574</v>
      </c>
      <c r="B148" s="486"/>
      <c r="C148" s="486"/>
      <c r="D148" s="486"/>
      <c r="E148" s="486"/>
      <c r="F148" s="486"/>
      <c r="G148" s="486"/>
      <c r="H148" s="508">
        <v>1.36</v>
      </c>
      <c r="I148" s="509">
        <v>10.56</v>
      </c>
      <c r="K148" s="451"/>
      <c r="Q148" s="500" t="s">
        <v>626</v>
      </c>
      <c r="R148" s="500">
        <f>J119</f>
        <v>1</v>
      </c>
      <c r="S148" s="502">
        <f>F119</f>
        <v>7</v>
      </c>
    </row>
    <row r="149" spans="1:19">
      <c r="J149" s="451"/>
      <c r="Q149" s="500" t="s">
        <v>627</v>
      </c>
      <c r="R149" s="500">
        <f>J138</f>
        <v>1</v>
      </c>
      <c r="S149" s="502">
        <f>F138</f>
        <v>6.9</v>
      </c>
    </row>
    <row r="150" spans="1:19">
      <c r="J150" s="451"/>
      <c r="Q150" s="500" t="s">
        <v>628</v>
      </c>
      <c r="R150" s="500">
        <f>J120</f>
        <v>1</v>
      </c>
      <c r="S150" s="502">
        <f>F120</f>
        <v>8.1</v>
      </c>
    </row>
    <row r="151" spans="1:19" ht="13.5" thickBot="1">
      <c r="A151" s="377" t="s">
        <v>629</v>
      </c>
      <c r="J151" s="451"/>
    </row>
    <row r="152" spans="1:19" ht="87.75" customHeight="1" thickBot="1">
      <c r="A152" s="510" t="s">
        <v>436</v>
      </c>
      <c r="B152" s="511" t="s">
        <v>437</v>
      </c>
      <c r="C152" s="511" t="s">
        <v>630</v>
      </c>
      <c r="D152" s="511" t="s">
        <v>631</v>
      </c>
      <c r="E152" s="512" t="s">
        <v>632</v>
      </c>
      <c r="J152" s="451"/>
    </row>
    <row r="153" spans="1:19" ht="25.5">
      <c r="A153" s="513" t="s">
        <v>449</v>
      </c>
      <c r="B153" s="514">
        <v>504</v>
      </c>
      <c r="C153" s="515" t="s">
        <v>633</v>
      </c>
      <c r="D153" s="516">
        <v>13.6</v>
      </c>
      <c r="E153" s="517">
        <v>148</v>
      </c>
      <c r="J153" s="451"/>
    </row>
    <row r="154" spans="1:19" ht="25.5">
      <c r="A154" s="518" t="s">
        <v>456</v>
      </c>
      <c r="B154" s="519">
        <v>346</v>
      </c>
      <c r="C154" s="520" t="s">
        <v>634</v>
      </c>
      <c r="D154" s="521">
        <v>11.1</v>
      </c>
      <c r="E154" s="522">
        <v>156</v>
      </c>
      <c r="J154" s="451"/>
    </row>
    <row r="155" spans="1:19" ht="13.5" thickBot="1">
      <c r="A155" s="523" t="s">
        <v>462</v>
      </c>
      <c r="B155" s="524">
        <v>72</v>
      </c>
      <c r="C155" s="525" t="s">
        <v>635</v>
      </c>
      <c r="D155" s="526">
        <v>15.5</v>
      </c>
      <c r="E155" s="527">
        <v>148</v>
      </c>
      <c r="J155" s="451"/>
    </row>
    <row r="156" spans="1:19" ht="13.5" thickBot="1">
      <c r="A156" s="528" t="s">
        <v>198</v>
      </c>
      <c r="B156" s="529"/>
      <c r="C156" s="529"/>
      <c r="D156" s="530">
        <v>13.4</v>
      </c>
      <c r="E156" s="531">
        <v>151</v>
      </c>
    </row>
    <row r="159" spans="1:19">
      <c r="A159" s="377" t="s">
        <v>636</v>
      </c>
    </row>
    <row r="160" spans="1:19" ht="57">
      <c r="A160" s="532" t="s">
        <v>476</v>
      </c>
      <c r="B160" s="533" t="s">
        <v>637</v>
      </c>
      <c r="C160" s="532" t="s">
        <v>638</v>
      </c>
      <c r="D160" s="533" t="s">
        <v>639</v>
      </c>
      <c r="E160" s="533" t="s">
        <v>640</v>
      </c>
      <c r="F160" s="533" t="s">
        <v>641</v>
      </c>
      <c r="G160" s="533" t="s">
        <v>642</v>
      </c>
      <c r="H160" s="376" t="s">
        <v>483</v>
      </c>
      <c r="I160" s="376" t="s">
        <v>643</v>
      </c>
    </row>
    <row r="161" spans="1:10" ht="14.25">
      <c r="A161" s="534" t="s">
        <v>486</v>
      </c>
      <c r="B161" s="534" t="s">
        <v>644</v>
      </c>
      <c r="C161" s="535">
        <v>0.41</v>
      </c>
      <c r="D161" s="535">
        <v>0.36</v>
      </c>
      <c r="E161" s="535">
        <v>13.45</v>
      </c>
      <c r="F161" s="535">
        <v>10.32</v>
      </c>
      <c r="G161" s="536">
        <v>122.97</v>
      </c>
      <c r="H161" s="497">
        <f t="shared" ref="H161:H176" si="17">E161/F161*100</f>
        <v>130.32945736434107</v>
      </c>
      <c r="I161" s="497">
        <f t="shared" ref="I161:I176" si="18">G161/E161</f>
        <v>9.1427509293680309</v>
      </c>
      <c r="J161" s="376">
        <f>I161*F161</f>
        <v>94.353189591078078</v>
      </c>
    </row>
    <row r="162" spans="1:10" ht="15">
      <c r="A162" s="534" t="s">
        <v>489</v>
      </c>
      <c r="B162" s="537" t="s">
        <v>645</v>
      </c>
      <c r="C162" s="537" t="s">
        <v>645</v>
      </c>
      <c r="D162" s="537" t="s">
        <v>645</v>
      </c>
      <c r="E162" s="537" t="s">
        <v>645</v>
      </c>
      <c r="F162" s="537" t="s">
        <v>645</v>
      </c>
      <c r="G162" s="538" t="s">
        <v>645</v>
      </c>
      <c r="H162" s="497" t="e">
        <f t="shared" si="17"/>
        <v>#VALUE!</v>
      </c>
      <c r="I162" s="497" t="e">
        <f t="shared" si="18"/>
        <v>#VALUE!</v>
      </c>
    </row>
    <row r="163" spans="1:10" ht="14.25">
      <c r="A163" s="534" t="s">
        <v>492</v>
      </c>
      <c r="B163" s="534" t="s">
        <v>646</v>
      </c>
      <c r="C163" s="535">
        <v>0.24</v>
      </c>
      <c r="D163" s="535">
        <v>0.19</v>
      </c>
      <c r="E163" s="535">
        <v>7.6</v>
      </c>
      <c r="F163" s="535">
        <v>6.25</v>
      </c>
      <c r="G163" s="536">
        <v>71.66</v>
      </c>
      <c r="H163" s="497">
        <f t="shared" si="17"/>
        <v>121.6</v>
      </c>
      <c r="I163" s="497">
        <f t="shared" si="18"/>
        <v>9.4289473684210527</v>
      </c>
      <c r="J163" s="376">
        <f t="shared" ref="J163:J176" si="19">I163*F163</f>
        <v>58.930921052631582</v>
      </c>
    </row>
    <row r="164" spans="1:10" ht="14.25">
      <c r="A164" s="534" t="s">
        <v>495</v>
      </c>
      <c r="B164" s="534" t="s">
        <v>647</v>
      </c>
      <c r="C164" s="535">
        <v>0.05</v>
      </c>
      <c r="D164" s="535">
        <v>0.22</v>
      </c>
      <c r="E164" s="535">
        <v>1.9</v>
      </c>
      <c r="F164" s="535">
        <v>1.37</v>
      </c>
      <c r="G164" s="536">
        <v>15.49</v>
      </c>
      <c r="H164" s="497">
        <f t="shared" si="17"/>
        <v>138.68613138686129</v>
      </c>
      <c r="I164" s="497">
        <f t="shared" si="18"/>
        <v>8.1526315789473696</v>
      </c>
      <c r="J164" s="376">
        <f t="shared" si="19"/>
        <v>11.169105263157897</v>
      </c>
    </row>
    <row r="165" spans="1:10" ht="14.25">
      <c r="A165" s="534" t="s">
        <v>496</v>
      </c>
      <c r="B165" s="534" t="s">
        <v>648</v>
      </c>
      <c r="C165" s="535">
        <v>0.32</v>
      </c>
      <c r="D165" s="535">
        <v>0.55000000000000004</v>
      </c>
      <c r="E165" s="535">
        <v>8.3000000000000007</v>
      </c>
      <c r="F165" s="535">
        <v>6.26</v>
      </c>
      <c r="G165" s="536">
        <v>96.32</v>
      </c>
      <c r="H165" s="497">
        <f t="shared" si="17"/>
        <v>132.58785942492014</v>
      </c>
      <c r="I165" s="497">
        <f t="shared" si="18"/>
        <v>11.604819277108431</v>
      </c>
      <c r="J165" s="376">
        <f t="shared" si="19"/>
        <v>72.646168674698771</v>
      </c>
    </row>
    <row r="166" spans="1:10" ht="14.25">
      <c r="A166" s="534" t="s">
        <v>497</v>
      </c>
      <c r="B166" s="534" t="s">
        <v>649</v>
      </c>
      <c r="C166" s="535">
        <v>0.63</v>
      </c>
      <c r="D166" s="535">
        <v>0.43</v>
      </c>
      <c r="E166" s="535">
        <v>15.75</v>
      </c>
      <c r="F166" s="535">
        <v>14.48</v>
      </c>
      <c r="G166" s="536">
        <v>190.08</v>
      </c>
      <c r="H166" s="497">
        <f t="shared" si="17"/>
        <v>108.7707182320442</v>
      </c>
      <c r="I166" s="497">
        <f t="shared" si="18"/>
        <v>12.068571428571429</v>
      </c>
      <c r="J166" s="376">
        <f t="shared" si="19"/>
        <v>174.7529142857143</v>
      </c>
    </row>
    <row r="167" spans="1:10" ht="14.25">
      <c r="A167" s="534" t="s">
        <v>498</v>
      </c>
      <c r="B167" s="534" t="s">
        <v>650</v>
      </c>
      <c r="C167" s="535">
        <v>0.26</v>
      </c>
      <c r="D167" s="535">
        <v>0.14000000000000001</v>
      </c>
      <c r="E167" s="535">
        <v>6.9</v>
      </c>
      <c r="F167" s="535">
        <v>5.48</v>
      </c>
      <c r="G167" s="536">
        <v>74.349999999999994</v>
      </c>
      <c r="H167" s="497">
        <f t="shared" si="17"/>
        <v>125.91240875912408</v>
      </c>
      <c r="I167" s="497">
        <f t="shared" si="18"/>
        <v>10.775362318840578</v>
      </c>
      <c r="J167" s="376">
        <f t="shared" si="19"/>
        <v>59.048985507246371</v>
      </c>
    </row>
    <row r="168" spans="1:10" ht="14.25">
      <c r="A168" s="534" t="s">
        <v>500</v>
      </c>
      <c r="B168" s="534" t="s">
        <v>651</v>
      </c>
      <c r="C168" s="539">
        <v>0.3</v>
      </c>
      <c r="D168" s="535">
        <v>0.36</v>
      </c>
      <c r="E168" s="535">
        <v>10.02</v>
      </c>
      <c r="F168" s="535">
        <v>7.47</v>
      </c>
      <c r="G168" s="536">
        <v>91.61</v>
      </c>
      <c r="H168" s="497">
        <f t="shared" si="17"/>
        <v>134.13654618473896</v>
      </c>
      <c r="I168" s="497">
        <f t="shared" si="18"/>
        <v>9.1427145708582831</v>
      </c>
      <c r="J168" s="376">
        <f t="shared" si="19"/>
        <v>68.29607784431137</v>
      </c>
    </row>
    <row r="169" spans="1:10" ht="14.25">
      <c r="A169" s="534" t="s">
        <v>502</v>
      </c>
      <c r="B169" s="534" t="s">
        <v>652</v>
      </c>
      <c r="C169" s="535">
        <v>1.36</v>
      </c>
      <c r="D169" s="535">
        <v>0.8</v>
      </c>
      <c r="E169" s="535">
        <v>43.55</v>
      </c>
      <c r="F169" s="535">
        <v>47.99</v>
      </c>
      <c r="G169" s="536">
        <v>410.61</v>
      </c>
      <c r="H169" s="497">
        <f t="shared" si="17"/>
        <v>90.74807251510731</v>
      </c>
      <c r="I169" s="497">
        <f t="shared" si="18"/>
        <v>9.4284730195177957</v>
      </c>
      <c r="J169" s="376">
        <f t="shared" si="19"/>
        <v>452.47242020665902</v>
      </c>
    </row>
    <row r="170" spans="1:10" ht="14.25">
      <c r="A170" s="534" t="s">
        <v>503</v>
      </c>
      <c r="B170" s="534" t="s">
        <v>653</v>
      </c>
      <c r="C170" s="535">
        <v>0.52</v>
      </c>
      <c r="D170" s="535">
        <v>0.56000000000000005</v>
      </c>
      <c r="E170" s="535">
        <v>17.13</v>
      </c>
      <c r="F170" s="535">
        <v>13.56</v>
      </c>
      <c r="G170" s="536">
        <v>156.62</v>
      </c>
      <c r="H170" s="497">
        <f t="shared" si="17"/>
        <v>126.32743362831857</v>
      </c>
      <c r="I170" s="497">
        <f t="shared" si="18"/>
        <v>9.1430239346176307</v>
      </c>
      <c r="J170" s="376">
        <f t="shared" si="19"/>
        <v>123.97940455341508</v>
      </c>
    </row>
    <row r="171" spans="1:10" ht="14.25">
      <c r="A171" s="534" t="s">
        <v>504</v>
      </c>
      <c r="B171" s="534" t="s">
        <v>654</v>
      </c>
      <c r="C171" s="535">
        <v>0.48</v>
      </c>
      <c r="D171" s="535">
        <v>0.23</v>
      </c>
      <c r="E171" s="535">
        <v>15.3</v>
      </c>
      <c r="F171" s="535">
        <v>11.45</v>
      </c>
      <c r="G171" s="536">
        <v>144.26</v>
      </c>
      <c r="H171" s="497">
        <f t="shared" si="17"/>
        <v>133.62445414847164</v>
      </c>
      <c r="I171" s="497">
        <f t="shared" si="18"/>
        <v>9.428758169934639</v>
      </c>
      <c r="J171" s="376">
        <f t="shared" si="19"/>
        <v>107.95928104575161</v>
      </c>
    </row>
    <row r="172" spans="1:10" ht="14.25">
      <c r="A172" s="534" t="s">
        <v>506</v>
      </c>
      <c r="B172" s="534" t="s">
        <v>655</v>
      </c>
      <c r="C172" s="535">
        <v>0.94</v>
      </c>
      <c r="D172" s="535">
        <v>0.47</v>
      </c>
      <c r="E172" s="535">
        <v>30.18</v>
      </c>
      <c r="F172" s="535">
        <v>25.17</v>
      </c>
      <c r="G172" s="536">
        <v>284.55</v>
      </c>
      <c r="H172" s="497">
        <f t="shared" si="17"/>
        <v>119.90464839094159</v>
      </c>
      <c r="I172" s="497">
        <f t="shared" si="18"/>
        <v>9.4284294234592458</v>
      </c>
      <c r="J172" s="376">
        <f t="shared" si="19"/>
        <v>237.31356858846922</v>
      </c>
    </row>
    <row r="173" spans="1:10" ht="14.25">
      <c r="A173" s="534" t="s">
        <v>507</v>
      </c>
      <c r="B173" s="534" t="s">
        <v>656</v>
      </c>
      <c r="C173" s="535">
        <v>0.41</v>
      </c>
      <c r="D173" s="535">
        <v>0.38</v>
      </c>
      <c r="E173" s="535">
        <v>19.100000000000001</v>
      </c>
      <c r="F173" s="535">
        <v>12.48</v>
      </c>
      <c r="G173" s="536">
        <v>120.06</v>
      </c>
      <c r="H173" s="497">
        <f t="shared" si="17"/>
        <v>153.0448717948718</v>
      </c>
      <c r="I173" s="497">
        <f t="shared" si="18"/>
        <v>6.2858638743455497</v>
      </c>
      <c r="J173" s="376">
        <f t="shared" si="19"/>
        <v>78.447581151832466</v>
      </c>
    </row>
    <row r="174" spans="1:10" ht="14.25">
      <c r="A174" s="534" t="s">
        <v>509</v>
      </c>
      <c r="B174" s="534" t="s">
        <v>657</v>
      </c>
      <c r="C174" s="535">
        <v>0.44</v>
      </c>
      <c r="D174" s="535">
        <v>0.83</v>
      </c>
      <c r="E174" s="535">
        <v>14.43</v>
      </c>
      <c r="F174" s="535">
        <v>9.19</v>
      </c>
      <c r="G174" s="536">
        <v>128.05000000000001</v>
      </c>
      <c r="H174" s="497">
        <f t="shared" si="17"/>
        <v>157.0184983677911</v>
      </c>
      <c r="I174" s="497">
        <f t="shared" si="18"/>
        <v>8.8738738738738743</v>
      </c>
      <c r="J174" s="376">
        <f t="shared" si="19"/>
        <v>81.550900900900899</v>
      </c>
    </row>
    <row r="175" spans="1:10" ht="14.25">
      <c r="A175" s="534" t="s">
        <v>510</v>
      </c>
      <c r="B175" s="534" t="s">
        <v>658</v>
      </c>
      <c r="C175" s="535">
        <v>1.07</v>
      </c>
      <c r="D175" s="535">
        <v>0.73</v>
      </c>
      <c r="E175" s="535">
        <v>33.25</v>
      </c>
      <c r="F175" s="535">
        <v>33.57</v>
      </c>
      <c r="G175" s="536">
        <v>304</v>
      </c>
      <c r="H175" s="497">
        <f t="shared" si="17"/>
        <v>99.046767947572235</v>
      </c>
      <c r="I175" s="497">
        <f t="shared" si="18"/>
        <v>9.1428571428571423</v>
      </c>
      <c r="J175" s="376">
        <f t="shared" si="19"/>
        <v>306.92571428571426</v>
      </c>
    </row>
    <row r="176" spans="1:10" ht="14.25">
      <c r="A176" s="534" t="s">
        <v>511</v>
      </c>
      <c r="B176" s="534" t="s">
        <v>659</v>
      </c>
      <c r="C176" s="535">
        <v>0.04</v>
      </c>
      <c r="D176" s="535">
        <v>0.12</v>
      </c>
      <c r="E176" s="535">
        <v>1.32</v>
      </c>
      <c r="F176" s="535">
        <v>1.04</v>
      </c>
      <c r="G176" s="536">
        <v>12.45</v>
      </c>
      <c r="H176" s="497">
        <f t="shared" si="17"/>
        <v>126.92307692307692</v>
      </c>
      <c r="I176" s="497">
        <f t="shared" si="18"/>
        <v>9.4318181818181817</v>
      </c>
      <c r="J176" s="376">
        <f t="shared" si="19"/>
        <v>9.8090909090909086</v>
      </c>
    </row>
    <row r="177" spans="1:10" ht="14.25">
      <c r="A177" s="540" t="s">
        <v>198</v>
      </c>
      <c r="B177" s="541"/>
      <c r="C177" s="535">
        <v>0.49</v>
      </c>
      <c r="D177" s="535">
        <v>0.44</v>
      </c>
      <c r="E177" s="535">
        <v>15.82</v>
      </c>
      <c r="F177" s="535">
        <v>13.6</v>
      </c>
      <c r="G177" s="536">
        <v>148.21</v>
      </c>
      <c r="H177" s="497">
        <f>AVERAGE(H163:H176,H161)</f>
        <v>126.57739633787874</v>
      </c>
      <c r="I177" s="497">
        <f>AVERAGE(I163:I176,I161)</f>
        <v>9.4319263395026152</v>
      </c>
      <c r="J177" s="376">
        <f>SUM(J161:J176)</f>
        <v>1937.6553238606721</v>
      </c>
    </row>
    <row r="178" spans="1:10">
      <c r="F178" s="542">
        <f>E177/H177</f>
        <v>0.12498282045374802</v>
      </c>
      <c r="G178" s="376" t="s">
        <v>660</v>
      </c>
    </row>
    <row r="179" spans="1:10">
      <c r="F179" s="542">
        <f>J177/SUM(I163:I176,I161)/100</f>
        <v>0.13695719934717335</v>
      </c>
      <c r="G179" s="376" t="s">
        <v>661</v>
      </c>
    </row>
    <row r="180" spans="1:10">
      <c r="A180" s="377" t="s">
        <v>662</v>
      </c>
    </row>
    <row r="181" spans="1:10" ht="57">
      <c r="A181" s="532" t="s">
        <v>476</v>
      </c>
      <c r="B181" s="533" t="s">
        <v>637</v>
      </c>
      <c r="C181" s="532" t="s">
        <v>638</v>
      </c>
      <c r="D181" s="532" t="s">
        <v>663</v>
      </c>
      <c r="E181" s="533" t="s">
        <v>640</v>
      </c>
      <c r="F181" s="533" t="s">
        <v>641</v>
      </c>
      <c r="G181" s="533" t="s">
        <v>642</v>
      </c>
      <c r="H181" s="376" t="s">
        <v>483</v>
      </c>
      <c r="I181" s="376" t="s">
        <v>643</v>
      </c>
    </row>
    <row r="182" spans="1:10" ht="14.25">
      <c r="A182" s="534" t="s">
        <v>514</v>
      </c>
      <c r="B182" s="534" t="s">
        <v>664</v>
      </c>
      <c r="C182" s="535">
        <v>0.49</v>
      </c>
      <c r="D182" s="535">
        <v>0.23</v>
      </c>
      <c r="E182" s="535">
        <v>15.74</v>
      </c>
      <c r="F182" s="535">
        <v>10.28</v>
      </c>
      <c r="G182" s="536">
        <v>148.41</v>
      </c>
      <c r="H182" s="497">
        <f t="shared" ref="H182:H193" si="20">E182/F182*100</f>
        <v>153.11284046692609</v>
      </c>
      <c r="I182" s="497">
        <f t="shared" ref="I182:I193" si="21">G182/E182</f>
        <v>9.4288437102922487</v>
      </c>
      <c r="J182" s="376">
        <f t="shared" ref="J182:J193" si="22">I182*F182</f>
        <v>96.928513341804305</v>
      </c>
    </row>
    <row r="183" spans="1:10" ht="14.25">
      <c r="A183" s="534" t="s">
        <v>515</v>
      </c>
      <c r="B183" s="534" t="s">
        <v>665</v>
      </c>
      <c r="C183" s="535">
        <v>0.49</v>
      </c>
      <c r="D183" s="535">
        <v>0.4</v>
      </c>
      <c r="E183" s="535">
        <v>7.38</v>
      </c>
      <c r="F183" s="535">
        <v>10.54</v>
      </c>
      <c r="G183" s="536">
        <v>148.44</v>
      </c>
      <c r="H183" s="497">
        <f t="shared" si="20"/>
        <v>70.018975332068308</v>
      </c>
      <c r="I183" s="497">
        <f t="shared" si="21"/>
        <v>20.113821138211382</v>
      </c>
      <c r="J183" s="376">
        <f t="shared" si="22"/>
        <v>211.99967479674794</v>
      </c>
    </row>
    <row r="184" spans="1:10" ht="14.25">
      <c r="A184" s="534" t="s">
        <v>516</v>
      </c>
      <c r="B184" s="534" t="s">
        <v>666</v>
      </c>
      <c r="C184" s="535">
        <v>1.44</v>
      </c>
      <c r="D184" s="535">
        <v>0.12</v>
      </c>
      <c r="E184" s="535">
        <v>43.09</v>
      </c>
      <c r="F184" s="535">
        <v>28.88</v>
      </c>
      <c r="G184" s="536">
        <v>433.36</v>
      </c>
      <c r="H184" s="497">
        <f t="shared" si="20"/>
        <v>149.20360110803327</v>
      </c>
      <c r="I184" s="497">
        <f t="shared" si="21"/>
        <v>10.057089812021351</v>
      </c>
      <c r="J184" s="376">
        <f t="shared" si="22"/>
        <v>290.4487537711766</v>
      </c>
    </row>
    <row r="185" spans="1:10" ht="14.25">
      <c r="A185" s="534" t="s">
        <v>518</v>
      </c>
      <c r="B185" s="534" t="s">
        <v>667</v>
      </c>
      <c r="C185" s="535">
        <v>0.28999999999999998</v>
      </c>
      <c r="D185" s="543">
        <v>0.13800000000000001</v>
      </c>
      <c r="E185" s="535">
        <v>8.3699999999999992</v>
      </c>
      <c r="F185" s="535">
        <v>6.23</v>
      </c>
      <c r="G185" s="536">
        <v>87.08</v>
      </c>
      <c r="H185" s="497">
        <f t="shared" si="20"/>
        <v>134.34991974317816</v>
      </c>
      <c r="I185" s="497">
        <f t="shared" si="21"/>
        <v>10.403823178016728</v>
      </c>
      <c r="J185" s="376">
        <f t="shared" si="22"/>
        <v>64.815818399044218</v>
      </c>
    </row>
    <row r="186" spans="1:10" ht="14.25">
      <c r="A186" s="534" t="s">
        <v>519</v>
      </c>
      <c r="B186" s="534" t="s">
        <v>668</v>
      </c>
      <c r="C186" s="535">
        <v>0.34</v>
      </c>
      <c r="D186" s="535">
        <v>1.81</v>
      </c>
      <c r="E186" s="535">
        <v>10.23</v>
      </c>
      <c r="F186" s="535">
        <v>7.59</v>
      </c>
      <c r="G186" s="536">
        <v>102.88</v>
      </c>
      <c r="H186" s="497">
        <f t="shared" si="20"/>
        <v>134.78260869565219</v>
      </c>
      <c r="I186" s="497">
        <f t="shared" si="21"/>
        <v>10.056695992179863</v>
      </c>
      <c r="J186" s="376">
        <f t="shared" si="22"/>
        <v>76.330322580645159</v>
      </c>
    </row>
    <row r="187" spans="1:10" ht="14.25">
      <c r="A187" s="534" t="s">
        <v>520</v>
      </c>
      <c r="B187" s="534" t="s">
        <v>669</v>
      </c>
      <c r="C187" s="535">
        <v>0.36</v>
      </c>
      <c r="D187" s="535">
        <v>0.28999999999999998</v>
      </c>
      <c r="E187" s="535">
        <v>10.44</v>
      </c>
      <c r="F187" s="535">
        <v>7.82</v>
      </c>
      <c r="G187" s="536">
        <v>105</v>
      </c>
      <c r="H187" s="497">
        <f t="shared" si="20"/>
        <v>133.50383631713555</v>
      </c>
      <c r="I187" s="497">
        <f t="shared" si="21"/>
        <v>10.057471264367816</v>
      </c>
      <c r="J187" s="376">
        <f t="shared" si="22"/>
        <v>78.649425287356323</v>
      </c>
    </row>
    <row r="188" spans="1:10" ht="14.25">
      <c r="A188" s="534" t="s">
        <v>521</v>
      </c>
      <c r="B188" s="534" t="s">
        <v>670</v>
      </c>
      <c r="C188" s="535">
        <v>0.83</v>
      </c>
      <c r="D188" s="535">
        <v>0.32</v>
      </c>
      <c r="E188" s="535">
        <v>25.85</v>
      </c>
      <c r="F188" s="535">
        <v>15.67</v>
      </c>
      <c r="G188" s="536">
        <v>243.73</v>
      </c>
      <c r="H188" s="497">
        <f t="shared" si="20"/>
        <v>164.96490108487555</v>
      </c>
      <c r="I188" s="497">
        <f t="shared" si="21"/>
        <v>9.4286266924564792</v>
      </c>
      <c r="J188" s="376">
        <f t="shared" si="22"/>
        <v>147.74658027079303</v>
      </c>
    </row>
    <row r="189" spans="1:10" ht="14.25">
      <c r="A189" s="534" t="s">
        <v>522</v>
      </c>
      <c r="B189" s="534" t="s">
        <v>671</v>
      </c>
      <c r="C189" s="535">
        <v>0.37</v>
      </c>
      <c r="D189" s="535">
        <v>0.27</v>
      </c>
      <c r="E189" s="535">
        <v>11</v>
      </c>
      <c r="F189" s="535">
        <v>7.78</v>
      </c>
      <c r="G189" s="536">
        <v>110.63</v>
      </c>
      <c r="H189" s="497">
        <f t="shared" si="20"/>
        <v>141.38817480719794</v>
      </c>
      <c r="I189" s="497">
        <f t="shared" si="21"/>
        <v>10.057272727272727</v>
      </c>
      <c r="J189" s="376">
        <f t="shared" si="22"/>
        <v>78.245581818181819</v>
      </c>
    </row>
    <row r="190" spans="1:10" ht="14.25">
      <c r="A190" s="534" t="s">
        <v>523</v>
      </c>
      <c r="B190" s="534" t="s">
        <v>672</v>
      </c>
      <c r="C190" s="535">
        <v>0.42</v>
      </c>
      <c r="D190" s="535">
        <v>0.11</v>
      </c>
      <c r="E190" s="535">
        <v>8.35</v>
      </c>
      <c r="F190" s="535">
        <v>8.6</v>
      </c>
      <c r="G190" s="536">
        <v>119.97</v>
      </c>
      <c r="H190" s="497">
        <f t="shared" si="20"/>
        <v>97.093023255813947</v>
      </c>
      <c r="I190" s="497">
        <f t="shared" si="21"/>
        <v>14.367664670658684</v>
      </c>
      <c r="J190" s="376">
        <f t="shared" si="22"/>
        <v>123.56191616766468</v>
      </c>
    </row>
    <row r="191" spans="1:10" ht="14.25">
      <c r="A191" s="534" t="s">
        <v>524</v>
      </c>
      <c r="B191" s="534" t="s">
        <v>673</v>
      </c>
      <c r="C191" s="535">
        <v>0.37</v>
      </c>
      <c r="D191" s="535">
        <v>0.37</v>
      </c>
      <c r="E191" s="535">
        <v>12.15</v>
      </c>
      <c r="F191" s="535">
        <v>9.5399999999999991</v>
      </c>
      <c r="G191" s="536">
        <v>114.56</v>
      </c>
      <c r="H191" s="497">
        <f t="shared" si="20"/>
        <v>127.35849056603774</v>
      </c>
      <c r="I191" s="497">
        <f t="shared" si="21"/>
        <v>9.4288065843621407</v>
      </c>
      <c r="J191" s="376">
        <f t="shared" si="22"/>
        <v>89.950814814814819</v>
      </c>
    </row>
    <row r="192" spans="1:10" ht="14.25">
      <c r="A192" s="534" t="s">
        <v>525</v>
      </c>
      <c r="B192" s="534" t="s">
        <v>674</v>
      </c>
      <c r="C192" s="535">
        <v>0.6</v>
      </c>
      <c r="D192" s="535">
        <v>0.42</v>
      </c>
      <c r="E192" s="535">
        <v>19.14</v>
      </c>
      <c r="F192" s="535">
        <v>13.68</v>
      </c>
      <c r="G192" s="536">
        <v>180.46</v>
      </c>
      <c r="H192" s="497">
        <f t="shared" si="20"/>
        <v>139.91228070175438</v>
      </c>
      <c r="I192" s="497">
        <f t="shared" si="21"/>
        <v>9.4284221525600831</v>
      </c>
      <c r="J192" s="376">
        <f t="shared" si="22"/>
        <v>128.98081504702193</v>
      </c>
    </row>
    <row r="193" spans="1:11" ht="14.25">
      <c r="A193" s="534" t="s">
        <v>526</v>
      </c>
      <c r="B193" s="534" t="s">
        <v>675</v>
      </c>
      <c r="C193" s="535">
        <v>0.28000000000000003</v>
      </c>
      <c r="D193" s="535">
        <v>0.28000000000000003</v>
      </c>
      <c r="E193" s="535">
        <v>8.9700000000000006</v>
      </c>
      <c r="F193" s="535">
        <v>6.32</v>
      </c>
      <c r="G193" s="536">
        <v>84.57</v>
      </c>
      <c r="H193" s="497">
        <f t="shared" si="20"/>
        <v>141.93037974683546</v>
      </c>
      <c r="I193" s="497">
        <f t="shared" si="21"/>
        <v>9.4280936454849478</v>
      </c>
      <c r="J193" s="376">
        <f t="shared" si="22"/>
        <v>59.58555183946487</v>
      </c>
    </row>
    <row r="194" spans="1:11" ht="14.25">
      <c r="A194" s="540" t="s">
        <v>198</v>
      </c>
      <c r="B194" s="541"/>
      <c r="C194" s="535">
        <v>0.52</v>
      </c>
      <c r="D194" s="535">
        <v>0.4</v>
      </c>
      <c r="E194" s="535">
        <v>15.06</v>
      </c>
      <c r="F194" s="535">
        <v>11.08</v>
      </c>
      <c r="G194" s="536">
        <v>156.59</v>
      </c>
      <c r="H194" s="497">
        <f>AVERAGE(H182:H193)</f>
        <v>132.30158598545904</v>
      </c>
      <c r="I194" s="497">
        <f>AVERAGE(I182:I193)</f>
        <v>11.021385963990371</v>
      </c>
      <c r="J194" s="376">
        <f>SUM(J182:J193)</f>
        <v>1447.2437681347158</v>
      </c>
    </row>
    <row r="195" spans="1:11">
      <c r="F195" s="542">
        <f>E194/H194</f>
        <v>0.11383083496561568</v>
      </c>
      <c r="G195" s="376" t="s">
        <v>660</v>
      </c>
    </row>
    <row r="196" spans="1:11">
      <c r="F196" s="542">
        <f>J194/SUM(I182:I193)/100</f>
        <v>0.10942693390704397</v>
      </c>
      <c r="G196" s="376" t="s">
        <v>661</v>
      </c>
    </row>
    <row r="197" spans="1:11">
      <c r="A197" s="377" t="s">
        <v>676</v>
      </c>
    </row>
    <row r="198" spans="1:11" ht="57">
      <c r="A198" s="532" t="s">
        <v>476</v>
      </c>
      <c r="B198" s="533" t="s">
        <v>637</v>
      </c>
      <c r="C198" s="532" t="s">
        <v>638</v>
      </c>
      <c r="D198" s="532" t="s">
        <v>663</v>
      </c>
      <c r="E198" s="533" t="s">
        <v>640</v>
      </c>
      <c r="F198" s="533" t="s">
        <v>641</v>
      </c>
      <c r="G198" s="533" t="s">
        <v>677</v>
      </c>
      <c r="H198" s="376" t="s">
        <v>483</v>
      </c>
      <c r="I198" s="376" t="s">
        <v>643</v>
      </c>
    </row>
    <row r="199" spans="1:11" ht="14.25">
      <c r="A199" s="534" t="s">
        <v>529</v>
      </c>
      <c r="B199" s="534" t="s">
        <v>678</v>
      </c>
      <c r="C199" s="535">
        <v>0.39</v>
      </c>
      <c r="D199" s="535">
        <v>0.59</v>
      </c>
      <c r="E199" s="535">
        <v>14.1</v>
      </c>
      <c r="F199" s="535">
        <v>12.51</v>
      </c>
      <c r="G199" s="536">
        <v>128.91</v>
      </c>
      <c r="H199" s="497">
        <f>E199/F199*100</f>
        <v>112.70983213429258</v>
      </c>
      <c r="I199" s="497">
        <f>G199/E199</f>
        <v>9.1425531914893625</v>
      </c>
      <c r="J199" s="376">
        <f>I199*F199</f>
        <v>114.37334042553192</v>
      </c>
    </row>
    <row r="200" spans="1:11" ht="14.25">
      <c r="A200" s="534" t="s">
        <v>530</v>
      </c>
      <c r="B200" s="534" t="s">
        <v>679</v>
      </c>
      <c r="C200" s="535">
        <v>0.3</v>
      </c>
      <c r="D200" s="535">
        <v>0.41</v>
      </c>
      <c r="E200" s="535">
        <v>2.39</v>
      </c>
      <c r="F200" s="535">
        <v>11.57</v>
      </c>
      <c r="G200" s="536">
        <v>120.18</v>
      </c>
      <c r="H200" s="497">
        <f>E200/F200*100</f>
        <v>20.656871218668972</v>
      </c>
      <c r="I200" s="497">
        <f>G200/E200</f>
        <v>50.28451882845188</v>
      </c>
      <c r="J200" s="376">
        <f>I200*F200</f>
        <v>581.7918828451883</v>
      </c>
    </row>
    <row r="201" spans="1:11" ht="14.25">
      <c r="A201" s="534" t="s">
        <v>531</v>
      </c>
      <c r="B201" s="534" t="s">
        <v>680</v>
      </c>
      <c r="C201" s="535">
        <v>0.81</v>
      </c>
      <c r="D201" s="535">
        <v>0.66</v>
      </c>
      <c r="E201" s="535">
        <v>4.84</v>
      </c>
      <c r="F201" s="535">
        <v>26.08</v>
      </c>
      <c r="G201" s="536">
        <v>243.38</v>
      </c>
      <c r="H201" s="497">
        <f>E201/F201*100</f>
        <v>18.55828220858896</v>
      </c>
      <c r="I201" s="497">
        <f>G201/E201</f>
        <v>50.285123966942152</v>
      </c>
      <c r="J201" s="376">
        <f>I201*F201</f>
        <v>1311.4360330578513</v>
      </c>
    </row>
    <row r="202" spans="1:11" ht="14.25">
      <c r="A202" s="534" t="s">
        <v>532</v>
      </c>
      <c r="B202" s="534" t="s">
        <v>681</v>
      </c>
      <c r="C202" s="535">
        <v>0.31</v>
      </c>
      <c r="D202" s="535">
        <v>0.59</v>
      </c>
      <c r="E202" s="535">
        <v>5.32</v>
      </c>
      <c r="F202" s="535">
        <v>11.82</v>
      </c>
      <c r="G202" s="536">
        <v>100.32</v>
      </c>
      <c r="H202" s="497">
        <f>E202/F202*100</f>
        <v>45.008460236886634</v>
      </c>
      <c r="I202" s="497">
        <f>G202/E202</f>
        <v>18.857142857142854</v>
      </c>
      <c r="J202" s="376">
        <f>I202*F202</f>
        <v>222.89142857142855</v>
      </c>
    </row>
    <row r="203" spans="1:11" ht="14.25">
      <c r="A203" s="540" t="s">
        <v>198</v>
      </c>
      <c r="B203" s="541"/>
      <c r="C203" s="535">
        <v>0.45</v>
      </c>
      <c r="D203" s="535">
        <v>0.56000000000000005</v>
      </c>
      <c r="E203" s="535">
        <v>6.66</v>
      </c>
      <c r="F203" s="535">
        <v>15.49</v>
      </c>
      <c r="G203" s="536">
        <v>148.19999999999999</v>
      </c>
      <c r="H203" s="497">
        <f>AVERAGE(H199:H202)</f>
        <v>49.233361449609291</v>
      </c>
      <c r="I203" s="497">
        <f>AVERAGE(I199:I202)</f>
        <v>32.142334711006562</v>
      </c>
      <c r="J203" s="376">
        <f>SUM(J199:J202)</f>
        <v>2230.4926848999999</v>
      </c>
    </row>
    <row r="204" spans="1:11">
      <c r="F204" s="542">
        <f>E203/H203</f>
        <v>0.13527412721588306</v>
      </c>
      <c r="G204" s="376" t="s">
        <v>660</v>
      </c>
    </row>
    <row r="205" spans="1:11">
      <c r="F205" s="542">
        <f>J203/SUM(I199:I202)/100</f>
        <v>0.17348558411783696</v>
      </c>
      <c r="G205" s="376" t="s">
        <v>661</v>
      </c>
    </row>
    <row r="206" spans="1:11">
      <c r="A206" s="377" t="s">
        <v>682</v>
      </c>
    </row>
    <row r="207" spans="1:11" ht="75">
      <c r="A207" s="544" t="s">
        <v>476</v>
      </c>
      <c r="B207" s="545" t="s">
        <v>477</v>
      </c>
      <c r="C207" s="546" t="s">
        <v>683</v>
      </c>
      <c r="D207" s="547" t="s">
        <v>684</v>
      </c>
      <c r="E207" s="545" t="s">
        <v>685</v>
      </c>
      <c r="F207" s="544" t="s">
        <v>686</v>
      </c>
      <c r="G207" s="548" t="s">
        <v>687</v>
      </c>
      <c r="H207" s="548" t="s">
        <v>688</v>
      </c>
      <c r="I207" s="548" t="s">
        <v>689</v>
      </c>
      <c r="J207" s="151" t="s">
        <v>690</v>
      </c>
    </row>
    <row r="208" spans="1:11" ht="14.25">
      <c r="A208" s="534" t="s">
        <v>568</v>
      </c>
      <c r="B208" s="534" t="s">
        <v>508</v>
      </c>
      <c r="C208" s="534" t="s">
        <v>691</v>
      </c>
      <c r="D208" s="549">
        <v>22</v>
      </c>
      <c r="E208" s="549">
        <v>78</v>
      </c>
      <c r="F208" s="536">
        <v>0.99</v>
      </c>
      <c r="G208" s="550">
        <v>8</v>
      </c>
      <c r="H208" s="550">
        <v>396</v>
      </c>
      <c r="I208" s="550">
        <v>154</v>
      </c>
      <c r="J208" s="551">
        <f>H208/2000</f>
        <v>0.19800000000000001</v>
      </c>
      <c r="K208" s="376">
        <f>J208*D208</f>
        <v>4.3559999999999999</v>
      </c>
    </row>
    <row r="209" spans="1:11" ht="14.25">
      <c r="A209" s="534" t="s">
        <v>569</v>
      </c>
      <c r="B209" s="534" t="s">
        <v>508</v>
      </c>
      <c r="C209" s="534" t="s">
        <v>691</v>
      </c>
      <c r="D209" s="549">
        <v>49</v>
      </c>
      <c r="E209" s="549">
        <v>80</v>
      </c>
      <c r="F209" s="536">
        <v>0.85</v>
      </c>
      <c r="G209" s="550">
        <v>5</v>
      </c>
      <c r="H209" s="550">
        <v>136</v>
      </c>
      <c r="I209" s="550">
        <v>53</v>
      </c>
      <c r="J209" s="551">
        <f>H209/2000</f>
        <v>6.8000000000000005E-2</v>
      </c>
      <c r="K209" s="376">
        <f>J209*D209</f>
        <v>3.3320000000000003</v>
      </c>
    </row>
    <row r="210" spans="1:11" ht="14.25">
      <c r="A210" s="534" t="s">
        <v>571</v>
      </c>
      <c r="B210" s="534" t="s">
        <v>508</v>
      </c>
      <c r="C210" s="534" t="s">
        <v>691</v>
      </c>
      <c r="D210" s="549">
        <v>39</v>
      </c>
      <c r="E210" s="549">
        <v>81</v>
      </c>
      <c r="F210" s="536">
        <v>1.26</v>
      </c>
      <c r="G210" s="550">
        <v>5</v>
      </c>
      <c r="H210" s="550">
        <v>202</v>
      </c>
      <c r="I210" s="550">
        <v>78</v>
      </c>
      <c r="J210" s="551">
        <f>H210/2000</f>
        <v>0.10100000000000001</v>
      </c>
      <c r="K210" s="376">
        <f>J210*D210</f>
        <v>3.9390000000000001</v>
      </c>
    </row>
    <row r="211" spans="1:11" ht="14.25">
      <c r="A211" s="534" t="s">
        <v>573</v>
      </c>
      <c r="B211" s="550">
        <v>20</v>
      </c>
      <c r="C211" s="534" t="s">
        <v>691</v>
      </c>
      <c r="D211" s="549">
        <v>120</v>
      </c>
      <c r="E211" s="549">
        <v>93</v>
      </c>
      <c r="F211" s="536">
        <v>0.48</v>
      </c>
      <c r="G211" s="550">
        <v>6</v>
      </c>
      <c r="H211" s="550">
        <v>115</v>
      </c>
      <c r="I211" s="550">
        <v>45</v>
      </c>
      <c r="J211" s="551">
        <f>H211/2000</f>
        <v>5.7500000000000002E-2</v>
      </c>
      <c r="K211" s="376">
        <f>J211*D211</f>
        <v>6.9</v>
      </c>
    </row>
    <row r="212" spans="1:11" ht="15">
      <c r="A212" s="540" t="s">
        <v>574</v>
      </c>
      <c r="B212" s="541"/>
      <c r="C212" s="541"/>
      <c r="D212" s="541"/>
      <c r="E212" s="552">
        <v>83</v>
      </c>
      <c r="F212" s="553">
        <v>0.9</v>
      </c>
      <c r="G212" s="541"/>
      <c r="H212" s="541"/>
      <c r="I212" s="554"/>
    </row>
    <row r="213" spans="1:11">
      <c r="A213" s="541"/>
      <c r="B213" s="541"/>
      <c r="C213" s="541"/>
      <c r="D213" s="541"/>
      <c r="E213" s="541"/>
      <c r="F213" s="541"/>
      <c r="G213" s="541"/>
      <c r="H213" s="541"/>
      <c r="I213" s="554"/>
    </row>
    <row r="214" spans="1:11" ht="28.5">
      <c r="A214" s="534" t="s">
        <v>575</v>
      </c>
      <c r="B214" s="550">
        <v>5</v>
      </c>
      <c r="C214" s="534" t="s">
        <v>692</v>
      </c>
      <c r="D214" s="552">
        <v>60</v>
      </c>
      <c r="E214" s="552">
        <v>79</v>
      </c>
      <c r="F214" s="536">
        <v>0.55000000000000004</v>
      </c>
      <c r="G214" s="550">
        <v>15</v>
      </c>
      <c r="H214" s="550">
        <v>528</v>
      </c>
      <c r="I214" s="555">
        <v>205</v>
      </c>
      <c r="J214" s="551">
        <f t="shared" ref="J214:J228" si="23">H214/2000</f>
        <v>0.26400000000000001</v>
      </c>
      <c r="K214" s="376">
        <f t="shared" ref="K214:K228" si="24">J214*D214</f>
        <v>15.84</v>
      </c>
    </row>
    <row r="215" spans="1:11" ht="15">
      <c r="A215" s="534" t="s">
        <v>576</v>
      </c>
      <c r="B215" s="550">
        <v>3</v>
      </c>
      <c r="C215" s="534" t="s">
        <v>693</v>
      </c>
      <c r="D215" s="552">
        <v>88</v>
      </c>
      <c r="E215" s="552">
        <v>84</v>
      </c>
      <c r="F215" s="536">
        <v>0.53</v>
      </c>
      <c r="G215" s="550">
        <v>11</v>
      </c>
      <c r="H215" s="550">
        <v>339</v>
      </c>
      <c r="I215" s="555">
        <v>132</v>
      </c>
      <c r="J215" s="551">
        <f t="shared" si="23"/>
        <v>0.16950000000000001</v>
      </c>
      <c r="K215" s="376">
        <f t="shared" si="24"/>
        <v>14.916</v>
      </c>
    </row>
    <row r="216" spans="1:11" ht="15">
      <c r="A216" s="534" t="s">
        <v>577</v>
      </c>
      <c r="B216" s="534" t="s">
        <v>508</v>
      </c>
      <c r="C216" s="534" t="s">
        <v>694</v>
      </c>
      <c r="D216" s="552">
        <v>108</v>
      </c>
      <c r="E216" s="552">
        <v>83</v>
      </c>
      <c r="F216" s="536">
        <v>0.68</v>
      </c>
      <c r="G216" s="550">
        <v>11</v>
      </c>
      <c r="H216" s="550">
        <v>435</v>
      </c>
      <c r="I216" s="555">
        <v>169</v>
      </c>
      <c r="J216" s="551">
        <f t="shared" si="23"/>
        <v>0.2175</v>
      </c>
      <c r="K216" s="376">
        <f t="shared" si="24"/>
        <v>23.49</v>
      </c>
    </row>
    <row r="217" spans="1:11" ht="15">
      <c r="A217" s="534" t="s">
        <v>581</v>
      </c>
      <c r="B217" s="537" t="s">
        <v>582</v>
      </c>
      <c r="C217" s="534" t="s">
        <v>694</v>
      </c>
      <c r="D217" s="552">
        <v>58</v>
      </c>
      <c r="E217" s="552">
        <v>84</v>
      </c>
      <c r="F217" s="536">
        <v>0.59</v>
      </c>
      <c r="G217" s="550">
        <v>13</v>
      </c>
      <c r="H217" s="550">
        <v>472</v>
      </c>
      <c r="I217" s="555">
        <v>183</v>
      </c>
      <c r="J217" s="551">
        <f t="shared" si="23"/>
        <v>0.23599999999999999</v>
      </c>
      <c r="K217" s="376">
        <f t="shared" si="24"/>
        <v>13.687999999999999</v>
      </c>
    </row>
    <row r="218" spans="1:11" ht="15">
      <c r="A218" s="534" t="s">
        <v>584</v>
      </c>
      <c r="B218" s="537" t="s">
        <v>582</v>
      </c>
      <c r="C218" s="534" t="s">
        <v>694</v>
      </c>
      <c r="D218" s="552">
        <v>62</v>
      </c>
      <c r="E218" s="552">
        <v>84</v>
      </c>
      <c r="F218" s="536">
        <v>0.68</v>
      </c>
      <c r="G218" s="550">
        <v>8</v>
      </c>
      <c r="H218" s="550">
        <v>272</v>
      </c>
      <c r="I218" s="555">
        <v>106</v>
      </c>
      <c r="J218" s="551">
        <f t="shared" si="23"/>
        <v>0.13600000000000001</v>
      </c>
      <c r="K218" s="376">
        <f t="shared" si="24"/>
        <v>8.4320000000000004</v>
      </c>
    </row>
    <row r="219" spans="1:11" ht="15">
      <c r="A219" s="534" t="s">
        <v>586</v>
      </c>
      <c r="B219" s="537" t="s">
        <v>582</v>
      </c>
      <c r="C219" s="534" t="s">
        <v>695</v>
      </c>
      <c r="D219" s="552">
        <v>45</v>
      </c>
      <c r="E219" s="552">
        <v>82</v>
      </c>
      <c r="F219" s="536">
        <v>0.52</v>
      </c>
      <c r="G219" s="550">
        <v>18</v>
      </c>
      <c r="H219" s="550">
        <v>624</v>
      </c>
      <c r="I219" s="555">
        <v>242</v>
      </c>
      <c r="J219" s="551">
        <f t="shared" si="23"/>
        <v>0.312</v>
      </c>
      <c r="K219" s="376">
        <f t="shared" si="24"/>
        <v>14.04</v>
      </c>
    </row>
    <row r="220" spans="1:11" ht="15">
      <c r="A220" s="534" t="s">
        <v>587</v>
      </c>
      <c r="B220" s="537" t="s">
        <v>582</v>
      </c>
      <c r="C220" s="534" t="s">
        <v>695</v>
      </c>
      <c r="D220" s="552">
        <v>72</v>
      </c>
      <c r="E220" s="552">
        <v>75</v>
      </c>
      <c r="F220" s="536">
        <v>0.75</v>
      </c>
      <c r="G220" s="550">
        <v>17</v>
      </c>
      <c r="H220" s="550">
        <v>840</v>
      </c>
      <c r="I220" s="555">
        <v>326</v>
      </c>
      <c r="J220" s="551">
        <f t="shared" si="23"/>
        <v>0.42</v>
      </c>
      <c r="K220" s="376">
        <f t="shared" si="24"/>
        <v>30.24</v>
      </c>
    </row>
    <row r="221" spans="1:11" ht="15">
      <c r="A221" s="534" t="s">
        <v>590</v>
      </c>
      <c r="B221" s="537" t="s">
        <v>582</v>
      </c>
      <c r="C221" s="534" t="s">
        <v>695</v>
      </c>
      <c r="D221" s="552">
        <v>38</v>
      </c>
      <c r="E221" s="552">
        <v>80</v>
      </c>
      <c r="F221" s="536">
        <v>0.65</v>
      </c>
      <c r="G221" s="550">
        <v>13</v>
      </c>
      <c r="H221" s="550">
        <v>520</v>
      </c>
      <c r="I221" s="555">
        <v>202</v>
      </c>
      <c r="J221" s="551">
        <f t="shared" si="23"/>
        <v>0.26</v>
      </c>
      <c r="K221" s="376">
        <f t="shared" si="24"/>
        <v>9.8800000000000008</v>
      </c>
    </row>
    <row r="222" spans="1:11" ht="15">
      <c r="A222" s="534" t="s">
        <v>593</v>
      </c>
      <c r="B222" s="537" t="s">
        <v>582</v>
      </c>
      <c r="C222" s="541"/>
      <c r="D222" s="552">
        <v>97</v>
      </c>
      <c r="E222" s="552">
        <v>93</v>
      </c>
      <c r="F222" s="536">
        <v>0.71</v>
      </c>
      <c r="G222" s="550">
        <v>3</v>
      </c>
      <c r="H222" s="550">
        <v>0</v>
      </c>
      <c r="I222" s="556">
        <v>0</v>
      </c>
      <c r="J222" s="551">
        <f t="shared" si="23"/>
        <v>0</v>
      </c>
      <c r="K222" s="376">
        <f t="shared" si="24"/>
        <v>0</v>
      </c>
    </row>
    <row r="223" spans="1:11" ht="15">
      <c r="A223" s="534" t="s">
        <v>595</v>
      </c>
      <c r="B223" s="550">
        <v>20</v>
      </c>
      <c r="C223" s="550">
        <v>20</v>
      </c>
      <c r="D223" s="552">
        <v>110</v>
      </c>
      <c r="E223" s="552">
        <v>85</v>
      </c>
      <c r="F223" s="536">
        <v>0.84</v>
      </c>
      <c r="G223" s="550">
        <v>8</v>
      </c>
      <c r="H223" s="550">
        <v>336</v>
      </c>
      <c r="I223" s="555">
        <v>130</v>
      </c>
      <c r="J223" s="551">
        <f t="shared" si="23"/>
        <v>0.16800000000000001</v>
      </c>
      <c r="K223" s="376">
        <f t="shared" si="24"/>
        <v>18.48</v>
      </c>
    </row>
    <row r="224" spans="1:11" ht="15">
      <c r="A224" s="534" t="s">
        <v>597</v>
      </c>
      <c r="B224" s="550">
        <v>3</v>
      </c>
      <c r="C224" s="550">
        <v>15</v>
      </c>
      <c r="D224" s="552">
        <v>47</v>
      </c>
      <c r="E224" s="552">
        <v>89</v>
      </c>
      <c r="F224" s="536">
        <v>0.85</v>
      </c>
      <c r="G224" s="550">
        <v>6</v>
      </c>
      <c r="H224" s="550">
        <v>204</v>
      </c>
      <c r="I224" s="555">
        <v>79</v>
      </c>
      <c r="J224" s="551">
        <f t="shared" si="23"/>
        <v>0.10199999999999999</v>
      </c>
      <c r="K224" s="376">
        <f t="shared" si="24"/>
        <v>4.7939999999999996</v>
      </c>
    </row>
    <row r="225" spans="1:11" ht="15">
      <c r="A225" s="534" t="s">
        <v>599</v>
      </c>
      <c r="B225" s="550">
        <v>3</v>
      </c>
      <c r="C225" s="550">
        <v>15</v>
      </c>
      <c r="D225" s="552">
        <v>61</v>
      </c>
      <c r="E225" s="552">
        <v>91</v>
      </c>
      <c r="F225" s="536">
        <v>0.48</v>
      </c>
      <c r="G225" s="550">
        <v>9</v>
      </c>
      <c r="H225" s="550">
        <v>230</v>
      </c>
      <c r="I225" s="555">
        <v>89</v>
      </c>
      <c r="J225" s="551">
        <f t="shared" si="23"/>
        <v>0.115</v>
      </c>
      <c r="K225" s="376">
        <f t="shared" si="24"/>
        <v>7.0150000000000006</v>
      </c>
    </row>
    <row r="226" spans="1:11" ht="28.5">
      <c r="A226" s="534" t="s">
        <v>600</v>
      </c>
      <c r="B226" s="534" t="s">
        <v>696</v>
      </c>
      <c r="C226" s="537" t="s">
        <v>697</v>
      </c>
      <c r="D226" s="552">
        <v>166</v>
      </c>
      <c r="E226" s="552">
        <v>69</v>
      </c>
      <c r="F226" s="536">
        <v>0.64</v>
      </c>
      <c r="G226" s="550">
        <v>19</v>
      </c>
      <c r="H226" s="550">
        <v>819</v>
      </c>
      <c r="I226" s="555">
        <v>318</v>
      </c>
      <c r="J226" s="551">
        <f t="shared" si="23"/>
        <v>0.40949999999999998</v>
      </c>
      <c r="K226" s="376">
        <f t="shared" si="24"/>
        <v>67.97699999999999</v>
      </c>
    </row>
    <row r="227" spans="1:11" ht="15">
      <c r="A227" s="534" t="s">
        <v>601</v>
      </c>
      <c r="B227" s="550">
        <v>13</v>
      </c>
      <c r="C227" s="534" t="s">
        <v>698</v>
      </c>
      <c r="D227" s="552">
        <v>12</v>
      </c>
      <c r="E227" s="552">
        <v>94</v>
      </c>
      <c r="F227" s="536">
        <v>0.68</v>
      </c>
      <c r="G227" s="550">
        <v>3</v>
      </c>
      <c r="H227" s="550">
        <v>0</v>
      </c>
      <c r="I227" s="556">
        <v>0</v>
      </c>
      <c r="J227" s="551">
        <f t="shared" si="23"/>
        <v>0</v>
      </c>
      <c r="K227" s="376">
        <f t="shared" si="24"/>
        <v>0</v>
      </c>
    </row>
    <row r="228" spans="1:11" ht="15">
      <c r="A228" s="534" t="s">
        <v>602</v>
      </c>
      <c r="B228" s="550">
        <v>13</v>
      </c>
      <c r="C228" s="534" t="s">
        <v>699</v>
      </c>
      <c r="D228" s="552">
        <v>95</v>
      </c>
      <c r="E228" s="552">
        <v>85</v>
      </c>
      <c r="F228" s="536">
        <v>0.42</v>
      </c>
      <c r="G228" s="550">
        <v>15</v>
      </c>
      <c r="H228" s="550">
        <v>403</v>
      </c>
      <c r="I228" s="555">
        <v>156</v>
      </c>
      <c r="J228" s="551">
        <f t="shared" si="23"/>
        <v>0.20150000000000001</v>
      </c>
      <c r="K228" s="376">
        <f t="shared" si="24"/>
        <v>19.142500000000002</v>
      </c>
    </row>
    <row r="229" spans="1:11" ht="14.25">
      <c r="A229" s="534" t="s">
        <v>605</v>
      </c>
      <c r="B229" s="550">
        <v>5</v>
      </c>
      <c r="C229" s="541"/>
      <c r="D229" s="894" t="s">
        <v>700</v>
      </c>
      <c r="E229" s="895"/>
      <c r="F229" s="896"/>
      <c r="G229" s="541"/>
      <c r="H229" s="541"/>
      <c r="I229" s="554"/>
      <c r="J229" s="551"/>
    </row>
    <row r="230" spans="1:11" ht="15">
      <c r="A230" s="534" t="s">
        <v>608</v>
      </c>
      <c r="B230" s="550">
        <v>13</v>
      </c>
      <c r="C230" s="550">
        <v>20</v>
      </c>
      <c r="D230" s="552">
        <v>114</v>
      </c>
      <c r="E230" s="552">
        <v>92</v>
      </c>
      <c r="F230" s="536">
        <v>0.6</v>
      </c>
      <c r="G230" s="550">
        <v>8</v>
      </c>
      <c r="H230" s="550">
        <v>240</v>
      </c>
      <c r="I230" s="555">
        <v>93</v>
      </c>
      <c r="J230" s="551">
        <f t="shared" ref="J230:J238" si="25">H230/2000</f>
        <v>0.12</v>
      </c>
      <c r="K230" s="376">
        <f t="shared" ref="K230:K238" si="26">J230*D230</f>
        <v>13.68</v>
      </c>
    </row>
    <row r="231" spans="1:11" ht="15">
      <c r="A231" s="534" t="s">
        <v>610</v>
      </c>
      <c r="B231" s="550">
        <v>11</v>
      </c>
      <c r="C231" s="550">
        <v>20</v>
      </c>
      <c r="D231" s="552">
        <v>58</v>
      </c>
      <c r="E231" s="552">
        <v>70</v>
      </c>
      <c r="F231" s="536">
        <v>0.48</v>
      </c>
      <c r="G231" s="550">
        <v>17</v>
      </c>
      <c r="H231" s="550">
        <v>538</v>
      </c>
      <c r="I231" s="555">
        <v>209</v>
      </c>
      <c r="J231" s="551">
        <f t="shared" si="25"/>
        <v>0.26900000000000002</v>
      </c>
      <c r="K231" s="376">
        <f t="shared" si="26"/>
        <v>15.602</v>
      </c>
    </row>
    <row r="232" spans="1:11" ht="15">
      <c r="A232" s="534" t="s">
        <v>613</v>
      </c>
      <c r="B232" s="550">
        <v>13</v>
      </c>
      <c r="C232" s="550">
        <v>15</v>
      </c>
      <c r="D232" s="552">
        <v>128</v>
      </c>
      <c r="E232" s="552">
        <v>82</v>
      </c>
      <c r="F232" s="536">
        <v>0.57999999999999996</v>
      </c>
      <c r="G232" s="550">
        <v>11</v>
      </c>
      <c r="H232" s="550">
        <v>371</v>
      </c>
      <c r="I232" s="555">
        <v>144</v>
      </c>
      <c r="J232" s="551">
        <f t="shared" si="25"/>
        <v>0.1855</v>
      </c>
      <c r="K232" s="376">
        <f t="shared" si="26"/>
        <v>23.744</v>
      </c>
    </row>
    <row r="233" spans="1:11" ht="15">
      <c r="A233" s="534" t="s">
        <v>615</v>
      </c>
      <c r="B233" s="550">
        <v>13</v>
      </c>
      <c r="C233" s="550">
        <v>15</v>
      </c>
      <c r="D233" s="552">
        <v>122</v>
      </c>
      <c r="E233" s="552">
        <v>84</v>
      </c>
      <c r="F233" s="536">
        <v>0.64</v>
      </c>
      <c r="G233" s="550">
        <v>13</v>
      </c>
      <c r="H233" s="550">
        <v>512</v>
      </c>
      <c r="I233" s="555">
        <v>199</v>
      </c>
      <c r="J233" s="551">
        <f t="shared" si="25"/>
        <v>0.25600000000000001</v>
      </c>
      <c r="K233" s="376">
        <f t="shared" si="26"/>
        <v>31.231999999999999</v>
      </c>
    </row>
    <row r="234" spans="1:11" ht="15">
      <c r="A234" s="534" t="s">
        <v>617</v>
      </c>
      <c r="B234" s="550">
        <v>11</v>
      </c>
      <c r="C234" s="550">
        <v>30</v>
      </c>
      <c r="D234" s="552">
        <v>55</v>
      </c>
      <c r="E234" s="552">
        <v>81</v>
      </c>
      <c r="F234" s="536">
        <v>0.53</v>
      </c>
      <c r="G234" s="550">
        <v>13</v>
      </c>
      <c r="H234" s="550">
        <v>424</v>
      </c>
      <c r="I234" s="555">
        <v>164</v>
      </c>
      <c r="J234" s="551">
        <f t="shared" si="25"/>
        <v>0.21199999999999999</v>
      </c>
      <c r="K234" s="376">
        <f t="shared" si="26"/>
        <v>11.66</v>
      </c>
    </row>
    <row r="235" spans="1:11" ht="15">
      <c r="A235" s="534" t="s">
        <v>619</v>
      </c>
      <c r="B235" s="550">
        <v>11</v>
      </c>
      <c r="C235" s="550">
        <v>20</v>
      </c>
      <c r="D235" s="552">
        <v>61</v>
      </c>
      <c r="E235" s="552">
        <v>87</v>
      </c>
      <c r="F235" s="536">
        <v>0.37</v>
      </c>
      <c r="G235" s="550">
        <v>14</v>
      </c>
      <c r="H235" s="550">
        <v>326</v>
      </c>
      <c r="I235" s="555">
        <v>126</v>
      </c>
      <c r="J235" s="551">
        <f t="shared" si="25"/>
        <v>0.16300000000000001</v>
      </c>
      <c r="K235" s="376">
        <f t="shared" si="26"/>
        <v>9.9429999999999996</v>
      </c>
    </row>
    <row r="236" spans="1:11" ht="15">
      <c r="A236" s="534" t="s">
        <v>621</v>
      </c>
      <c r="B236" s="550">
        <v>11</v>
      </c>
      <c r="C236" s="550">
        <v>20</v>
      </c>
      <c r="D236" s="552">
        <v>41</v>
      </c>
      <c r="E236" s="552">
        <v>93</v>
      </c>
      <c r="F236" s="536">
        <v>0.63</v>
      </c>
      <c r="G236" s="550">
        <v>4</v>
      </c>
      <c r="H236" s="550">
        <v>50</v>
      </c>
      <c r="I236" s="555">
        <v>20</v>
      </c>
      <c r="J236" s="551">
        <f t="shared" si="25"/>
        <v>2.5000000000000001E-2</v>
      </c>
      <c r="K236" s="376">
        <f t="shared" si="26"/>
        <v>1.0250000000000001</v>
      </c>
    </row>
    <row r="237" spans="1:11" ht="15">
      <c r="A237" s="534" t="s">
        <v>623</v>
      </c>
      <c r="B237" s="550">
        <v>11</v>
      </c>
      <c r="C237" s="550">
        <v>20</v>
      </c>
      <c r="D237" s="552">
        <v>43</v>
      </c>
      <c r="E237" s="552">
        <v>85</v>
      </c>
      <c r="F237" s="536">
        <v>0.64</v>
      </c>
      <c r="G237" s="550">
        <v>9</v>
      </c>
      <c r="H237" s="550">
        <v>307</v>
      </c>
      <c r="I237" s="555">
        <v>119</v>
      </c>
      <c r="J237" s="551">
        <f t="shared" si="25"/>
        <v>0.1535</v>
      </c>
      <c r="K237" s="376">
        <f t="shared" si="26"/>
        <v>6.6005000000000003</v>
      </c>
    </row>
    <row r="238" spans="1:11" ht="15">
      <c r="A238" s="534" t="s">
        <v>625</v>
      </c>
      <c r="B238" s="550">
        <v>11</v>
      </c>
      <c r="C238" s="550">
        <v>20</v>
      </c>
      <c r="D238" s="552">
        <v>109</v>
      </c>
      <c r="E238" s="552">
        <v>77</v>
      </c>
      <c r="F238" s="536">
        <v>0.44</v>
      </c>
      <c r="G238" s="550">
        <v>18</v>
      </c>
      <c r="H238" s="550">
        <v>528</v>
      </c>
      <c r="I238" s="555">
        <v>205</v>
      </c>
      <c r="J238" s="551">
        <f t="shared" si="25"/>
        <v>0.26400000000000001</v>
      </c>
      <c r="K238" s="376">
        <f t="shared" si="26"/>
        <v>28.776</v>
      </c>
    </row>
    <row r="239" spans="1:11" ht="15">
      <c r="A239" s="540" t="s">
        <v>574</v>
      </c>
      <c r="B239" s="550">
        <v>13</v>
      </c>
      <c r="C239" s="541"/>
      <c r="D239" s="552">
        <v>77</v>
      </c>
      <c r="E239" s="552">
        <v>83</v>
      </c>
      <c r="F239" s="553">
        <v>0.6</v>
      </c>
      <c r="G239" s="541"/>
      <c r="H239" s="541"/>
      <c r="I239" s="557">
        <v>157</v>
      </c>
    </row>
    <row r="240" spans="1:11">
      <c r="F240" s="376">
        <v>2</v>
      </c>
      <c r="G240" s="376" t="s">
        <v>701</v>
      </c>
    </row>
    <row r="243" spans="1:8">
      <c r="A243" s="377" t="s">
        <v>702</v>
      </c>
    </row>
    <row r="244" spans="1:8" ht="85.5">
      <c r="A244" s="558" t="s">
        <v>703</v>
      </c>
      <c r="B244" s="537" t="s">
        <v>704</v>
      </c>
      <c r="C244" s="537" t="s">
        <v>705</v>
      </c>
      <c r="D244" s="537" t="s">
        <v>706</v>
      </c>
      <c r="E244" s="537" t="s">
        <v>707</v>
      </c>
      <c r="F244" s="537" t="s">
        <v>708</v>
      </c>
      <c r="G244" s="537" t="s">
        <v>709</v>
      </c>
      <c r="H244" s="537" t="s">
        <v>710</v>
      </c>
    </row>
    <row r="245" spans="1:8" ht="14.25">
      <c r="A245" s="534" t="s">
        <v>711</v>
      </c>
      <c r="B245" s="550">
        <v>25</v>
      </c>
      <c r="C245" s="539">
        <v>9.1999999999999993</v>
      </c>
      <c r="D245" s="550">
        <v>33</v>
      </c>
      <c r="E245" s="550">
        <v>38</v>
      </c>
      <c r="F245" s="539">
        <v>1.8</v>
      </c>
      <c r="G245" s="550">
        <v>25</v>
      </c>
      <c r="H245" s="550">
        <v>38</v>
      </c>
    </row>
    <row r="246" spans="1:8" ht="14.25">
      <c r="A246" s="534" t="s">
        <v>712</v>
      </c>
      <c r="B246" s="550">
        <v>36</v>
      </c>
      <c r="C246" s="539">
        <v>7</v>
      </c>
      <c r="D246" s="550">
        <v>25</v>
      </c>
      <c r="E246" s="550">
        <v>29</v>
      </c>
      <c r="F246" s="539">
        <v>1.4</v>
      </c>
      <c r="G246" s="550">
        <v>16</v>
      </c>
      <c r="H246" s="550">
        <v>28</v>
      </c>
    </row>
    <row r="247" spans="1:8" ht="14.25">
      <c r="A247" s="534" t="s">
        <v>713</v>
      </c>
      <c r="B247" s="550">
        <v>18</v>
      </c>
      <c r="C247" s="539">
        <v>5.8</v>
      </c>
      <c r="D247" s="550">
        <v>21</v>
      </c>
      <c r="E247" s="550">
        <v>24</v>
      </c>
      <c r="F247" s="539">
        <v>1.2</v>
      </c>
      <c r="G247" s="550">
        <v>12</v>
      </c>
      <c r="H247" s="550">
        <v>23</v>
      </c>
    </row>
    <row r="248" spans="1:8" ht="14.25">
      <c r="A248" s="534" t="s">
        <v>714</v>
      </c>
      <c r="B248" s="550">
        <v>21</v>
      </c>
      <c r="C248" s="539">
        <v>3</v>
      </c>
      <c r="D248" s="550">
        <v>11</v>
      </c>
      <c r="E248" s="550">
        <v>13</v>
      </c>
      <c r="F248" s="539">
        <v>0.6</v>
      </c>
      <c r="G248" s="550">
        <v>5</v>
      </c>
      <c r="H248" s="550">
        <v>12</v>
      </c>
    </row>
    <row r="249" spans="1:8">
      <c r="D249" s="376" t="s">
        <v>715</v>
      </c>
    </row>
    <row r="253" spans="1:8">
      <c r="A253" s="376" t="s">
        <v>716</v>
      </c>
    </row>
    <row r="254" spans="1:8" ht="41.25" customHeight="1">
      <c r="B254" s="380" t="s">
        <v>717</v>
      </c>
      <c r="C254" s="380" t="s">
        <v>718</v>
      </c>
    </row>
    <row r="255" spans="1:8">
      <c r="A255" s="376" t="s">
        <v>719</v>
      </c>
      <c r="B255" s="497">
        <f>AVERAGEIF(IDStudyAppendixA!$DO4:$DO7003,"&lt;10")</f>
        <v>3.175087163473199</v>
      </c>
      <c r="C255" s="376">
        <f>COUNTIF(IDStudyAppendixA!$DO4:$DO7003,"&lt;10")</f>
        <v>62</v>
      </c>
    </row>
    <row r="256" spans="1:8">
      <c r="A256" s="376" t="s">
        <v>177</v>
      </c>
      <c r="B256" s="497">
        <f>AVERAGEIF(IDStudyAppendixA!$BO$4:$BO$7003,"&lt;10")</f>
        <v>3.8579859358880557</v>
      </c>
      <c r="C256" s="376">
        <f>COUNTIF(IDStudyAppendixA!$BO$4:$BO$7003,"&lt;10")</f>
        <v>492</v>
      </c>
    </row>
    <row r="257" spans="1:3">
      <c r="A257" s="376" t="s">
        <v>720</v>
      </c>
      <c r="B257" s="497">
        <f>AVERAGEIF(IDStudyAppendixA!$AQ$4:$AQ$7003,"&lt;10")</f>
        <v>4.1044580575220317</v>
      </c>
      <c r="C257" s="376">
        <f>COUNTIF(IDStudyAppendixA!$AQ$4:$AQ$7003,"&lt;10")</f>
        <v>345</v>
      </c>
    </row>
    <row r="258" spans="1:3">
      <c r="A258" s="377" t="s">
        <v>198</v>
      </c>
      <c r="B258" s="559">
        <f>SUMPRODUCT(B255:B257,C255:C257)/SUM(C255:C257)</f>
        <v>3.9054755444242075</v>
      </c>
    </row>
  </sheetData>
  <mergeCells count="46">
    <mergeCell ref="D229:F229"/>
    <mergeCell ref="A136:A138"/>
    <mergeCell ref="B136:B138"/>
    <mergeCell ref="C136:C138"/>
    <mergeCell ref="D136:D138"/>
    <mergeCell ref="B134:B135"/>
    <mergeCell ref="C134:C135"/>
    <mergeCell ref="D134:D135"/>
    <mergeCell ref="H134:H135"/>
    <mergeCell ref="I136:I138"/>
    <mergeCell ref="G136:G138"/>
    <mergeCell ref="H136:H138"/>
    <mergeCell ref="I134:I135"/>
    <mergeCell ref="H126:H127"/>
    <mergeCell ref="I126:I127"/>
    <mergeCell ref="A124:A125"/>
    <mergeCell ref="B124:B125"/>
    <mergeCell ref="C124:C125"/>
    <mergeCell ref="D124:D125"/>
    <mergeCell ref="G124:G125"/>
    <mergeCell ref="H124:H125"/>
    <mergeCell ref="A134:A135"/>
    <mergeCell ref="H117:H119"/>
    <mergeCell ref="I117:I119"/>
    <mergeCell ref="A121:A122"/>
    <mergeCell ref="B121:B122"/>
    <mergeCell ref="C121:C122"/>
    <mergeCell ref="D121:D122"/>
    <mergeCell ref="G121:G122"/>
    <mergeCell ref="H121:H122"/>
    <mergeCell ref="I121:I122"/>
    <mergeCell ref="I124:I125"/>
    <mergeCell ref="A126:A127"/>
    <mergeCell ref="B126:B127"/>
    <mergeCell ref="C126:C127"/>
    <mergeCell ref="D126:D127"/>
    <mergeCell ref="G126:G127"/>
    <mergeCell ref="A5:A6"/>
    <mergeCell ref="B5:B6"/>
    <mergeCell ref="C5:E5"/>
    <mergeCell ref="F5:G5"/>
    <mergeCell ref="A117:A119"/>
    <mergeCell ref="B117:B119"/>
    <mergeCell ref="C117:C119"/>
    <mergeCell ref="D117:D119"/>
    <mergeCell ref="G117:G119"/>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sheetPr codeName="Sheet11"/>
  <dimension ref="A1:EA2282"/>
  <sheetViews>
    <sheetView zoomScale="90" zoomScaleNormal="90" workbookViewId="0">
      <pane ySplit="2" topLeftCell="A3" activePane="bottomLeft" state="frozen"/>
      <selection activeCell="I20" sqref="I20"/>
      <selection pane="bottomLeft" activeCell="I20" sqref="I20"/>
    </sheetView>
  </sheetViews>
  <sheetFormatPr defaultRowHeight="15"/>
  <cols>
    <col min="1" max="1" width="10.85546875" style="560" customWidth="1"/>
    <col min="2" max="2" width="16" style="560" customWidth="1"/>
    <col min="3" max="3" width="11.5703125" style="560" customWidth="1"/>
    <col min="4" max="4" width="15.42578125" style="560" customWidth="1"/>
    <col min="5" max="5" width="16.42578125" style="560" customWidth="1"/>
    <col min="6" max="6" width="19.42578125" style="560" customWidth="1"/>
    <col min="7" max="7" width="14.42578125" style="560" customWidth="1"/>
    <col min="8" max="8" width="16.140625" style="560" customWidth="1"/>
    <col min="9" max="9" width="13.42578125" style="560" customWidth="1"/>
    <col min="10" max="10" width="23.28515625" style="560" customWidth="1"/>
    <col min="11" max="14" width="9.140625" style="560"/>
    <col min="15" max="15" width="26.28515625" style="560" customWidth="1"/>
    <col min="16" max="16" width="9.7109375" style="561" bestFit="1" customWidth="1"/>
    <col min="17" max="17" width="15.42578125" style="562" customWidth="1"/>
    <col min="18" max="18" width="9.85546875" style="562" customWidth="1"/>
    <col min="19" max="19" width="14" style="562" customWidth="1"/>
    <col min="20" max="20" width="15.5703125" style="562" customWidth="1"/>
    <col min="21" max="21" width="21.28515625" style="562" customWidth="1"/>
    <col min="22" max="22" width="15.85546875" style="562" customWidth="1"/>
    <col min="23" max="23" width="17.140625" style="562" customWidth="1"/>
    <col min="24" max="24" width="12.7109375" style="562" customWidth="1"/>
    <col min="25" max="25" width="11.140625" style="562" customWidth="1"/>
    <col min="26" max="29" width="9.140625" style="562"/>
    <col min="30" max="30" width="21.42578125" style="563" customWidth="1"/>
    <col min="31" max="31" width="9.7109375" style="561" bestFit="1" customWidth="1"/>
    <col min="32" max="32" width="16.85546875" style="562" customWidth="1"/>
    <col min="33" max="33" width="9.140625" style="562"/>
    <col min="34" max="34" width="17.85546875" style="562" customWidth="1"/>
    <col min="35" max="35" width="16.85546875" style="562" customWidth="1"/>
    <col min="36" max="36" width="9.5703125" style="562" customWidth="1"/>
    <col min="37" max="37" width="9" style="562" customWidth="1"/>
    <col min="38" max="39" width="15.85546875" style="562" customWidth="1"/>
    <col min="40" max="40" width="21.5703125" style="562" customWidth="1"/>
    <col min="41" max="41" width="19" style="562" customWidth="1"/>
    <col min="42" max="42" width="13.5703125" style="562" customWidth="1"/>
    <col min="43" max="43" width="21.42578125" style="562" customWidth="1"/>
    <col min="44" max="44" width="22.42578125" style="562" customWidth="1"/>
    <col min="45" max="45" width="18.7109375" style="562" customWidth="1"/>
    <col min="46" max="46" width="19.5703125" style="562" customWidth="1"/>
    <col min="47" max="47" width="17" style="562" customWidth="1"/>
    <col min="48" max="48" width="17.28515625" style="562" customWidth="1"/>
    <col min="49" max="49" width="11" style="562" customWidth="1"/>
    <col min="50" max="53" width="9.140625" style="562"/>
    <col min="54" max="54" width="22.140625" style="563" customWidth="1"/>
    <col min="55" max="56" width="12" style="560" customWidth="1"/>
    <col min="57" max="57" width="11.28515625" style="560" customWidth="1"/>
    <col min="58" max="58" width="14.140625" style="560" customWidth="1"/>
    <col min="59" max="59" width="15.140625" style="560" customWidth="1"/>
    <col min="60" max="60" width="9.5703125" style="560" customWidth="1"/>
    <col min="61" max="61" width="9.85546875" style="560" customWidth="1"/>
    <col min="62" max="63" width="17.28515625" style="560" customWidth="1"/>
    <col min="64" max="65" width="19.85546875" style="560" customWidth="1"/>
    <col min="66" max="66" width="11.7109375" style="560" customWidth="1"/>
    <col min="67" max="67" width="22.85546875" style="560" customWidth="1"/>
    <col min="68" max="68" width="20.28515625" style="560" customWidth="1"/>
    <col min="69" max="69" width="17.7109375" style="560" customWidth="1"/>
    <col min="70" max="70" width="18.42578125" style="560" customWidth="1"/>
    <col min="71" max="71" width="15.85546875" style="560" customWidth="1"/>
    <col min="72" max="72" width="17.7109375" style="560" customWidth="1"/>
    <col min="73" max="73" width="17.42578125" style="560" customWidth="1"/>
    <col min="74" max="74" width="18" style="560" customWidth="1"/>
    <col min="75" max="77" width="9.140625" style="560"/>
    <col min="78" max="78" width="23.140625" style="560" customWidth="1"/>
    <col min="79" max="107" width="9.140625" style="560"/>
    <col min="108" max="108" width="10.7109375" style="561" bestFit="1" customWidth="1"/>
    <col min="109" max="109" width="16.140625" style="562" customWidth="1"/>
    <col min="110" max="110" width="9.140625" style="562"/>
    <col min="111" max="111" width="15.28515625" style="562" customWidth="1"/>
    <col min="112" max="112" width="15.7109375" style="562" customWidth="1"/>
    <col min="113" max="113" width="9.7109375" style="562" customWidth="1"/>
    <col min="114" max="114" width="9.85546875" style="562" customWidth="1"/>
    <col min="115" max="115" width="14.42578125" style="562" customWidth="1"/>
    <col min="116" max="116" width="21.28515625" style="562" customWidth="1"/>
    <col min="117" max="117" width="21" style="562" customWidth="1"/>
    <col min="118" max="118" width="14.5703125" style="562" customWidth="1"/>
    <col min="119" max="119" width="20.140625" style="562" customWidth="1"/>
    <col min="120" max="120" width="18" style="562" customWidth="1"/>
    <col min="121" max="122" width="19.42578125" style="562" customWidth="1"/>
    <col min="123" max="123" width="18.140625" style="562" customWidth="1"/>
    <col min="124" max="124" width="11" style="562" customWidth="1"/>
    <col min="125" max="125" width="11.7109375" style="562" customWidth="1"/>
    <col min="126" max="129" width="9.140625" style="562"/>
    <col min="130" max="130" width="20.28515625" style="562" customWidth="1"/>
    <col min="131" max="131" width="9.140625" style="563"/>
    <col min="132" max="16384" width="9.140625" style="560"/>
  </cols>
  <sheetData>
    <row r="1" spans="1:131" ht="15.75" thickBot="1">
      <c r="A1" s="560" t="s">
        <v>722</v>
      </c>
    </row>
    <row r="2" spans="1:131" ht="15.75" thickBot="1">
      <c r="A2" s="904" t="s">
        <v>723</v>
      </c>
      <c r="B2" s="905"/>
      <c r="C2" s="905"/>
      <c r="D2" s="905"/>
      <c r="E2" s="905"/>
      <c r="F2" s="905"/>
      <c r="G2" s="905"/>
      <c r="H2" s="905"/>
      <c r="I2" s="905"/>
      <c r="J2" s="905"/>
      <c r="K2" s="905"/>
      <c r="L2" s="905"/>
      <c r="M2" s="905"/>
      <c r="N2" s="905"/>
      <c r="O2" s="906"/>
      <c r="P2" s="907" t="s">
        <v>724</v>
      </c>
      <c r="Q2" s="908"/>
      <c r="R2" s="908"/>
      <c r="S2" s="908"/>
      <c r="T2" s="908"/>
      <c r="U2" s="908"/>
      <c r="V2" s="908"/>
      <c r="W2" s="908"/>
      <c r="X2" s="908"/>
      <c r="Y2" s="908"/>
      <c r="Z2" s="908"/>
      <c r="AA2" s="908"/>
      <c r="AB2" s="908"/>
      <c r="AC2" s="908"/>
      <c r="AD2" s="909"/>
      <c r="AE2" s="910" t="s">
        <v>720</v>
      </c>
      <c r="AF2" s="911"/>
      <c r="AG2" s="911"/>
      <c r="AH2" s="911"/>
      <c r="AI2" s="911"/>
      <c r="AJ2" s="911"/>
      <c r="AK2" s="911"/>
      <c r="AL2" s="911"/>
      <c r="AM2" s="911"/>
      <c r="AN2" s="911"/>
      <c r="AO2" s="911"/>
      <c r="AP2" s="911"/>
      <c r="AQ2" s="911"/>
      <c r="AR2" s="911"/>
      <c r="AS2" s="911"/>
      <c r="AT2" s="911"/>
      <c r="AU2" s="911"/>
      <c r="AV2" s="911"/>
      <c r="AW2" s="911"/>
      <c r="AX2" s="911"/>
      <c r="AY2" s="911"/>
      <c r="AZ2" s="911"/>
      <c r="BA2" s="911"/>
      <c r="BB2" s="912"/>
      <c r="BC2" s="913" t="s">
        <v>177</v>
      </c>
      <c r="BD2" s="914"/>
      <c r="BE2" s="914"/>
      <c r="BF2" s="914"/>
      <c r="BG2" s="914"/>
      <c r="BH2" s="914"/>
      <c r="BI2" s="914"/>
      <c r="BJ2" s="914"/>
      <c r="BK2" s="914"/>
      <c r="BL2" s="914"/>
      <c r="BM2" s="914"/>
      <c r="BN2" s="914"/>
      <c r="BO2" s="914"/>
      <c r="BP2" s="914"/>
      <c r="BQ2" s="914"/>
      <c r="BR2" s="914"/>
      <c r="BS2" s="914"/>
      <c r="BT2" s="914"/>
      <c r="BU2" s="914"/>
      <c r="BV2" s="914"/>
      <c r="BW2" s="914"/>
      <c r="BX2" s="914"/>
      <c r="BY2" s="914"/>
      <c r="BZ2" s="914"/>
      <c r="CA2" s="914"/>
      <c r="CB2" s="914"/>
      <c r="CC2" s="914"/>
      <c r="CD2" s="914"/>
      <c r="CE2" s="914"/>
      <c r="CF2" s="914"/>
      <c r="CG2" s="914"/>
      <c r="CH2" s="914"/>
      <c r="CI2" s="914"/>
      <c r="CJ2" s="914"/>
      <c r="CK2" s="914"/>
      <c r="CL2" s="914"/>
      <c r="CM2" s="914"/>
      <c r="CN2" s="914"/>
      <c r="CO2" s="914"/>
      <c r="CP2" s="914"/>
      <c r="CQ2" s="914"/>
      <c r="CR2" s="914"/>
      <c r="CS2" s="914"/>
      <c r="CT2" s="914"/>
      <c r="CU2" s="914"/>
      <c r="CV2" s="914"/>
      <c r="CW2" s="914"/>
      <c r="CX2" s="914"/>
      <c r="CY2" s="914"/>
      <c r="CZ2" s="914"/>
      <c r="DA2" s="914"/>
      <c r="DB2" s="914"/>
      <c r="DC2" s="915"/>
      <c r="DD2" s="897" t="s">
        <v>719</v>
      </c>
      <c r="DE2" s="898"/>
      <c r="DF2" s="898"/>
      <c r="DG2" s="898"/>
      <c r="DH2" s="898"/>
      <c r="DI2" s="898"/>
      <c r="DJ2" s="898"/>
      <c r="DK2" s="898"/>
      <c r="DL2" s="898"/>
      <c r="DM2" s="898"/>
      <c r="DN2" s="898"/>
      <c r="DO2" s="898"/>
      <c r="DP2" s="898"/>
      <c r="DQ2" s="898"/>
      <c r="DR2" s="898"/>
      <c r="DS2" s="898"/>
      <c r="DT2" s="898"/>
      <c r="DU2" s="898"/>
      <c r="DV2" s="898"/>
      <c r="DW2" s="898"/>
      <c r="DX2" s="898"/>
      <c r="DY2" s="898"/>
      <c r="DZ2" s="898"/>
      <c r="EA2" s="899"/>
    </row>
    <row r="3" spans="1:131" ht="15.75" thickBot="1"/>
    <row r="4" spans="1:131" ht="23.25">
      <c r="A4" s="564">
        <v>41129</v>
      </c>
      <c r="B4" s="565" t="s">
        <v>725</v>
      </c>
      <c r="C4" s="565"/>
      <c r="D4" s="565" t="s">
        <v>726</v>
      </c>
      <c r="E4" s="566" t="s">
        <v>727</v>
      </c>
      <c r="F4" s="566" t="s">
        <v>728</v>
      </c>
      <c r="G4" s="566" t="s">
        <v>729</v>
      </c>
      <c r="H4" s="566" t="s">
        <v>730</v>
      </c>
      <c r="I4" s="566" t="s">
        <v>731</v>
      </c>
      <c r="J4" s="565"/>
      <c r="P4" s="567">
        <v>41073</v>
      </c>
      <c r="Q4" s="568" t="s">
        <v>725</v>
      </c>
      <c r="R4" s="568"/>
      <c r="S4" s="568" t="s">
        <v>726</v>
      </c>
      <c r="T4" s="569" t="s">
        <v>727</v>
      </c>
      <c r="U4" s="569" t="s">
        <v>728</v>
      </c>
      <c r="V4" s="569" t="s">
        <v>729</v>
      </c>
      <c r="W4" s="569" t="s">
        <v>730</v>
      </c>
      <c r="X4" s="569" t="s">
        <v>731</v>
      </c>
      <c r="Y4" s="568"/>
      <c r="AE4" s="567">
        <v>41122</v>
      </c>
      <c r="AF4" s="568" t="s">
        <v>725</v>
      </c>
      <c r="AG4" s="568"/>
      <c r="AH4" s="568" t="s">
        <v>726</v>
      </c>
      <c r="AI4" s="569" t="s">
        <v>727</v>
      </c>
      <c r="AJ4" s="569"/>
      <c r="AK4" s="569"/>
      <c r="AL4" s="569"/>
      <c r="AM4" s="569"/>
      <c r="AN4" s="569" t="s">
        <v>728</v>
      </c>
      <c r="AO4" s="569"/>
      <c r="AP4" s="569" t="s">
        <v>729</v>
      </c>
      <c r="AQ4" s="569"/>
      <c r="AR4" s="569"/>
      <c r="AS4" s="569"/>
      <c r="AT4" s="569"/>
      <c r="AU4" s="569" t="s">
        <v>730</v>
      </c>
      <c r="AV4" s="569" t="s">
        <v>731</v>
      </c>
      <c r="AW4" s="568"/>
      <c r="BC4" s="570" t="s">
        <v>732</v>
      </c>
      <c r="CC4" s="560" t="s">
        <v>733</v>
      </c>
      <c r="CD4" s="900" t="s">
        <v>734</v>
      </c>
      <c r="CE4" s="900"/>
      <c r="CF4" s="900"/>
      <c r="CG4" s="900"/>
      <c r="CH4" s="900"/>
      <c r="CI4" s="900"/>
      <c r="CJ4" s="900"/>
      <c r="CK4" s="900"/>
      <c r="CL4" s="900"/>
      <c r="CM4" s="900"/>
      <c r="CN4" s="900"/>
      <c r="CO4" s="900"/>
      <c r="CP4" s="900"/>
      <c r="CQ4" s="900"/>
      <c r="CR4" s="900"/>
      <c r="CS4" s="900"/>
      <c r="DD4" s="571">
        <v>41102</v>
      </c>
      <c r="DE4" s="572" t="s">
        <v>725</v>
      </c>
      <c r="DF4" s="572"/>
      <c r="DG4" s="572" t="s">
        <v>726</v>
      </c>
      <c r="DH4" s="573" t="s">
        <v>727</v>
      </c>
      <c r="DI4" s="573"/>
      <c r="DJ4" s="573"/>
      <c r="DK4" s="573"/>
      <c r="DL4" s="573" t="s">
        <v>728</v>
      </c>
      <c r="DM4" s="573"/>
      <c r="DN4" s="573" t="s">
        <v>729</v>
      </c>
      <c r="DO4" s="573"/>
      <c r="DP4" s="573" t="s">
        <v>730</v>
      </c>
      <c r="DQ4" s="573"/>
      <c r="DR4" s="573"/>
      <c r="DS4" s="574"/>
      <c r="DT4" s="573" t="s">
        <v>731</v>
      </c>
      <c r="DU4" s="572"/>
      <c r="DV4" s="574"/>
      <c r="DW4" s="574"/>
      <c r="DX4" s="574"/>
      <c r="DY4" s="574"/>
      <c r="DZ4" s="574"/>
      <c r="EA4" s="575"/>
    </row>
    <row r="5" spans="1:131">
      <c r="B5" s="565"/>
      <c r="C5" s="565"/>
      <c r="D5" s="565"/>
      <c r="E5" s="566" t="s">
        <v>735</v>
      </c>
      <c r="F5" s="566" t="s">
        <v>736</v>
      </c>
      <c r="G5" s="576"/>
      <c r="H5" s="576"/>
      <c r="I5" s="566" t="s">
        <v>737</v>
      </c>
      <c r="J5" s="565"/>
      <c r="Q5" s="568"/>
      <c r="R5" s="568"/>
      <c r="S5" s="568"/>
      <c r="T5" s="569" t="s">
        <v>738</v>
      </c>
      <c r="U5" s="569" t="s">
        <v>739</v>
      </c>
      <c r="V5" s="577"/>
      <c r="W5" s="577"/>
      <c r="X5" s="569" t="s">
        <v>740</v>
      </c>
      <c r="Y5" s="578" t="s">
        <v>741</v>
      </c>
      <c r="AF5" s="568"/>
      <c r="AG5" s="568"/>
      <c r="AH5" s="568"/>
      <c r="AI5" s="579" t="s">
        <v>742</v>
      </c>
      <c r="AJ5" s="569"/>
      <c r="AK5" s="569"/>
      <c r="AL5" s="569"/>
      <c r="AM5" s="569"/>
      <c r="AN5" s="580" t="s">
        <v>743</v>
      </c>
      <c r="AO5" s="569"/>
      <c r="AP5" s="577">
        <v>60</v>
      </c>
      <c r="AR5" s="577"/>
      <c r="AS5" s="577"/>
      <c r="AT5" s="577"/>
      <c r="AU5" s="577">
        <v>51</v>
      </c>
      <c r="AV5" s="569" t="s">
        <v>744</v>
      </c>
      <c r="AW5" s="568"/>
      <c r="CD5" s="560">
        <v>1</v>
      </c>
      <c r="CE5" s="560">
        <v>2</v>
      </c>
      <c r="CF5" s="560">
        <v>3</v>
      </c>
      <c r="CG5" s="560">
        <v>4</v>
      </c>
      <c r="CH5" s="560">
        <v>5</v>
      </c>
      <c r="CI5" s="560">
        <v>6</v>
      </c>
      <c r="CJ5" s="560">
        <v>7</v>
      </c>
      <c r="CK5" s="560">
        <v>8</v>
      </c>
      <c r="CL5" s="560">
        <v>9</v>
      </c>
      <c r="CM5" s="560">
        <v>10</v>
      </c>
      <c r="CN5" s="560">
        <v>11</v>
      </c>
      <c r="CO5" s="560">
        <v>12</v>
      </c>
      <c r="CP5" s="560">
        <v>13</v>
      </c>
      <c r="CQ5" s="560">
        <v>14</v>
      </c>
      <c r="CR5" s="560">
        <v>15</v>
      </c>
      <c r="CS5" s="560">
        <v>16</v>
      </c>
      <c r="DE5" s="568"/>
      <c r="DF5" s="568"/>
      <c r="DG5" s="568"/>
      <c r="DH5" s="577" t="s">
        <v>745</v>
      </c>
      <c r="DI5" s="577"/>
      <c r="DJ5" s="577"/>
      <c r="DK5" s="577"/>
      <c r="DL5" s="577" t="s">
        <v>746</v>
      </c>
      <c r="DM5" s="577"/>
      <c r="DN5" s="577">
        <v>41</v>
      </c>
      <c r="DO5" s="577"/>
      <c r="DP5" s="577">
        <v>27</v>
      </c>
      <c r="DQ5" s="577"/>
      <c r="DR5" s="577"/>
      <c r="DT5" s="577"/>
      <c r="DU5" s="568"/>
    </row>
    <row r="6" spans="1:131">
      <c r="A6" s="560" t="s">
        <v>568</v>
      </c>
      <c r="B6" s="581" t="s">
        <v>747</v>
      </c>
      <c r="C6" s="582"/>
      <c r="D6" s="566"/>
      <c r="E6" s="565"/>
      <c r="F6" s="565"/>
      <c r="G6" s="582" t="s">
        <v>748</v>
      </c>
      <c r="H6" s="566"/>
      <c r="I6" s="566"/>
      <c r="J6" s="566"/>
      <c r="P6" s="561" t="s">
        <v>575</v>
      </c>
      <c r="Q6" s="583" t="s">
        <v>749</v>
      </c>
      <c r="R6" s="578"/>
      <c r="S6" s="569"/>
      <c r="T6" s="568"/>
      <c r="U6" s="568"/>
      <c r="V6" s="569"/>
      <c r="W6" s="569"/>
      <c r="X6" s="569"/>
      <c r="Y6" s="569"/>
      <c r="AE6" s="561" t="s">
        <v>514</v>
      </c>
      <c r="AF6" s="583" t="s">
        <v>750</v>
      </c>
      <c r="AG6" s="578"/>
      <c r="AH6" s="569"/>
      <c r="AI6" s="568"/>
      <c r="AJ6" s="568"/>
      <c r="AK6" s="568"/>
      <c r="AL6" s="568"/>
      <c r="AM6" s="568"/>
      <c r="AN6" s="568"/>
      <c r="AO6" s="568"/>
      <c r="AP6" s="569"/>
      <c r="AQ6" s="583" t="s">
        <v>751</v>
      </c>
      <c r="AR6" s="569"/>
      <c r="AS6" s="569"/>
      <c r="AT6" s="569"/>
      <c r="AU6" s="569"/>
      <c r="AV6" s="569"/>
      <c r="AW6" s="569"/>
      <c r="CD6" s="560" t="s">
        <v>752</v>
      </c>
      <c r="CF6" s="560" t="s">
        <v>752</v>
      </c>
      <c r="CG6" s="560" t="s">
        <v>752</v>
      </c>
      <c r="CJ6" s="560" t="s">
        <v>752</v>
      </c>
      <c r="CS6" s="560" t="s">
        <v>752</v>
      </c>
      <c r="DD6" s="561" t="s">
        <v>529</v>
      </c>
      <c r="DE6" s="583" t="s">
        <v>753</v>
      </c>
      <c r="DF6" s="578"/>
      <c r="DG6" s="569"/>
      <c r="DH6" s="568"/>
      <c r="DI6" s="568"/>
      <c r="DJ6" s="568"/>
      <c r="DK6" s="568"/>
      <c r="DL6" s="568"/>
      <c r="DM6" s="568"/>
      <c r="DN6" s="569"/>
      <c r="DO6" s="584" t="s">
        <v>415</v>
      </c>
      <c r="DP6" s="569"/>
      <c r="DQ6" s="583" t="s">
        <v>754</v>
      </c>
      <c r="DR6" s="569"/>
      <c r="DS6" s="569"/>
      <c r="DT6" s="577"/>
      <c r="DU6" s="569"/>
    </row>
    <row r="7" spans="1:131">
      <c r="A7" s="585"/>
      <c r="B7" s="586" t="s">
        <v>755</v>
      </c>
      <c r="C7" s="586" t="s">
        <v>756</v>
      </c>
      <c r="D7" s="586" t="s">
        <v>757</v>
      </c>
      <c r="E7" s="586" t="s">
        <v>758</v>
      </c>
      <c r="F7" s="586" t="s">
        <v>759</v>
      </c>
      <c r="G7" s="586" t="s">
        <v>760</v>
      </c>
      <c r="H7" s="586" t="s">
        <v>761</v>
      </c>
      <c r="I7" s="586" t="s">
        <v>762</v>
      </c>
      <c r="J7" s="586" t="s">
        <v>763</v>
      </c>
      <c r="N7" s="586" t="s">
        <v>764</v>
      </c>
      <c r="O7" s="576"/>
      <c r="P7" s="587"/>
      <c r="Q7" s="588" t="s">
        <v>755</v>
      </c>
      <c r="R7" s="588" t="s">
        <v>756</v>
      </c>
      <c r="S7" s="588" t="s">
        <v>756</v>
      </c>
      <c r="T7" s="588" t="s">
        <v>758</v>
      </c>
      <c r="U7" s="588" t="s">
        <v>759</v>
      </c>
      <c r="V7" s="588" t="s">
        <v>760</v>
      </c>
      <c r="W7" s="588" t="s">
        <v>761</v>
      </c>
      <c r="X7" s="588" t="s">
        <v>762</v>
      </c>
      <c r="Y7" s="588" t="s">
        <v>763</v>
      </c>
      <c r="AC7" s="588" t="s">
        <v>764</v>
      </c>
      <c r="AD7" s="589"/>
      <c r="AE7" s="587"/>
      <c r="AF7" s="588" t="s">
        <v>755</v>
      </c>
      <c r="AG7" s="588" t="s">
        <v>756</v>
      </c>
      <c r="AH7" s="590" t="s">
        <v>757</v>
      </c>
      <c r="AI7" s="590" t="s">
        <v>758</v>
      </c>
      <c r="AJ7" s="590" t="s">
        <v>765</v>
      </c>
      <c r="AK7" s="590" t="s">
        <v>766</v>
      </c>
      <c r="AL7" s="591" t="s">
        <v>767</v>
      </c>
      <c r="AM7" s="592" t="s">
        <v>768</v>
      </c>
      <c r="AN7" s="588" t="s">
        <v>759</v>
      </c>
      <c r="AO7" s="593" t="s">
        <v>769</v>
      </c>
      <c r="AP7" s="588" t="s">
        <v>760</v>
      </c>
      <c r="AQ7" s="594" t="s">
        <v>770</v>
      </c>
      <c r="AR7" s="594" t="s">
        <v>771</v>
      </c>
      <c r="AS7" s="595" t="s">
        <v>772</v>
      </c>
      <c r="AT7" s="595" t="s">
        <v>773</v>
      </c>
      <c r="AU7" s="588" t="s">
        <v>761</v>
      </c>
      <c r="AV7" s="588" t="s">
        <v>762</v>
      </c>
      <c r="AW7" s="588" t="s">
        <v>763</v>
      </c>
      <c r="BA7" s="588" t="s">
        <v>764</v>
      </c>
      <c r="BB7" s="589"/>
      <c r="CS7" s="560" t="s">
        <v>774</v>
      </c>
      <c r="DD7" s="587"/>
      <c r="DE7" s="588" t="s">
        <v>755</v>
      </c>
      <c r="DF7" s="588" t="s">
        <v>756</v>
      </c>
      <c r="DG7" s="590" t="s">
        <v>757</v>
      </c>
      <c r="DH7" s="590" t="s">
        <v>758</v>
      </c>
      <c r="DI7" s="590" t="s">
        <v>765</v>
      </c>
      <c r="DJ7" s="590" t="s">
        <v>766</v>
      </c>
      <c r="DK7" s="592" t="s">
        <v>768</v>
      </c>
      <c r="DL7" s="588" t="s">
        <v>759</v>
      </c>
      <c r="DM7" s="588" t="s">
        <v>769</v>
      </c>
      <c r="DN7" s="588" t="s">
        <v>760</v>
      </c>
      <c r="DO7" s="596" t="s">
        <v>770</v>
      </c>
      <c r="DP7" s="596" t="s">
        <v>771</v>
      </c>
      <c r="DQ7" s="595" t="s">
        <v>772</v>
      </c>
      <c r="DR7" s="595" t="s">
        <v>773</v>
      </c>
      <c r="DS7" s="588" t="s">
        <v>761</v>
      </c>
      <c r="DT7" s="588" t="s">
        <v>762</v>
      </c>
      <c r="DU7" s="588" t="s">
        <v>763</v>
      </c>
      <c r="DV7" s="588"/>
      <c r="DW7" s="588"/>
      <c r="EA7" s="597" t="s">
        <v>764</v>
      </c>
    </row>
    <row r="8" spans="1:131">
      <c r="B8" s="560" t="s">
        <v>775</v>
      </c>
      <c r="N8" s="576"/>
      <c r="O8" s="576"/>
      <c r="Q8" s="568" t="s">
        <v>776</v>
      </c>
      <c r="AC8" s="577"/>
      <c r="AD8" s="589"/>
      <c r="AF8" s="568">
        <v>1</v>
      </c>
      <c r="AH8" s="577">
        <v>0.1</v>
      </c>
      <c r="AI8" s="577" t="s">
        <v>777</v>
      </c>
      <c r="AJ8" s="577">
        <v>1</v>
      </c>
      <c r="AK8" s="577"/>
      <c r="AL8" s="577"/>
      <c r="AM8" s="577"/>
      <c r="AN8" s="562">
        <v>2.5</v>
      </c>
      <c r="AO8" s="562">
        <f>AN8+AN8</f>
        <v>5</v>
      </c>
      <c r="AP8" s="598">
        <v>0.140625</v>
      </c>
      <c r="AQ8" s="599">
        <v>4.5</v>
      </c>
      <c r="AR8" s="599">
        <f>AO8-AQ8</f>
        <v>0.5</v>
      </c>
      <c r="AS8" s="600"/>
      <c r="AT8" s="600">
        <v>1</v>
      </c>
      <c r="AU8" s="577" t="s">
        <v>778</v>
      </c>
      <c r="AV8" s="584">
        <v>1572</v>
      </c>
      <c r="BA8" s="577"/>
      <c r="BB8" s="589"/>
      <c r="BC8" s="601">
        <v>41072</v>
      </c>
      <c r="BD8" s="602" t="s">
        <v>725</v>
      </c>
      <c r="BE8" s="602"/>
      <c r="BF8" s="602" t="s">
        <v>726</v>
      </c>
      <c r="BG8" s="566" t="s">
        <v>727</v>
      </c>
      <c r="BH8" s="566"/>
      <c r="BI8" s="566"/>
      <c r="BJ8" s="566"/>
      <c r="BK8" s="566"/>
      <c r="BL8" s="566" t="s">
        <v>728</v>
      </c>
      <c r="BM8" s="566"/>
      <c r="BN8" s="566" t="s">
        <v>729</v>
      </c>
      <c r="BO8" s="603"/>
      <c r="BP8" s="603"/>
      <c r="BQ8" s="604"/>
      <c r="BR8" s="604"/>
      <c r="BS8" s="566" t="s">
        <v>730</v>
      </c>
      <c r="BT8" s="566" t="s">
        <v>731</v>
      </c>
      <c r="BU8" s="565"/>
      <c r="CC8" s="560">
        <v>1</v>
      </c>
      <c r="CD8" s="560">
        <v>4.2</v>
      </c>
      <c r="CE8" s="560" t="s">
        <v>115</v>
      </c>
      <c r="CF8" s="560">
        <v>4</v>
      </c>
      <c r="CG8" s="605">
        <v>4.1040000000000001</v>
      </c>
      <c r="CH8" s="605">
        <v>4.8</v>
      </c>
      <c r="CI8" s="605">
        <v>5</v>
      </c>
      <c r="CJ8" s="605">
        <v>4.8</v>
      </c>
      <c r="CK8" s="605">
        <v>4</v>
      </c>
      <c r="CL8" s="605">
        <v>4</v>
      </c>
      <c r="CM8" s="576">
        <v>3</v>
      </c>
      <c r="CN8" s="605">
        <v>4.8</v>
      </c>
      <c r="CO8" s="605">
        <v>3.4</v>
      </c>
      <c r="CP8" s="605">
        <v>3.4</v>
      </c>
      <c r="CQ8" s="605">
        <v>4.5999999999999996</v>
      </c>
      <c r="CR8" s="605">
        <v>5</v>
      </c>
      <c r="CS8" s="605">
        <v>4</v>
      </c>
      <c r="DE8" s="577">
        <v>1</v>
      </c>
      <c r="DG8" s="577">
        <v>6</v>
      </c>
      <c r="DH8" s="577" t="s">
        <v>127</v>
      </c>
      <c r="DI8" s="577">
        <v>1</v>
      </c>
      <c r="DJ8" s="577"/>
      <c r="DK8" s="577"/>
      <c r="DL8" s="577">
        <v>2</v>
      </c>
      <c r="DM8" s="577">
        <f t="shared" ref="DM8:DM22" si="0">DL8+DL8</f>
        <v>4</v>
      </c>
      <c r="DN8" s="606" t="s">
        <v>779</v>
      </c>
      <c r="DO8" s="599">
        <v>3.65</v>
      </c>
      <c r="DP8" s="599">
        <f t="shared" ref="DP8:DP22" si="1">+DM8-DO8</f>
        <v>0.35000000000000009</v>
      </c>
      <c r="DQ8" s="600"/>
      <c r="DR8" s="600">
        <v>1</v>
      </c>
      <c r="DS8" s="577" t="s">
        <v>778</v>
      </c>
      <c r="DT8" s="584">
        <v>933</v>
      </c>
      <c r="DY8" s="577"/>
      <c r="DZ8" s="577"/>
    </row>
    <row r="9" spans="1:131">
      <c r="C9" s="560">
        <v>0.85</v>
      </c>
      <c r="N9" s="585" t="s">
        <v>780</v>
      </c>
      <c r="O9" s="585" t="s">
        <v>616</v>
      </c>
      <c r="R9" s="562">
        <v>0.32</v>
      </c>
      <c r="S9" s="562">
        <v>0.25</v>
      </c>
      <c r="AC9" s="607" t="s">
        <v>780</v>
      </c>
      <c r="AD9" s="608" t="s">
        <v>616</v>
      </c>
      <c r="AF9" s="568" t="s">
        <v>778</v>
      </c>
      <c r="AH9" s="569">
        <v>0.1</v>
      </c>
      <c r="AI9" s="577" t="s">
        <v>778</v>
      </c>
      <c r="AJ9" s="577"/>
      <c r="AK9" s="577"/>
      <c r="AL9" s="577"/>
      <c r="AM9" s="577"/>
      <c r="AP9" s="598"/>
      <c r="AQ9" s="599"/>
      <c r="AR9" s="599"/>
      <c r="AS9" s="600"/>
      <c r="AT9" s="600"/>
      <c r="AU9" s="577"/>
      <c r="AV9" s="609">
        <v>1572</v>
      </c>
      <c r="BA9" s="607" t="s">
        <v>780</v>
      </c>
      <c r="BB9" s="608" t="s">
        <v>616</v>
      </c>
      <c r="BC9" s="610"/>
      <c r="BD9" s="602"/>
      <c r="BE9" s="602"/>
      <c r="BF9" s="602"/>
      <c r="BG9" s="576" t="s">
        <v>781</v>
      </c>
      <c r="BH9" s="576"/>
      <c r="BI9" s="576"/>
      <c r="BJ9" s="576"/>
      <c r="BK9" s="576"/>
      <c r="BL9" s="576" t="s">
        <v>782</v>
      </c>
      <c r="BM9" s="576"/>
      <c r="BN9" s="576">
        <v>46</v>
      </c>
      <c r="BO9" s="611"/>
      <c r="BP9" s="611"/>
      <c r="BQ9" s="612"/>
      <c r="BR9" s="612"/>
      <c r="BS9" s="576">
        <v>48</v>
      </c>
      <c r="BT9" s="576" t="s">
        <v>783</v>
      </c>
      <c r="BU9" s="565"/>
      <c r="CC9" s="560">
        <f t="shared" ref="CC9:CC55" si="2">1+CC8</f>
        <v>2</v>
      </c>
      <c r="CD9" s="560">
        <v>4</v>
      </c>
      <c r="CF9" s="560">
        <v>4</v>
      </c>
      <c r="CG9" s="605">
        <v>3.8520000000000003</v>
      </c>
      <c r="CH9" s="605">
        <v>5.4</v>
      </c>
      <c r="CI9" s="605">
        <v>5.6</v>
      </c>
      <c r="CJ9" s="605">
        <v>4.8</v>
      </c>
      <c r="CK9" s="605">
        <v>4.5999999999999996</v>
      </c>
      <c r="CL9" s="605">
        <v>4</v>
      </c>
      <c r="CM9" s="576">
        <v>4.5999999999999996</v>
      </c>
      <c r="CN9" s="605">
        <v>4.4000000000000004</v>
      </c>
      <c r="CO9" s="605">
        <v>5</v>
      </c>
      <c r="CP9" s="605">
        <v>4.9000000000000004</v>
      </c>
      <c r="CQ9" s="605">
        <v>4.8</v>
      </c>
      <c r="CR9" s="605">
        <v>4</v>
      </c>
      <c r="CS9" s="605">
        <v>4</v>
      </c>
      <c r="DE9" s="577">
        <v>2</v>
      </c>
      <c r="DG9" s="577"/>
      <c r="DH9" s="577"/>
      <c r="DI9" s="577"/>
      <c r="DJ9" s="577">
        <v>1</v>
      </c>
      <c r="DK9" s="577"/>
      <c r="DL9" s="577">
        <v>1.9</v>
      </c>
      <c r="DM9" s="577">
        <f t="shared" si="0"/>
        <v>3.8</v>
      </c>
      <c r="DN9" s="606" t="s">
        <v>779</v>
      </c>
      <c r="DO9" s="599">
        <v>3.6315789473684208</v>
      </c>
      <c r="DP9" s="599">
        <f t="shared" si="1"/>
        <v>0.16842105263157903</v>
      </c>
      <c r="DQ9" s="600"/>
      <c r="DR9" s="600">
        <v>1</v>
      </c>
      <c r="DS9" s="577" t="s">
        <v>778</v>
      </c>
      <c r="DT9" s="609"/>
      <c r="DU9" s="562" t="s">
        <v>784</v>
      </c>
      <c r="DY9" s="607" t="s">
        <v>780</v>
      </c>
      <c r="DZ9" s="607" t="s">
        <v>616</v>
      </c>
    </row>
    <row r="10" spans="1:131">
      <c r="C10" s="560">
        <v>0.75</v>
      </c>
      <c r="N10" s="585" t="s">
        <v>785</v>
      </c>
      <c r="O10" s="585" t="s">
        <v>542</v>
      </c>
      <c r="R10" s="562">
        <v>0.4</v>
      </c>
      <c r="S10" s="562">
        <v>0.3</v>
      </c>
      <c r="AC10" s="607" t="s">
        <v>785</v>
      </c>
      <c r="AD10" s="608" t="s">
        <v>542</v>
      </c>
      <c r="AF10" s="568">
        <v>2</v>
      </c>
      <c r="AH10" s="577"/>
      <c r="AI10" s="577"/>
      <c r="AJ10" s="577"/>
      <c r="AK10" s="577">
        <v>1</v>
      </c>
      <c r="AL10" s="577"/>
      <c r="AM10" s="577"/>
      <c r="AN10" s="562">
        <v>2.5</v>
      </c>
      <c r="AO10" s="562">
        <f t="shared" ref="AO10:AO19" si="3">AN10+AN10</f>
        <v>5</v>
      </c>
      <c r="AP10" s="598">
        <v>0.140625</v>
      </c>
      <c r="AQ10" s="599">
        <v>4.4757575757575756</v>
      </c>
      <c r="AR10" s="599">
        <f t="shared" ref="AR10:AR19" si="4">AO10-AQ10</f>
        <v>0.5242424242424244</v>
      </c>
      <c r="AS10" s="600"/>
      <c r="AT10" s="600">
        <v>1</v>
      </c>
      <c r="AU10" s="577" t="s">
        <v>778</v>
      </c>
      <c r="AV10" s="584"/>
      <c r="BA10" s="607" t="s">
        <v>785</v>
      </c>
      <c r="BB10" s="608" t="s">
        <v>542</v>
      </c>
      <c r="BC10" s="610" t="s">
        <v>486</v>
      </c>
      <c r="BD10" s="613" t="s">
        <v>786</v>
      </c>
      <c r="BE10" s="613"/>
      <c r="BF10" s="614"/>
      <c r="BG10" s="565"/>
      <c r="BH10" s="565"/>
      <c r="BI10" s="565"/>
      <c r="BJ10" s="565"/>
      <c r="BK10" s="565"/>
      <c r="BL10" s="565"/>
      <c r="BM10" s="565"/>
      <c r="BN10" s="901" t="s">
        <v>787</v>
      </c>
      <c r="BO10" s="902"/>
      <c r="BP10" s="581" t="s">
        <v>788</v>
      </c>
      <c r="BQ10" s="604"/>
      <c r="BR10" s="604"/>
      <c r="BS10" s="566"/>
      <c r="BT10" s="576"/>
      <c r="BU10" s="566"/>
      <c r="CC10" s="560">
        <f t="shared" si="2"/>
        <v>3</v>
      </c>
      <c r="CD10" s="560">
        <v>4.4000000000000004</v>
      </c>
      <c r="CF10" s="560">
        <v>4</v>
      </c>
      <c r="CG10" s="605">
        <v>4.0659999999999998</v>
      </c>
      <c r="CH10" s="605">
        <v>4.5999999999999996</v>
      </c>
      <c r="CI10" s="605">
        <v>4.8</v>
      </c>
      <c r="CJ10" s="605">
        <v>4.8</v>
      </c>
      <c r="CK10" s="605">
        <v>3.6</v>
      </c>
      <c r="CL10" s="605">
        <v>4</v>
      </c>
      <c r="CM10" s="576">
        <v>4.5999999999999996</v>
      </c>
      <c r="CN10" s="605">
        <v>4.8</v>
      </c>
      <c r="CO10" s="605">
        <v>5</v>
      </c>
      <c r="CP10" s="605">
        <v>3.4</v>
      </c>
      <c r="CQ10" s="605">
        <v>4</v>
      </c>
      <c r="CR10" s="605">
        <v>4.4000000000000004</v>
      </c>
      <c r="CS10" s="605">
        <v>4</v>
      </c>
      <c r="DE10" s="577">
        <v>3</v>
      </c>
      <c r="DG10" s="577"/>
      <c r="DH10" s="577"/>
      <c r="DI10" s="577"/>
      <c r="DJ10" s="577">
        <v>1</v>
      </c>
      <c r="DK10" s="577"/>
      <c r="DL10" s="577">
        <v>1.6</v>
      </c>
      <c r="DM10" s="577">
        <f t="shared" si="0"/>
        <v>3.2</v>
      </c>
      <c r="DN10" s="606" t="s">
        <v>779</v>
      </c>
      <c r="DO10" s="599">
        <v>3.6131578947368421</v>
      </c>
      <c r="DP10" s="599">
        <f t="shared" si="1"/>
        <v>-0.41315789473684195</v>
      </c>
      <c r="DQ10" s="600"/>
      <c r="DR10" s="600">
        <v>1</v>
      </c>
      <c r="DS10" s="577" t="s">
        <v>778</v>
      </c>
      <c r="DT10" s="584"/>
      <c r="DY10" s="607" t="s">
        <v>785</v>
      </c>
      <c r="DZ10" s="607" t="s">
        <v>542</v>
      </c>
    </row>
    <row r="11" spans="1:131">
      <c r="C11" s="560">
        <v>0.7</v>
      </c>
      <c r="N11" s="585" t="s">
        <v>789</v>
      </c>
      <c r="O11" s="585" t="s">
        <v>790</v>
      </c>
      <c r="R11" s="562">
        <v>0.55000000000000004</v>
      </c>
      <c r="S11" s="562">
        <v>0.6</v>
      </c>
      <c r="AC11" s="607" t="s">
        <v>789</v>
      </c>
      <c r="AD11" s="608" t="s">
        <v>790</v>
      </c>
      <c r="AF11" s="568">
        <v>3</v>
      </c>
      <c r="AH11" s="577"/>
      <c r="AI11" s="577"/>
      <c r="AJ11" s="577"/>
      <c r="AK11" s="577">
        <v>1</v>
      </c>
      <c r="AL11" s="577"/>
      <c r="AM11" s="577"/>
      <c r="AN11" s="562">
        <v>2.5</v>
      </c>
      <c r="AO11" s="562">
        <f t="shared" si="3"/>
        <v>5</v>
      </c>
      <c r="AP11" s="598">
        <v>0.140625</v>
      </c>
      <c r="AQ11" s="599">
        <v>4.463636363636363</v>
      </c>
      <c r="AR11" s="599">
        <f t="shared" si="4"/>
        <v>0.53636363636363704</v>
      </c>
      <c r="AS11" s="600"/>
      <c r="AT11" s="600">
        <v>1</v>
      </c>
      <c r="AU11" s="577" t="s">
        <v>778</v>
      </c>
      <c r="AV11" s="584"/>
      <c r="BA11" s="607" t="s">
        <v>789</v>
      </c>
      <c r="BB11" s="608" t="s">
        <v>790</v>
      </c>
      <c r="BC11" s="585"/>
      <c r="BD11" s="586" t="s">
        <v>755</v>
      </c>
      <c r="BE11" s="586" t="s">
        <v>756</v>
      </c>
      <c r="BF11" s="615" t="s">
        <v>757</v>
      </c>
      <c r="BG11" s="615" t="s">
        <v>758</v>
      </c>
      <c r="BH11" s="615" t="s">
        <v>765</v>
      </c>
      <c r="BI11" s="615" t="s">
        <v>766</v>
      </c>
      <c r="BJ11" s="616" t="s">
        <v>767</v>
      </c>
      <c r="BK11" s="617" t="s">
        <v>768</v>
      </c>
      <c r="BL11" s="586" t="s">
        <v>759</v>
      </c>
      <c r="BM11" s="618" t="s">
        <v>769</v>
      </c>
      <c r="BN11" s="586" t="s">
        <v>760</v>
      </c>
      <c r="BO11" s="619" t="s">
        <v>770</v>
      </c>
      <c r="BP11" s="619" t="s">
        <v>771</v>
      </c>
      <c r="BQ11" s="620" t="s">
        <v>772</v>
      </c>
      <c r="BR11" s="620" t="s">
        <v>773</v>
      </c>
      <c r="BS11" s="586" t="s">
        <v>761</v>
      </c>
      <c r="BT11" s="586" t="s">
        <v>762</v>
      </c>
      <c r="BU11" s="586" t="s">
        <v>763</v>
      </c>
      <c r="BY11" s="586" t="s">
        <v>764</v>
      </c>
      <c r="BZ11" s="576"/>
      <c r="CC11" s="560">
        <f t="shared" si="2"/>
        <v>4</v>
      </c>
      <c r="CD11" s="560">
        <v>4.5999999999999996</v>
      </c>
      <c r="CF11" s="560">
        <v>4</v>
      </c>
      <c r="CG11" s="605">
        <v>3.6379999999999999</v>
      </c>
      <c r="CH11" s="605">
        <v>4.5999999999999996</v>
      </c>
      <c r="CI11" s="605">
        <v>4.8</v>
      </c>
      <c r="CJ11" s="605">
        <v>4.8</v>
      </c>
      <c r="CK11" s="605">
        <v>5.4</v>
      </c>
      <c r="CL11" s="605">
        <v>4.7</v>
      </c>
      <c r="CM11" s="576">
        <v>4.5999999999999996</v>
      </c>
      <c r="CN11" s="605">
        <v>4.7</v>
      </c>
      <c r="CO11" s="605">
        <v>4.5999999999999996</v>
      </c>
      <c r="CP11" s="605">
        <v>3.4</v>
      </c>
      <c r="CQ11" s="605">
        <v>3.6</v>
      </c>
      <c r="CR11" s="605">
        <v>3.8</v>
      </c>
      <c r="CS11" s="605">
        <v>4</v>
      </c>
      <c r="DE11" s="577">
        <v>4</v>
      </c>
      <c r="DG11" s="577"/>
      <c r="DH11" s="577"/>
      <c r="DI11" s="577"/>
      <c r="DJ11" s="577">
        <v>1</v>
      </c>
      <c r="DK11" s="577"/>
      <c r="DL11" s="577">
        <v>2.15</v>
      </c>
      <c r="DM11" s="577">
        <f t="shared" si="0"/>
        <v>4.3</v>
      </c>
      <c r="DN11" s="606" t="s">
        <v>779</v>
      </c>
      <c r="DO11" s="599">
        <v>3.594736842105263</v>
      </c>
      <c r="DP11" s="599">
        <f t="shared" si="1"/>
        <v>0.70526315789473681</v>
      </c>
      <c r="DQ11" s="600"/>
      <c r="DR11" s="600">
        <v>1</v>
      </c>
      <c r="DS11" s="577" t="s">
        <v>778</v>
      </c>
      <c r="DT11" s="584"/>
      <c r="DY11" s="607" t="s">
        <v>789</v>
      </c>
      <c r="DZ11" s="607" t="s">
        <v>790</v>
      </c>
    </row>
    <row r="12" spans="1:131">
      <c r="C12" s="560">
        <v>0.65</v>
      </c>
      <c r="N12" s="585" t="s">
        <v>791</v>
      </c>
      <c r="O12" s="585" t="s">
        <v>792</v>
      </c>
      <c r="R12" s="562">
        <v>0.68</v>
      </c>
      <c r="S12" s="562">
        <v>0.6</v>
      </c>
      <c r="AC12" s="607" t="s">
        <v>791</v>
      </c>
      <c r="AD12" s="608" t="s">
        <v>792</v>
      </c>
      <c r="AF12" s="568">
        <v>4</v>
      </c>
      <c r="AH12" s="577">
        <v>0.4</v>
      </c>
      <c r="AI12" s="577" t="s">
        <v>777</v>
      </c>
      <c r="AJ12" s="577">
        <v>1</v>
      </c>
      <c r="AK12" s="577"/>
      <c r="AL12" s="577"/>
      <c r="AM12" s="577"/>
      <c r="AN12" s="562">
        <v>2.2999999999999998</v>
      </c>
      <c r="AO12" s="562">
        <f t="shared" si="3"/>
        <v>4.5999999999999996</v>
      </c>
      <c r="AP12" s="598">
        <v>0.140625</v>
      </c>
      <c r="AQ12" s="599">
        <v>4.4515151515151512</v>
      </c>
      <c r="AR12" s="599">
        <f t="shared" si="4"/>
        <v>0.14848484848484844</v>
      </c>
      <c r="AS12" s="600"/>
      <c r="AT12" s="600">
        <v>1</v>
      </c>
      <c r="AU12" s="577" t="s">
        <v>778</v>
      </c>
      <c r="AV12" s="584">
        <v>1571</v>
      </c>
      <c r="BA12" s="607" t="s">
        <v>791</v>
      </c>
      <c r="BB12" s="608" t="s">
        <v>792</v>
      </c>
      <c r="BD12" s="576">
        <v>1</v>
      </c>
      <c r="BF12" s="576">
        <v>4</v>
      </c>
      <c r="BG12" s="576" t="s">
        <v>793</v>
      </c>
      <c r="BH12" s="576"/>
      <c r="BI12" s="576">
        <v>1</v>
      </c>
      <c r="BJ12" s="576"/>
      <c r="BK12" s="576">
        <v>1</v>
      </c>
      <c r="BL12" s="576">
        <v>2.1</v>
      </c>
      <c r="BM12" s="576">
        <f t="shared" ref="BM12:BM44" si="5">BL12+BL12</f>
        <v>4.2</v>
      </c>
      <c r="BN12" s="621" t="s">
        <v>779</v>
      </c>
      <c r="BO12" s="611">
        <v>3.9</v>
      </c>
      <c r="BP12" s="611">
        <f t="shared" ref="BP12:BP44" si="6">BM12-BO12</f>
        <v>0.30000000000000027</v>
      </c>
      <c r="BQ12" s="612"/>
      <c r="BR12" s="612">
        <v>1</v>
      </c>
      <c r="BS12" s="566" t="s">
        <v>127</v>
      </c>
      <c r="BT12" s="622">
        <v>40</v>
      </c>
      <c r="BY12" s="576"/>
      <c r="BZ12" s="576"/>
      <c r="CC12" s="560">
        <f t="shared" si="2"/>
        <v>5</v>
      </c>
      <c r="CD12" s="560">
        <v>4</v>
      </c>
      <c r="CF12" s="560">
        <v>4</v>
      </c>
      <c r="CG12" s="605">
        <v>3.8520000000000003</v>
      </c>
      <c r="CH12" s="605">
        <v>5.4</v>
      </c>
      <c r="CI12" s="605">
        <v>4.8</v>
      </c>
      <c r="CJ12" s="605">
        <v>4.8</v>
      </c>
      <c r="CK12" s="605">
        <v>4</v>
      </c>
      <c r="CL12" s="605">
        <v>4</v>
      </c>
      <c r="CM12" s="576">
        <v>4.2</v>
      </c>
      <c r="CN12" s="605">
        <v>4.5999999999999996</v>
      </c>
      <c r="CO12" s="605">
        <v>5</v>
      </c>
      <c r="CP12" s="605">
        <v>3.4</v>
      </c>
      <c r="CQ12" s="605">
        <v>5.6</v>
      </c>
      <c r="CR12" s="605">
        <v>4.2</v>
      </c>
      <c r="CS12" s="605">
        <v>4</v>
      </c>
      <c r="DE12" s="577">
        <v>5</v>
      </c>
      <c r="DG12" s="577"/>
      <c r="DH12" s="577"/>
      <c r="DI12" s="577"/>
      <c r="DJ12" s="577">
        <v>1</v>
      </c>
      <c r="DK12" s="577"/>
      <c r="DL12" s="577">
        <v>1.9</v>
      </c>
      <c r="DM12" s="577">
        <f t="shared" si="0"/>
        <v>3.8</v>
      </c>
      <c r="DN12" s="606" t="s">
        <v>779</v>
      </c>
      <c r="DO12" s="599">
        <v>3.5763157894736843</v>
      </c>
      <c r="DP12" s="599">
        <f t="shared" si="1"/>
        <v>0.22368421052631549</v>
      </c>
      <c r="DQ12" s="600"/>
      <c r="DR12" s="600">
        <v>1</v>
      </c>
      <c r="DS12" s="577" t="s">
        <v>778</v>
      </c>
      <c r="DT12" s="584"/>
      <c r="DY12" s="607" t="s">
        <v>791</v>
      </c>
      <c r="DZ12" s="607" t="s">
        <v>792</v>
      </c>
    </row>
    <row r="13" spans="1:131">
      <c r="C13" s="560">
        <v>0.6</v>
      </c>
      <c r="N13" s="585" t="s">
        <v>794</v>
      </c>
      <c r="O13" s="585" t="s">
        <v>795</v>
      </c>
      <c r="R13" s="562">
        <v>0.55000000000000004</v>
      </c>
      <c r="S13" s="562">
        <v>0.6</v>
      </c>
      <c r="AC13" s="607" t="s">
        <v>794</v>
      </c>
      <c r="AD13" s="608" t="s">
        <v>795</v>
      </c>
      <c r="AF13" s="568">
        <v>5</v>
      </c>
      <c r="AH13" s="577"/>
      <c r="AI13" s="577"/>
      <c r="AJ13" s="577"/>
      <c r="AK13" s="577">
        <v>1</v>
      </c>
      <c r="AL13" s="577"/>
      <c r="AM13" s="579"/>
      <c r="AN13" s="562">
        <v>2.7</v>
      </c>
      <c r="AO13" s="562">
        <f t="shared" si="3"/>
        <v>5.4</v>
      </c>
      <c r="AP13" s="598">
        <v>0.140625</v>
      </c>
      <c r="AQ13" s="599">
        <v>4.4393939393939386</v>
      </c>
      <c r="AR13" s="599">
        <f t="shared" si="4"/>
        <v>0.9606060606060618</v>
      </c>
      <c r="AS13" s="600"/>
      <c r="AT13" s="600">
        <v>1</v>
      </c>
      <c r="AU13" s="577" t="s">
        <v>778</v>
      </c>
      <c r="AV13" s="577"/>
      <c r="BA13" s="607" t="s">
        <v>794</v>
      </c>
      <c r="BB13" s="608" t="s">
        <v>795</v>
      </c>
      <c r="BD13" s="576">
        <v>2</v>
      </c>
      <c r="BF13" s="576"/>
      <c r="BG13" s="576"/>
      <c r="BH13" s="576"/>
      <c r="BI13" s="576">
        <v>1</v>
      </c>
      <c r="BJ13" s="576"/>
      <c r="BK13" s="576"/>
      <c r="BL13" s="576">
        <v>2</v>
      </c>
      <c r="BM13" s="576">
        <f t="shared" si="5"/>
        <v>4</v>
      </c>
      <c r="BN13" s="623" t="s">
        <v>796</v>
      </c>
      <c r="BO13" s="611">
        <v>3.9031250000000002</v>
      </c>
      <c r="BP13" s="611">
        <f t="shared" si="6"/>
        <v>9.6874999999999822E-2</v>
      </c>
      <c r="BQ13" s="612">
        <v>1</v>
      </c>
      <c r="BR13" s="612"/>
      <c r="BS13" s="566" t="s">
        <v>127</v>
      </c>
      <c r="BT13" s="624"/>
      <c r="BY13" s="585" t="s">
        <v>780</v>
      </c>
      <c r="BZ13" s="585" t="s">
        <v>616</v>
      </c>
      <c r="CC13" s="560">
        <f t="shared" si="2"/>
        <v>6</v>
      </c>
      <c r="CD13" s="560">
        <v>4.4000000000000004</v>
      </c>
      <c r="CF13" s="560">
        <v>3.6</v>
      </c>
      <c r="CG13" s="605">
        <v>4.0659999999999998</v>
      </c>
      <c r="CH13" s="605">
        <v>5.6</v>
      </c>
      <c r="CI13" s="605">
        <v>4.5999999999999996</v>
      </c>
      <c r="CJ13" s="605">
        <v>4.5999999999999996</v>
      </c>
      <c r="CK13" s="605">
        <v>4</v>
      </c>
      <c r="CL13" s="605">
        <v>4</v>
      </c>
      <c r="CM13" s="576">
        <v>4.2</v>
      </c>
      <c r="CN13" s="605">
        <v>4.8</v>
      </c>
      <c r="CO13" s="605">
        <v>4.2</v>
      </c>
      <c r="CP13" s="605">
        <v>3</v>
      </c>
      <c r="CQ13" s="605">
        <v>5.2</v>
      </c>
      <c r="CR13" s="605">
        <v>3</v>
      </c>
      <c r="CS13" s="605">
        <v>4</v>
      </c>
      <c r="DE13" s="577">
        <v>6</v>
      </c>
      <c r="DG13" s="577"/>
      <c r="DH13" s="577"/>
      <c r="DI13" s="577"/>
      <c r="DJ13" s="577">
        <v>1</v>
      </c>
      <c r="DK13" s="577"/>
      <c r="DL13" s="577">
        <v>1.7</v>
      </c>
      <c r="DM13" s="577">
        <f t="shared" si="0"/>
        <v>3.4</v>
      </c>
      <c r="DN13" s="577" t="s">
        <v>797</v>
      </c>
      <c r="DO13" s="599">
        <v>3.5578947368421052</v>
      </c>
      <c r="DP13" s="599">
        <f t="shared" si="1"/>
        <v>-0.15789473684210531</v>
      </c>
      <c r="DQ13" s="600">
        <v>1</v>
      </c>
      <c r="DR13" s="600"/>
      <c r="DS13" s="577" t="s">
        <v>778</v>
      </c>
      <c r="DT13" s="577"/>
      <c r="DY13" s="607" t="s">
        <v>794</v>
      </c>
      <c r="DZ13" s="607" t="s">
        <v>795</v>
      </c>
    </row>
    <row r="14" spans="1:131">
      <c r="C14" s="560">
        <v>0.65</v>
      </c>
      <c r="N14" s="585" t="s">
        <v>798</v>
      </c>
      <c r="O14" s="585" t="s">
        <v>546</v>
      </c>
      <c r="Q14" s="562" t="s">
        <v>799</v>
      </c>
      <c r="AC14" s="607" t="s">
        <v>798</v>
      </c>
      <c r="AD14" s="608" t="s">
        <v>546</v>
      </c>
      <c r="AF14" s="568">
        <v>6</v>
      </c>
      <c r="AH14" s="577"/>
      <c r="AI14" s="577"/>
      <c r="AJ14" s="577"/>
      <c r="AK14" s="577">
        <v>1</v>
      </c>
      <c r="AL14" s="577"/>
      <c r="AM14" s="577"/>
      <c r="AN14" s="562">
        <v>2.75</v>
      </c>
      <c r="AO14" s="562">
        <f t="shared" si="3"/>
        <v>5.5</v>
      </c>
      <c r="AP14" s="598">
        <v>0.140625</v>
      </c>
      <c r="AQ14" s="599">
        <v>4.4272727272727268</v>
      </c>
      <c r="AR14" s="599">
        <f t="shared" si="4"/>
        <v>1.0727272727272732</v>
      </c>
      <c r="AS14" s="600"/>
      <c r="AT14" s="600">
        <v>1</v>
      </c>
      <c r="AU14" s="577" t="s">
        <v>778</v>
      </c>
      <c r="AV14" s="577"/>
      <c r="BA14" s="607" t="s">
        <v>798</v>
      </c>
      <c r="BB14" s="608" t="s">
        <v>546</v>
      </c>
      <c r="BD14" s="576">
        <v>3</v>
      </c>
      <c r="BF14" s="576"/>
      <c r="BG14" s="576"/>
      <c r="BH14" s="576"/>
      <c r="BI14" s="576">
        <v>1</v>
      </c>
      <c r="BJ14" s="576"/>
      <c r="BK14" s="576"/>
      <c r="BL14" s="576">
        <v>2.2000000000000002</v>
      </c>
      <c r="BM14" s="576">
        <f t="shared" si="5"/>
        <v>4.4000000000000004</v>
      </c>
      <c r="BN14" s="623" t="s">
        <v>796</v>
      </c>
      <c r="BO14" s="611">
        <v>3.90625</v>
      </c>
      <c r="BP14" s="611">
        <f t="shared" si="6"/>
        <v>0.49375000000000036</v>
      </c>
      <c r="BQ14" s="612">
        <v>1</v>
      </c>
      <c r="BR14" s="612"/>
      <c r="BS14" s="566" t="s">
        <v>127</v>
      </c>
      <c r="BT14" s="622"/>
      <c r="BY14" s="585" t="s">
        <v>785</v>
      </c>
      <c r="BZ14" s="585" t="s">
        <v>542</v>
      </c>
      <c r="CC14" s="560">
        <f t="shared" si="2"/>
        <v>7</v>
      </c>
      <c r="CD14" s="560">
        <v>4</v>
      </c>
      <c r="CF14" s="560">
        <v>4</v>
      </c>
      <c r="CG14" s="605">
        <v>4.0659999999999998</v>
      </c>
      <c r="CH14" s="605">
        <v>5.4</v>
      </c>
      <c r="CI14" s="605">
        <v>5.4</v>
      </c>
      <c r="CJ14" s="605">
        <v>4.8</v>
      </c>
      <c r="CK14" s="605">
        <v>4.2</v>
      </c>
      <c r="CL14" s="605">
        <v>4.5999999999999996</v>
      </c>
      <c r="CM14" s="576">
        <v>4</v>
      </c>
      <c r="CN14" s="605">
        <v>4.4000000000000004</v>
      </c>
      <c r="CO14" s="605">
        <v>5</v>
      </c>
      <c r="CP14" s="605">
        <v>2.8</v>
      </c>
      <c r="CQ14" s="605">
        <v>3.4</v>
      </c>
      <c r="CR14" s="605">
        <v>3</v>
      </c>
      <c r="CS14" s="605">
        <v>4</v>
      </c>
      <c r="DE14" s="577">
        <v>7</v>
      </c>
      <c r="DG14" s="577"/>
      <c r="DH14" s="577"/>
      <c r="DI14" s="577"/>
      <c r="DJ14" s="577">
        <v>1</v>
      </c>
      <c r="DK14" s="577"/>
      <c r="DL14" s="577">
        <v>2</v>
      </c>
      <c r="DM14" s="577">
        <f t="shared" si="0"/>
        <v>4</v>
      </c>
      <c r="DN14" s="606" t="s">
        <v>779</v>
      </c>
      <c r="DO14" s="599">
        <v>3.5394736842105265</v>
      </c>
      <c r="DP14" s="599">
        <f t="shared" si="1"/>
        <v>0.46052631578947345</v>
      </c>
      <c r="DQ14" s="600"/>
      <c r="DR14" s="600">
        <v>1</v>
      </c>
      <c r="DS14" s="577" t="s">
        <v>778</v>
      </c>
      <c r="DT14" s="577"/>
      <c r="DY14" s="607" t="s">
        <v>798</v>
      </c>
      <c r="DZ14" s="607" t="s">
        <v>546</v>
      </c>
    </row>
    <row r="15" spans="1:131">
      <c r="C15" s="560">
        <v>0.8</v>
      </c>
      <c r="N15" s="585" t="s">
        <v>800</v>
      </c>
      <c r="O15" s="585" t="s">
        <v>801</v>
      </c>
      <c r="R15" s="562">
        <v>0.5</v>
      </c>
      <c r="S15" s="562">
        <v>0.5</v>
      </c>
      <c r="AC15" s="607" t="s">
        <v>800</v>
      </c>
      <c r="AD15" s="608" t="s">
        <v>801</v>
      </c>
      <c r="AF15" s="568">
        <v>7</v>
      </c>
      <c r="AH15" s="577">
        <v>0.1</v>
      </c>
      <c r="AI15" s="577" t="s">
        <v>777</v>
      </c>
      <c r="AJ15" s="577">
        <v>1</v>
      </c>
      <c r="AK15" s="577"/>
      <c r="AL15" s="577"/>
      <c r="AM15" s="577"/>
      <c r="AN15" s="562">
        <v>2.6</v>
      </c>
      <c r="AO15" s="562">
        <f t="shared" si="3"/>
        <v>5.2</v>
      </c>
      <c r="AP15" s="598">
        <v>0.140625</v>
      </c>
      <c r="AQ15" s="599">
        <v>4.415151515151515</v>
      </c>
      <c r="AR15" s="599">
        <f t="shared" si="4"/>
        <v>0.78484848484848513</v>
      </c>
      <c r="AS15" s="600"/>
      <c r="AT15" s="600">
        <v>1</v>
      </c>
      <c r="AU15" s="577" t="s">
        <v>778</v>
      </c>
      <c r="AV15" s="577">
        <v>1570</v>
      </c>
      <c r="BA15" s="607" t="s">
        <v>800</v>
      </c>
      <c r="BB15" s="608" t="s">
        <v>801</v>
      </c>
      <c r="BD15" s="576">
        <v>4</v>
      </c>
      <c r="BF15" s="576">
        <v>5.2</v>
      </c>
      <c r="BG15" s="576" t="s">
        <v>802</v>
      </c>
      <c r="BH15" s="576"/>
      <c r="BI15" s="576">
        <v>1</v>
      </c>
      <c r="BJ15" s="576">
        <v>1</v>
      </c>
      <c r="BK15" s="576"/>
      <c r="BL15" s="576">
        <v>2.2999999999999998</v>
      </c>
      <c r="BM15" s="576">
        <f t="shared" si="5"/>
        <v>4.5999999999999996</v>
      </c>
      <c r="BN15" s="623" t="s">
        <v>803</v>
      </c>
      <c r="BO15" s="611">
        <v>3.9093750000000003</v>
      </c>
      <c r="BP15" s="611">
        <f t="shared" si="6"/>
        <v>0.69062499999999938</v>
      </c>
      <c r="BQ15" s="612">
        <v>1</v>
      </c>
      <c r="BR15" s="612"/>
      <c r="BS15" s="566" t="s">
        <v>778</v>
      </c>
      <c r="BT15" s="622">
        <v>41</v>
      </c>
      <c r="BY15" s="585" t="s">
        <v>789</v>
      </c>
      <c r="BZ15" s="585" t="s">
        <v>790</v>
      </c>
      <c r="CA15" s="611">
        <v>4.8129032258064504</v>
      </c>
      <c r="CB15" s="611"/>
      <c r="CC15" s="560">
        <f t="shared" si="2"/>
        <v>8</v>
      </c>
      <c r="CD15" s="560">
        <v>3.6</v>
      </c>
      <c r="CF15" s="560">
        <v>4</v>
      </c>
      <c r="CG15" s="605">
        <v>3.8520000000000003</v>
      </c>
      <c r="CH15" s="605">
        <v>4.4000000000000004</v>
      </c>
      <c r="CI15" s="605">
        <v>5</v>
      </c>
      <c r="CJ15" s="605">
        <v>4.8</v>
      </c>
      <c r="CK15" s="605">
        <v>4</v>
      </c>
      <c r="CL15" s="605">
        <v>4</v>
      </c>
      <c r="CM15" s="576">
        <v>4</v>
      </c>
      <c r="CN15" s="605">
        <v>4.8</v>
      </c>
      <c r="CO15" s="605">
        <v>4.5999999999999996</v>
      </c>
      <c r="CP15" s="605">
        <v>3.8</v>
      </c>
      <c r="CQ15" s="605">
        <v>5</v>
      </c>
      <c r="CR15" s="605">
        <v>4</v>
      </c>
      <c r="CS15" s="605">
        <v>4</v>
      </c>
      <c r="DE15" s="577">
        <v>8</v>
      </c>
      <c r="DG15" s="577"/>
      <c r="DH15" s="577"/>
      <c r="DI15" s="577"/>
      <c r="DJ15" s="577">
        <v>1</v>
      </c>
      <c r="DK15" s="577"/>
      <c r="DL15" s="577">
        <v>2.2999999999999998</v>
      </c>
      <c r="DM15" s="577">
        <f t="shared" si="0"/>
        <v>4.5999999999999996</v>
      </c>
      <c r="DN15" s="606" t="s">
        <v>779</v>
      </c>
      <c r="DO15" s="599">
        <v>3.5210526315789474</v>
      </c>
      <c r="DP15" s="599">
        <f t="shared" si="1"/>
        <v>1.0789473684210522</v>
      </c>
      <c r="DQ15" s="600"/>
      <c r="DR15" s="600">
        <v>1</v>
      </c>
      <c r="DS15" s="577" t="s">
        <v>778</v>
      </c>
      <c r="DT15" s="577"/>
      <c r="DY15" s="607" t="s">
        <v>800</v>
      </c>
      <c r="DZ15" s="607" t="s">
        <v>801</v>
      </c>
    </row>
    <row r="16" spans="1:131">
      <c r="C16" s="560">
        <v>1</v>
      </c>
      <c r="N16" s="585" t="s">
        <v>804</v>
      </c>
      <c r="O16" s="585" t="s">
        <v>805</v>
      </c>
      <c r="R16" s="562">
        <v>0.55000000000000004</v>
      </c>
      <c r="S16" s="562">
        <v>0.6</v>
      </c>
      <c r="AC16" s="607" t="s">
        <v>804</v>
      </c>
      <c r="AD16" s="608" t="s">
        <v>805</v>
      </c>
      <c r="AF16" s="568">
        <v>8</v>
      </c>
      <c r="AH16" s="577"/>
      <c r="AI16" s="577"/>
      <c r="AJ16" s="577"/>
      <c r="AK16" s="577">
        <v>1</v>
      </c>
      <c r="AL16" s="577"/>
      <c r="AM16" s="577"/>
      <c r="AN16" s="562">
        <v>2.4</v>
      </c>
      <c r="AO16" s="562">
        <f t="shared" si="3"/>
        <v>4.8</v>
      </c>
      <c r="AP16" s="598">
        <v>0.140625</v>
      </c>
      <c r="AQ16" s="599">
        <v>4.4030303030303024</v>
      </c>
      <c r="AR16" s="599">
        <f t="shared" si="4"/>
        <v>0.39696969696969742</v>
      </c>
      <c r="AS16" s="600"/>
      <c r="AT16" s="600">
        <v>1</v>
      </c>
      <c r="AU16" s="577" t="s">
        <v>778</v>
      </c>
      <c r="AV16" s="577"/>
      <c r="AX16" s="625" t="s">
        <v>806</v>
      </c>
      <c r="AY16" s="625">
        <f>COUNT(AR8:AR41)</f>
        <v>32</v>
      </c>
      <c r="BA16" s="607" t="s">
        <v>804</v>
      </c>
      <c r="BB16" s="608" t="s">
        <v>805</v>
      </c>
      <c r="BD16" s="576">
        <v>5</v>
      </c>
      <c r="BF16" s="576">
        <v>0.3</v>
      </c>
      <c r="BG16" s="576" t="s">
        <v>802</v>
      </c>
      <c r="BH16" s="576"/>
      <c r="BI16" s="576">
        <v>1</v>
      </c>
      <c r="BJ16" s="576">
        <v>1</v>
      </c>
      <c r="BK16" s="576"/>
      <c r="BL16" s="576">
        <v>2</v>
      </c>
      <c r="BM16" s="576">
        <f t="shared" si="5"/>
        <v>4</v>
      </c>
      <c r="BN16" s="623" t="s">
        <v>779</v>
      </c>
      <c r="BO16" s="611">
        <v>3.9125000000000001</v>
      </c>
      <c r="BP16" s="611">
        <f t="shared" si="6"/>
        <v>8.7499999999999911E-2</v>
      </c>
      <c r="BQ16" s="612"/>
      <c r="BR16" s="612">
        <v>1</v>
      </c>
      <c r="BS16" s="566" t="s">
        <v>127</v>
      </c>
      <c r="BT16" s="622"/>
      <c r="BY16" s="585" t="s">
        <v>791</v>
      </c>
      <c r="BZ16" s="585" t="s">
        <v>792</v>
      </c>
      <c r="CA16" s="611">
        <v>4.8193548387096774</v>
      </c>
      <c r="CB16" s="611"/>
      <c r="CC16" s="560">
        <f t="shared" si="2"/>
        <v>9</v>
      </c>
      <c r="CD16" s="560">
        <v>4.5999999999999996</v>
      </c>
      <c r="CF16" s="560">
        <v>4</v>
      </c>
      <c r="CG16" s="605">
        <v>3.8520000000000003</v>
      </c>
      <c r="CH16" s="605">
        <v>5.4</v>
      </c>
      <c r="CI16" s="605">
        <v>5</v>
      </c>
      <c r="CJ16" s="605">
        <v>5</v>
      </c>
      <c r="CK16" s="605">
        <v>4.5999999999999996</v>
      </c>
      <c r="CL16" s="605">
        <v>4.4000000000000004</v>
      </c>
      <c r="CM16" s="576">
        <v>4.5</v>
      </c>
      <c r="CN16" s="605">
        <v>4.5999999999999996</v>
      </c>
      <c r="CO16" s="605">
        <v>4.4000000000000004</v>
      </c>
      <c r="CP16" s="605">
        <v>3.8</v>
      </c>
      <c r="CQ16" s="605">
        <v>4.5</v>
      </c>
      <c r="CR16" s="605">
        <v>4.2</v>
      </c>
      <c r="CS16" s="605">
        <v>4</v>
      </c>
      <c r="DE16" s="577">
        <v>9</v>
      </c>
      <c r="DG16" s="577">
        <v>0.2</v>
      </c>
      <c r="DH16" s="577" t="s">
        <v>127</v>
      </c>
      <c r="DI16" s="577">
        <v>1</v>
      </c>
      <c r="DJ16" s="577"/>
      <c r="DK16" s="577"/>
      <c r="DL16" s="577">
        <v>1.7</v>
      </c>
      <c r="DM16" s="577">
        <f t="shared" si="0"/>
        <v>3.4</v>
      </c>
      <c r="DN16" s="577" t="s">
        <v>797</v>
      </c>
      <c r="DO16" s="599">
        <v>3.5026315789473688</v>
      </c>
      <c r="DP16" s="599">
        <f t="shared" si="1"/>
        <v>-0.10263157894736885</v>
      </c>
      <c r="DQ16" s="600">
        <v>1</v>
      </c>
      <c r="DR16" s="600"/>
      <c r="DS16" s="577" t="s">
        <v>778</v>
      </c>
      <c r="DT16" s="600">
        <v>932</v>
      </c>
      <c r="DY16" s="607" t="s">
        <v>804</v>
      </c>
      <c r="DZ16" s="607" t="s">
        <v>805</v>
      </c>
    </row>
    <row r="17" spans="2:130" s="560" customFormat="1">
      <c r="C17" s="560">
        <v>0.9</v>
      </c>
      <c r="N17" s="585" t="s">
        <v>807</v>
      </c>
      <c r="O17" s="585" t="s">
        <v>808</v>
      </c>
      <c r="P17" s="561"/>
      <c r="Q17" s="562"/>
      <c r="R17" s="562">
        <v>0.51</v>
      </c>
      <c r="S17" s="562">
        <v>0.8</v>
      </c>
      <c r="T17" s="562"/>
      <c r="U17" s="562"/>
      <c r="V17" s="562"/>
      <c r="W17" s="562"/>
      <c r="X17" s="562"/>
      <c r="Y17" s="562"/>
      <c r="Z17" s="562"/>
      <c r="AA17" s="562"/>
      <c r="AB17" s="562"/>
      <c r="AC17" s="607" t="s">
        <v>807</v>
      </c>
      <c r="AD17" s="608" t="s">
        <v>808</v>
      </c>
      <c r="AE17" s="561"/>
      <c r="AF17" s="568">
        <v>9</v>
      </c>
      <c r="AG17" s="562"/>
      <c r="AH17" s="577"/>
      <c r="AI17" s="577"/>
      <c r="AJ17" s="577"/>
      <c r="AK17" s="577">
        <v>1</v>
      </c>
      <c r="AL17" s="577"/>
      <c r="AM17" s="577"/>
      <c r="AN17" s="562">
        <v>2.4</v>
      </c>
      <c r="AO17" s="562">
        <f t="shared" si="3"/>
        <v>4.8</v>
      </c>
      <c r="AP17" s="598">
        <v>0.140625</v>
      </c>
      <c r="AQ17" s="599">
        <v>4.3909090909090907</v>
      </c>
      <c r="AR17" s="599">
        <f t="shared" si="4"/>
        <v>0.40909090909090917</v>
      </c>
      <c r="AS17" s="600"/>
      <c r="AT17" s="600">
        <v>1</v>
      </c>
      <c r="AU17" s="577" t="s">
        <v>778</v>
      </c>
      <c r="AV17" s="577"/>
      <c r="AW17" s="562"/>
      <c r="AX17" s="625" t="s">
        <v>809</v>
      </c>
      <c r="AY17" s="626">
        <f>SUM(AR8:AR41)</f>
        <v>15.74242424242426</v>
      </c>
      <c r="AZ17" s="562"/>
      <c r="BA17" s="607" t="s">
        <v>807</v>
      </c>
      <c r="BB17" s="608" t="s">
        <v>808</v>
      </c>
      <c r="BD17" s="576">
        <v>6</v>
      </c>
      <c r="BF17" s="576"/>
      <c r="BG17" s="576"/>
      <c r="BH17" s="576"/>
      <c r="BI17" s="576">
        <v>1</v>
      </c>
      <c r="BJ17" s="576"/>
      <c r="BK17" s="576"/>
      <c r="BL17" s="576">
        <v>2.2000000000000002</v>
      </c>
      <c r="BM17" s="576">
        <f t="shared" si="5"/>
        <v>4.4000000000000004</v>
      </c>
      <c r="BN17" s="623" t="s">
        <v>796</v>
      </c>
      <c r="BO17" s="611">
        <v>3.9156249999999999</v>
      </c>
      <c r="BP17" s="611">
        <f t="shared" si="6"/>
        <v>0.48437500000000044</v>
      </c>
      <c r="BQ17" s="612">
        <v>1</v>
      </c>
      <c r="BR17" s="612"/>
      <c r="BS17" s="566" t="s">
        <v>127</v>
      </c>
      <c r="BT17" s="576"/>
      <c r="BV17" s="627" t="s">
        <v>806</v>
      </c>
      <c r="BW17" s="627">
        <f>COUNT(BP12:BP44)</f>
        <v>33</v>
      </c>
      <c r="BY17" s="585" t="s">
        <v>794</v>
      </c>
      <c r="BZ17" s="585" t="s">
        <v>795</v>
      </c>
      <c r="CC17" s="560">
        <f t="shared" si="2"/>
        <v>10</v>
      </c>
      <c r="CD17" s="560">
        <v>4.4000000000000004</v>
      </c>
      <c r="CF17" s="560">
        <v>4</v>
      </c>
      <c r="CG17" s="605">
        <v>3.6379999999999999</v>
      </c>
      <c r="CH17" s="605">
        <v>4.8</v>
      </c>
      <c r="CI17" s="605">
        <v>5</v>
      </c>
      <c r="CJ17" s="605">
        <v>4.5999999999999996</v>
      </c>
      <c r="CK17" s="605">
        <v>4.5999999999999996</v>
      </c>
      <c r="CL17" s="605">
        <v>4.5999999999999996</v>
      </c>
      <c r="CM17" s="576">
        <v>3.2</v>
      </c>
      <c r="CN17" s="605">
        <v>4.5999999999999996</v>
      </c>
      <c r="CO17" s="605">
        <v>4.8</v>
      </c>
      <c r="CP17" s="605">
        <v>3.4</v>
      </c>
      <c r="CQ17" s="605">
        <v>5.3</v>
      </c>
      <c r="CR17" s="605">
        <v>4</v>
      </c>
      <c r="CS17" s="605">
        <v>4</v>
      </c>
      <c r="DD17" s="561"/>
      <c r="DE17" s="577">
        <v>10</v>
      </c>
      <c r="DF17" s="562"/>
      <c r="DG17" s="577"/>
      <c r="DH17" s="577"/>
      <c r="DI17" s="577"/>
      <c r="DJ17" s="577">
        <v>1</v>
      </c>
      <c r="DK17" s="577"/>
      <c r="DL17" s="577">
        <v>2.2999999999999998</v>
      </c>
      <c r="DM17" s="577">
        <f t="shared" si="0"/>
        <v>4.5999999999999996</v>
      </c>
      <c r="DN17" s="606" t="s">
        <v>779</v>
      </c>
      <c r="DO17" s="599">
        <v>3.4842105263157896</v>
      </c>
      <c r="DP17" s="599">
        <f t="shared" si="1"/>
        <v>1.11578947368421</v>
      </c>
      <c r="DQ17" s="600"/>
      <c r="DR17" s="600">
        <v>1</v>
      </c>
      <c r="DS17" s="577" t="s">
        <v>778</v>
      </c>
      <c r="DT17" s="577"/>
      <c r="DU17" s="562"/>
      <c r="DV17" s="562"/>
      <c r="DW17" s="562"/>
      <c r="DX17" s="562"/>
      <c r="DY17" s="607" t="s">
        <v>807</v>
      </c>
      <c r="DZ17" s="607" t="s">
        <v>808</v>
      </c>
    </row>
    <row r="18" spans="2:130" s="560" customFormat="1">
      <c r="C18" s="560">
        <v>0.9</v>
      </c>
      <c r="N18" s="585" t="s">
        <v>810</v>
      </c>
      <c r="O18" s="585" t="s">
        <v>550</v>
      </c>
      <c r="P18" s="561"/>
      <c r="Q18" s="562"/>
      <c r="R18" s="562">
        <v>0.6</v>
      </c>
      <c r="S18" s="562">
        <v>0.6</v>
      </c>
      <c r="T18" s="562"/>
      <c r="U18" s="562"/>
      <c r="V18" s="562"/>
      <c r="W18" s="562"/>
      <c r="X18" s="562"/>
      <c r="Y18" s="562"/>
      <c r="Z18" s="562"/>
      <c r="AA18" s="562"/>
      <c r="AB18" s="562"/>
      <c r="AC18" s="607" t="s">
        <v>810</v>
      </c>
      <c r="AD18" s="608" t="s">
        <v>550</v>
      </c>
      <c r="AE18" s="561"/>
      <c r="AF18" s="568">
        <v>10</v>
      </c>
      <c r="AG18" s="562"/>
      <c r="AH18" s="577"/>
      <c r="AI18" s="577"/>
      <c r="AJ18" s="577"/>
      <c r="AK18" s="577">
        <v>1</v>
      </c>
      <c r="AL18" s="577"/>
      <c r="AM18" s="577"/>
      <c r="AN18" s="562">
        <v>2.6</v>
      </c>
      <c r="AO18" s="562">
        <f t="shared" si="3"/>
        <v>5.2</v>
      </c>
      <c r="AP18" s="598">
        <v>0.140625</v>
      </c>
      <c r="AQ18" s="599">
        <v>4.378787878787878</v>
      </c>
      <c r="AR18" s="599">
        <f t="shared" si="4"/>
        <v>0.82121212121212217</v>
      </c>
      <c r="AS18" s="600"/>
      <c r="AT18" s="600">
        <v>1</v>
      </c>
      <c r="AU18" s="577" t="s">
        <v>778</v>
      </c>
      <c r="AV18" s="577"/>
      <c r="AW18" s="562"/>
      <c r="AX18" s="625" t="s">
        <v>811</v>
      </c>
      <c r="AY18" s="626">
        <f>MAX(AR8:AR41)</f>
        <v>1.0727272727272732</v>
      </c>
      <c r="AZ18" s="562"/>
      <c r="BA18" s="607" t="s">
        <v>810</v>
      </c>
      <c r="BB18" s="608" t="s">
        <v>550</v>
      </c>
      <c r="BD18" s="576">
        <v>7</v>
      </c>
      <c r="BF18" s="576">
        <v>0.5</v>
      </c>
      <c r="BG18" s="576" t="s">
        <v>777</v>
      </c>
      <c r="BH18" s="576"/>
      <c r="BI18" s="576">
        <v>1</v>
      </c>
      <c r="BJ18" s="576"/>
      <c r="BK18" s="576">
        <v>1</v>
      </c>
      <c r="BL18" s="576">
        <v>2</v>
      </c>
      <c r="BM18" s="576">
        <f t="shared" si="5"/>
        <v>4</v>
      </c>
      <c r="BN18" s="623" t="s">
        <v>779</v>
      </c>
      <c r="BO18" s="611">
        <v>3.9187500000000002</v>
      </c>
      <c r="BP18" s="611">
        <f t="shared" si="6"/>
        <v>8.1249999999999822E-2</v>
      </c>
      <c r="BQ18" s="612"/>
      <c r="BR18" s="612">
        <v>1</v>
      </c>
      <c r="BS18" s="566" t="s">
        <v>127</v>
      </c>
      <c r="BT18" s="576">
        <v>42</v>
      </c>
      <c r="BV18" s="627" t="s">
        <v>812</v>
      </c>
      <c r="BW18" s="628">
        <f>SUM(BP12:BP44)</f>
        <v>13.449999999999994</v>
      </c>
      <c r="BY18" s="585" t="s">
        <v>798</v>
      </c>
      <c r="BZ18" s="585" t="s">
        <v>546</v>
      </c>
      <c r="CA18" s="611">
        <v>4.8322580645161297</v>
      </c>
      <c r="CB18" s="611"/>
      <c r="CC18" s="560">
        <f t="shared" si="2"/>
        <v>11</v>
      </c>
      <c r="CD18" s="560">
        <v>4.5999999999999996</v>
      </c>
      <c r="CF18" s="560">
        <v>4</v>
      </c>
      <c r="CG18" s="605">
        <v>3.4240000000000004</v>
      </c>
      <c r="CH18" s="605">
        <v>5.4</v>
      </c>
      <c r="CI18" s="605">
        <v>5.2</v>
      </c>
      <c r="CJ18" s="605">
        <v>4.5999999999999996</v>
      </c>
      <c r="CK18" s="605">
        <v>4</v>
      </c>
      <c r="CL18" s="605">
        <v>4</v>
      </c>
      <c r="CM18" s="576">
        <v>4.4000000000000004</v>
      </c>
      <c r="CN18" s="605">
        <v>4.5999999999999996</v>
      </c>
      <c r="CO18" s="605">
        <v>4.8</v>
      </c>
      <c r="CP18" s="605">
        <v>3.6</v>
      </c>
      <c r="CQ18" s="605">
        <v>4.8</v>
      </c>
      <c r="CR18" s="605">
        <v>4.7</v>
      </c>
      <c r="CS18" s="605">
        <v>4</v>
      </c>
      <c r="DD18" s="561"/>
      <c r="DE18" s="577">
        <v>10.5</v>
      </c>
      <c r="DF18" s="562"/>
      <c r="DG18" s="577"/>
      <c r="DH18" s="577"/>
      <c r="DI18" s="577"/>
      <c r="DJ18" s="577"/>
      <c r="DK18" s="577"/>
      <c r="DL18" s="577">
        <v>1.8</v>
      </c>
      <c r="DM18" s="577">
        <f t="shared" si="0"/>
        <v>3.6</v>
      </c>
      <c r="DN18" s="577" t="s">
        <v>797</v>
      </c>
      <c r="DO18" s="599">
        <v>3.465789473684211</v>
      </c>
      <c r="DP18" s="599">
        <f t="shared" si="1"/>
        <v>0.13421052631578911</v>
      </c>
      <c r="DQ18" s="600">
        <v>1</v>
      </c>
      <c r="DR18" s="600"/>
      <c r="DS18" s="577" t="s">
        <v>778</v>
      </c>
      <c r="DT18" s="577">
        <v>931</v>
      </c>
      <c r="DU18" s="562"/>
      <c r="DV18" s="562"/>
      <c r="DW18" s="625" t="s">
        <v>806</v>
      </c>
      <c r="DX18" s="625">
        <f>COUNT(DP8:DP46)</f>
        <v>36</v>
      </c>
      <c r="DY18" s="607" t="s">
        <v>810</v>
      </c>
      <c r="DZ18" s="607" t="s">
        <v>550</v>
      </c>
    </row>
    <row r="19" spans="2:130" s="560" customFormat="1">
      <c r="C19" s="560">
        <v>0.9</v>
      </c>
      <c r="N19" s="585" t="s">
        <v>813</v>
      </c>
      <c r="O19" s="585" t="s">
        <v>552</v>
      </c>
      <c r="P19" s="561"/>
      <c r="Q19" s="562"/>
      <c r="R19" s="562">
        <v>0.5</v>
      </c>
      <c r="S19" s="562">
        <v>0.6</v>
      </c>
      <c r="T19" s="562"/>
      <c r="U19" s="562"/>
      <c r="V19" s="562"/>
      <c r="W19" s="562"/>
      <c r="X19" s="562"/>
      <c r="Y19" s="562"/>
      <c r="Z19" s="562"/>
      <c r="AA19" s="562"/>
      <c r="AB19" s="562"/>
      <c r="AC19" s="607" t="s">
        <v>813</v>
      </c>
      <c r="AD19" s="608" t="s">
        <v>552</v>
      </c>
      <c r="AE19" s="561"/>
      <c r="AF19" s="568">
        <v>11</v>
      </c>
      <c r="AG19" s="562"/>
      <c r="AH19" s="577">
        <v>0.2</v>
      </c>
      <c r="AI19" s="577" t="s">
        <v>777</v>
      </c>
      <c r="AJ19" s="577">
        <v>1</v>
      </c>
      <c r="AK19" s="577"/>
      <c r="AL19" s="577"/>
      <c r="AM19" s="577"/>
      <c r="AN19" s="562">
        <v>2.5</v>
      </c>
      <c r="AO19" s="562">
        <f t="shared" si="3"/>
        <v>5</v>
      </c>
      <c r="AP19" s="598">
        <v>0.140625</v>
      </c>
      <c r="AQ19" s="599">
        <v>4.3666666666666663</v>
      </c>
      <c r="AR19" s="599">
        <f t="shared" si="4"/>
        <v>0.63333333333333375</v>
      </c>
      <c r="AS19" s="600"/>
      <c r="AT19" s="600">
        <v>1</v>
      </c>
      <c r="AU19" s="577" t="s">
        <v>778</v>
      </c>
      <c r="AV19" s="577">
        <v>1567</v>
      </c>
      <c r="AW19" s="562"/>
      <c r="AX19" s="625" t="s">
        <v>814</v>
      </c>
      <c r="AY19" s="626">
        <f>MIN(AR8:AR41)</f>
        <v>0.14848484848484844</v>
      </c>
      <c r="AZ19" s="562"/>
      <c r="BA19" s="607" t="s">
        <v>813</v>
      </c>
      <c r="BB19" s="608" t="s">
        <v>552</v>
      </c>
      <c r="BD19" s="576">
        <v>8</v>
      </c>
      <c r="BF19" s="576"/>
      <c r="BG19" s="576"/>
      <c r="BH19" s="576"/>
      <c r="BI19" s="576">
        <v>1</v>
      </c>
      <c r="BJ19" s="576"/>
      <c r="BK19" s="576"/>
      <c r="BL19" s="576">
        <v>1.8</v>
      </c>
      <c r="BM19" s="576">
        <f t="shared" si="5"/>
        <v>3.6</v>
      </c>
      <c r="BN19" s="623" t="s">
        <v>779</v>
      </c>
      <c r="BO19" s="611">
        <v>3.921875</v>
      </c>
      <c r="BP19" s="611">
        <f t="shared" si="6"/>
        <v>-0.32187499999999991</v>
      </c>
      <c r="BQ19" s="612"/>
      <c r="BR19" s="612">
        <v>1</v>
      </c>
      <c r="BS19" s="566" t="s">
        <v>127</v>
      </c>
      <c r="BT19" s="576"/>
      <c r="BV19" s="627" t="s">
        <v>811</v>
      </c>
      <c r="BW19" s="628">
        <f>MAX(BP12:BP44)</f>
        <v>1.0218749999999996</v>
      </c>
      <c r="BY19" s="585" t="s">
        <v>800</v>
      </c>
      <c r="BZ19" s="585" t="s">
        <v>801</v>
      </c>
      <c r="CA19" s="611">
        <v>4.838709677419355</v>
      </c>
      <c r="CB19" s="611"/>
      <c r="CC19" s="560">
        <f t="shared" si="2"/>
        <v>12</v>
      </c>
      <c r="CD19" s="560">
        <v>4</v>
      </c>
      <c r="CF19" s="560">
        <v>4</v>
      </c>
      <c r="CG19" s="605">
        <v>4.0659999999999998</v>
      </c>
      <c r="CH19" s="605">
        <v>5.8</v>
      </c>
      <c r="CI19" s="605">
        <v>5</v>
      </c>
      <c r="CJ19" s="605">
        <v>4.5999999999999996</v>
      </c>
      <c r="CK19" s="605">
        <v>4.5999999999999996</v>
      </c>
      <c r="CL19" s="605">
        <v>3.2</v>
      </c>
      <c r="CM19" s="576">
        <v>4.5999999999999996</v>
      </c>
      <c r="CN19" s="605">
        <v>4.8</v>
      </c>
      <c r="CO19" s="605">
        <v>5</v>
      </c>
      <c r="CP19" s="605">
        <v>3</v>
      </c>
      <c r="CQ19" s="605">
        <v>5.2</v>
      </c>
      <c r="CR19" s="605">
        <v>4.5999999999999996</v>
      </c>
      <c r="CS19" s="605">
        <v>4</v>
      </c>
      <c r="DD19" s="561"/>
      <c r="DE19" s="577">
        <v>11</v>
      </c>
      <c r="DF19" s="562"/>
      <c r="DG19" s="577"/>
      <c r="DH19" s="577"/>
      <c r="DI19" s="577"/>
      <c r="DJ19" s="577">
        <v>1</v>
      </c>
      <c r="DK19" s="577"/>
      <c r="DL19" s="577">
        <v>1.8</v>
      </c>
      <c r="DM19" s="577">
        <f t="shared" si="0"/>
        <v>3.6</v>
      </c>
      <c r="DN19" s="606" t="s">
        <v>779</v>
      </c>
      <c r="DO19" s="599">
        <v>3.4473684210526319</v>
      </c>
      <c r="DP19" s="599">
        <f t="shared" si="1"/>
        <v>0.15263157894736823</v>
      </c>
      <c r="DQ19" s="600"/>
      <c r="DR19" s="600">
        <v>1</v>
      </c>
      <c r="DS19" s="577" t="s">
        <v>778</v>
      </c>
      <c r="DT19" s="577"/>
      <c r="DU19" s="562"/>
      <c r="DV19" s="562"/>
      <c r="DW19" s="625" t="s">
        <v>812</v>
      </c>
      <c r="DX19" s="626">
        <f>SUM(DP8:DP46)</f>
        <v>14.102631578947342</v>
      </c>
      <c r="DY19" s="607" t="s">
        <v>813</v>
      </c>
      <c r="DZ19" s="607" t="s">
        <v>552</v>
      </c>
    </row>
    <row r="20" spans="2:130" s="560" customFormat="1">
      <c r="C20" s="560">
        <v>0.9</v>
      </c>
      <c r="N20" s="585" t="s">
        <v>815</v>
      </c>
      <c r="O20" s="585" t="s">
        <v>816</v>
      </c>
      <c r="P20" s="561"/>
      <c r="Q20" s="562"/>
      <c r="R20" s="562">
        <v>0.6</v>
      </c>
      <c r="S20" s="562">
        <v>0.9</v>
      </c>
      <c r="T20" s="562"/>
      <c r="U20" s="562"/>
      <c r="V20" s="562"/>
      <c r="W20" s="562"/>
      <c r="X20" s="562"/>
      <c r="Y20" s="562"/>
      <c r="Z20" s="562"/>
      <c r="AA20" s="562"/>
      <c r="AB20" s="562"/>
      <c r="AC20" s="607" t="s">
        <v>815</v>
      </c>
      <c r="AD20" s="608" t="s">
        <v>816</v>
      </c>
      <c r="AE20" s="561"/>
      <c r="AF20" s="562" t="s">
        <v>778</v>
      </c>
      <c r="AG20" s="562"/>
      <c r="AH20" s="577">
        <v>0.1</v>
      </c>
      <c r="AI20" s="577" t="s">
        <v>802</v>
      </c>
      <c r="AJ20" s="577"/>
      <c r="AK20" s="577"/>
      <c r="AL20" s="577">
        <v>1</v>
      </c>
      <c r="AM20" s="577"/>
      <c r="AN20" s="562"/>
      <c r="AO20" s="562"/>
      <c r="AP20" s="598"/>
      <c r="AQ20" s="599"/>
      <c r="AR20" s="599"/>
      <c r="AS20" s="600"/>
      <c r="AT20" s="600"/>
      <c r="AU20" s="577"/>
      <c r="AV20" s="577">
        <v>1568</v>
      </c>
      <c r="AW20" s="562"/>
      <c r="AX20" s="625" t="s">
        <v>817</v>
      </c>
      <c r="AY20" s="626">
        <f>AVERAGE(AR8:AR41)</f>
        <v>0.49195075757575812</v>
      </c>
      <c r="AZ20" s="562"/>
      <c r="BA20" s="607" t="s">
        <v>815</v>
      </c>
      <c r="BB20" s="608" t="s">
        <v>816</v>
      </c>
      <c r="BD20" s="576">
        <v>9</v>
      </c>
      <c r="BF20" s="576"/>
      <c r="BG20" s="576"/>
      <c r="BH20" s="576"/>
      <c r="BI20" s="576">
        <v>1</v>
      </c>
      <c r="BJ20" s="576"/>
      <c r="BK20" s="576"/>
      <c r="BL20" s="576">
        <v>2.2999999999999998</v>
      </c>
      <c r="BM20" s="576">
        <f t="shared" si="5"/>
        <v>4.5999999999999996</v>
      </c>
      <c r="BN20" s="623" t="s">
        <v>796</v>
      </c>
      <c r="BO20" s="611">
        <v>3.9250000000000003</v>
      </c>
      <c r="BP20" s="611">
        <f t="shared" si="6"/>
        <v>0.67499999999999938</v>
      </c>
      <c r="BQ20" s="612">
        <v>1</v>
      </c>
      <c r="BR20" s="612"/>
      <c r="BS20" s="566" t="s">
        <v>127</v>
      </c>
      <c r="BT20" s="576"/>
      <c r="BV20" s="627" t="s">
        <v>814</v>
      </c>
      <c r="BW20" s="628">
        <f>MIN(BP12:BP44)</f>
        <v>-0.32187499999999991</v>
      </c>
      <c r="BY20" s="585" t="s">
        <v>804</v>
      </c>
      <c r="BZ20" s="585" t="s">
        <v>805</v>
      </c>
      <c r="CC20" s="560">
        <f t="shared" si="2"/>
        <v>13</v>
      </c>
      <c r="CD20" s="560">
        <v>4.4000000000000004</v>
      </c>
      <c r="CF20" s="560">
        <v>4</v>
      </c>
      <c r="CG20" s="605">
        <v>3.8520000000000003</v>
      </c>
      <c r="CH20" s="605">
        <v>5</v>
      </c>
      <c r="CI20" s="605">
        <v>5.2</v>
      </c>
      <c r="CJ20" s="605">
        <v>4.5999999999999996</v>
      </c>
      <c r="CK20" s="605">
        <v>4</v>
      </c>
      <c r="CL20" s="605">
        <v>4.4000000000000004</v>
      </c>
      <c r="CM20" s="576">
        <v>4.4000000000000004</v>
      </c>
      <c r="CN20" s="605">
        <v>4.4000000000000004</v>
      </c>
      <c r="CO20" s="605">
        <v>5.2</v>
      </c>
      <c r="CP20" s="605">
        <v>3.4</v>
      </c>
      <c r="CQ20" s="605">
        <v>5</v>
      </c>
      <c r="CR20" s="605">
        <v>4</v>
      </c>
      <c r="CS20" s="605">
        <v>4</v>
      </c>
      <c r="DD20" s="561"/>
      <c r="DE20" s="577">
        <v>12</v>
      </c>
      <c r="DF20" s="562"/>
      <c r="DG20" s="577">
        <v>1</v>
      </c>
      <c r="DH20" s="577" t="s">
        <v>127</v>
      </c>
      <c r="DI20" s="577">
        <v>1</v>
      </c>
      <c r="DJ20" s="577"/>
      <c r="DK20" s="577"/>
      <c r="DL20" s="577">
        <v>2</v>
      </c>
      <c r="DM20" s="577">
        <f t="shared" si="0"/>
        <v>4</v>
      </c>
      <c r="DN20" s="606" t="s">
        <v>779</v>
      </c>
      <c r="DO20" s="599">
        <v>3.4289473684210532</v>
      </c>
      <c r="DP20" s="599">
        <f t="shared" si="1"/>
        <v>0.57105263157894681</v>
      </c>
      <c r="DQ20" s="600"/>
      <c r="DR20" s="600">
        <v>1</v>
      </c>
      <c r="DS20" s="577" t="s">
        <v>778</v>
      </c>
      <c r="DT20" s="577">
        <v>930</v>
      </c>
      <c r="DU20" s="562"/>
      <c r="DV20" s="562"/>
      <c r="DW20" s="625" t="s">
        <v>811</v>
      </c>
      <c r="DX20" s="626">
        <f>MAX(DP8:DP46)</f>
        <v>2.2499999999999982</v>
      </c>
      <c r="DY20" s="607" t="s">
        <v>815</v>
      </c>
      <c r="DZ20" s="607" t="s">
        <v>816</v>
      </c>
    </row>
    <row r="21" spans="2:130" s="560" customFormat="1">
      <c r="C21" s="560">
        <v>1</v>
      </c>
      <c r="P21" s="561"/>
      <c r="Q21" s="562"/>
      <c r="R21" s="562">
        <v>0.6</v>
      </c>
      <c r="S21" s="562">
        <v>0.5</v>
      </c>
      <c r="T21" s="562"/>
      <c r="U21" s="562"/>
      <c r="V21" s="562"/>
      <c r="W21" s="562"/>
      <c r="X21" s="562"/>
      <c r="Y21" s="562"/>
      <c r="Z21" s="562"/>
      <c r="AA21" s="562"/>
      <c r="AB21" s="562"/>
      <c r="AC21" s="562"/>
      <c r="AD21" s="563"/>
      <c r="AE21" s="561"/>
      <c r="AF21" s="562">
        <v>12</v>
      </c>
      <c r="AG21" s="562"/>
      <c r="AH21" s="577">
        <v>0.7</v>
      </c>
      <c r="AI21" s="577" t="s">
        <v>777</v>
      </c>
      <c r="AJ21" s="577">
        <v>1</v>
      </c>
      <c r="AK21" s="577"/>
      <c r="AL21" s="577"/>
      <c r="AM21" s="577"/>
      <c r="AN21" s="562">
        <v>2.4</v>
      </c>
      <c r="AO21" s="562">
        <f t="shared" ref="AO21:AO41" si="7">AN21+AN21</f>
        <v>4.8</v>
      </c>
      <c r="AP21" s="598">
        <v>0.140625</v>
      </c>
      <c r="AQ21" s="599">
        <v>4.3424242424242419</v>
      </c>
      <c r="AR21" s="599">
        <f t="shared" ref="AR21:AR41" si="8">AO21-AQ21</f>
        <v>0.45757575757575797</v>
      </c>
      <c r="AS21" s="600"/>
      <c r="AT21" s="600">
        <v>1</v>
      </c>
      <c r="AU21" s="577" t="s">
        <v>778</v>
      </c>
      <c r="AV21" s="577">
        <v>1566</v>
      </c>
      <c r="AW21" s="562"/>
      <c r="AX21" s="625" t="s">
        <v>818</v>
      </c>
      <c r="AY21" s="625" t="e">
        <f ca="1">_xlfn.STDEV.S(AR8:AR41)</f>
        <v>#NAME?</v>
      </c>
      <c r="AZ21" s="562"/>
      <c r="BA21" s="562"/>
      <c r="BB21" s="563"/>
      <c r="BD21" s="576">
        <v>10</v>
      </c>
      <c r="BF21" s="576"/>
      <c r="BG21" s="576"/>
      <c r="BH21" s="576"/>
      <c r="BI21" s="576">
        <v>1</v>
      </c>
      <c r="BJ21" s="576"/>
      <c r="BK21" s="576"/>
      <c r="BL21" s="576">
        <v>2.2000000000000002</v>
      </c>
      <c r="BM21" s="576">
        <f t="shared" si="5"/>
        <v>4.4000000000000004</v>
      </c>
      <c r="BN21" s="623" t="s">
        <v>779</v>
      </c>
      <c r="BO21" s="611">
        <v>3.9281250000000001</v>
      </c>
      <c r="BP21" s="611">
        <f t="shared" si="6"/>
        <v>0.47187500000000027</v>
      </c>
      <c r="BQ21" s="612"/>
      <c r="BR21" s="612">
        <v>1</v>
      </c>
      <c r="BS21" s="566" t="s">
        <v>127</v>
      </c>
      <c r="BT21" s="576"/>
      <c r="BV21" s="627" t="s">
        <v>817</v>
      </c>
      <c r="BW21" s="628">
        <f>AVERAGE(BP12:BP44)</f>
        <v>0.40757575757575737</v>
      </c>
      <c r="BY21" s="585" t="s">
        <v>807</v>
      </c>
      <c r="BZ21" s="585" t="s">
        <v>808</v>
      </c>
      <c r="CA21" s="611">
        <v>4.8516129032258073</v>
      </c>
      <c r="CB21" s="611"/>
      <c r="CC21" s="560">
        <f t="shared" si="2"/>
        <v>14</v>
      </c>
      <c r="CD21" s="560">
        <v>4</v>
      </c>
      <c r="CF21" s="560">
        <v>4</v>
      </c>
      <c r="CG21" s="605">
        <v>4.0659999999999998</v>
      </c>
      <c r="CH21" s="605">
        <v>5.4</v>
      </c>
      <c r="CI21" s="605">
        <v>4</v>
      </c>
      <c r="CJ21" s="605">
        <v>4.8</v>
      </c>
      <c r="CK21" s="605">
        <v>4</v>
      </c>
      <c r="CL21" s="605">
        <v>4</v>
      </c>
      <c r="CM21" s="576">
        <v>4.5999999999999996</v>
      </c>
      <c r="CN21" s="605">
        <v>4.5999999999999996</v>
      </c>
      <c r="CO21" s="605">
        <v>4.5999999999999996</v>
      </c>
      <c r="CP21" s="605">
        <v>3.6</v>
      </c>
      <c r="CQ21" s="605">
        <v>5.4</v>
      </c>
      <c r="CR21" s="605">
        <v>4.5999999999999996</v>
      </c>
      <c r="CS21" s="605">
        <v>4</v>
      </c>
      <c r="DD21" s="561"/>
      <c r="DE21" s="577">
        <v>13</v>
      </c>
      <c r="DF21" s="562"/>
      <c r="DG21" s="577"/>
      <c r="DH21" s="577"/>
      <c r="DI21" s="577"/>
      <c r="DJ21" s="577">
        <v>1</v>
      </c>
      <c r="DK21" s="577"/>
      <c r="DL21" s="577">
        <v>2</v>
      </c>
      <c r="DM21" s="577">
        <f t="shared" si="0"/>
        <v>4</v>
      </c>
      <c r="DN21" s="606" t="s">
        <v>779</v>
      </c>
      <c r="DO21" s="599">
        <v>3.4105263157894741</v>
      </c>
      <c r="DP21" s="599">
        <f t="shared" si="1"/>
        <v>0.58947368421052593</v>
      </c>
      <c r="DQ21" s="600"/>
      <c r="DR21" s="600">
        <v>1</v>
      </c>
      <c r="DS21" s="577" t="s">
        <v>778</v>
      </c>
      <c r="DT21" s="562"/>
      <c r="DU21" s="562"/>
      <c r="DV21" s="562"/>
      <c r="DW21" s="625" t="s">
        <v>814</v>
      </c>
      <c r="DX21" s="626">
        <f>MIN(DP8:DP46)</f>
        <v>-0.41315789473684195</v>
      </c>
      <c r="DY21" s="562"/>
      <c r="DZ21" s="562"/>
    </row>
    <row r="22" spans="2:130" s="560" customFormat="1">
      <c r="C22" s="560">
        <v>1</v>
      </c>
      <c r="P22" s="561"/>
      <c r="Q22" s="562"/>
      <c r="R22" s="562">
        <v>0.51</v>
      </c>
      <c r="S22" s="562">
        <v>0.55000000000000004</v>
      </c>
      <c r="T22" s="562"/>
      <c r="U22" s="562"/>
      <c r="V22" s="562"/>
      <c r="W22" s="562"/>
      <c r="X22" s="562"/>
      <c r="Y22" s="562"/>
      <c r="Z22" s="562"/>
      <c r="AA22" s="562"/>
      <c r="AB22" s="562"/>
      <c r="AC22" s="562"/>
      <c r="AD22" s="563"/>
      <c r="AE22" s="561"/>
      <c r="AF22" s="562">
        <v>13</v>
      </c>
      <c r="AG22" s="562"/>
      <c r="AH22" s="577"/>
      <c r="AI22" s="577"/>
      <c r="AJ22" s="577"/>
      <c r="AK22" s="577">
        <v>1</v>
      </c>
      <c r="AL22" s="577"/>
      <c r="AM22" s="577"/>
      <c r="AN22" s="562">
        <v>2.5</v>
      </c>
      <c r="AO22" s="562">
        <f t="shared" si="7"/>
        <v>5</v>
      </c>
      <c r="AP22" s="598">
        <v>0.140625</v>
      </c>
      <c r="AQ22" s="599">
        <v>4.3303030303030301</v>
      </c>
      <c r="AR22" s="599">
        <f t="shared" si="8"/>
        <v>0.6696969696969699</v>
      </c>
      <c r="AS22" s="600"/>
      <c r="AT22" s="600">
        <v>1</v>
      </c>
      <c r="AU22" s="577" t="s">
        <v>778</v>
      </c>
      <c r="AV22" s="577"/>
      <c r="AW22" s="562"/>
      <c r="AX22" s="562"/>
      <c r="AY22" s="562"/>
      <c r="AZ22" s="562"/>
      <c r="BA22" s="607"/>
      <c r="BB22" s="608"/>
      <c r="BD22" s="576">
        <v>11</v>
      </c>
      <c r="BF22" s="576"/>
      <c r="BG22" s="576"/>
      <c r="BH22" s="576"/>
      <c r="BI22" s="576">
        <v>1</v>
      </c>
      <c r="BJ22" s="576"/>
      <c r="BK22" s="576"/>
      <c r="BL22" s="576">
        <v>2.2999999999999998</v>
      </c>
      <c r="BM22" s="576">
        <f t="shared" si="5"/>
        <v>4.5999999999999996</v>
      </c>
      <c r="BN22" s="623" t="s">
        <v>779</v>
      </c>
      <c r="BO22" s="611">
        <v>3.9312500000000004</v>
      </c>
      <c r="BP22" s="611">
        <f t="shared" si="6"/>
        <v>0.66874999999999929</v>
      </c>
      <c r="BQ22" s="612"/>
      <c r="BR22" s="612">
        <v>1</v>
      </c>
      <c r="BS22" s="566" t="s">
        <v>127</v>
      </c>
      <c r="BT22" s="576"/>
      <c r="BV22" s="627" t="s">
        <v>818</v>
      </c>
      <c r="BW22" s="627" t="e">
        <f ca="1">_xlfn.STDEV.S(BP12:BP44)</f>
        <v>#NAME?</v>
      </c>
      <c r="BY22" s="585" t="s">
        <v>810</v>
      </c>
      <c r="BZ22" s="585" t="s">
        <v>550</v>
      </c>
      <c r="CA22" s="611">
        <v>4.8580645161290326</v>
      </c>
      <c r="CB22" s="611"/>
      <c r="CC22" s="560">
        <f t="shared" si="2"/>
        <v>15</v>
      </c>
      <c r="CD22" s="560">
        <v>4</v>
      </c>
      <c r="CF22" s="560">
        <v>4</v>
      </c>
      <c r="CG22" s="605">
        <v>3.6379999999999999</v>
      </c>
      <c r="CH22" s="605">
        <v>6</v>
      </c>
      <c r="CI22" s="605">
        <v>5</v>
      </c>
      <c r="CJ22" s="605">
        <v>4.5999999999999996</v>
      </c>
      <c r="CK22" s="605">
        <v>4.4000000000000004</v>
      </c>
      <c r="CL22" s="605">
        <v>4.5999999999999996</v>
      </c>
      <c r="CM22" s="576">
        <v>4</v>
      </c>
      <c r="CN22" s="605">
        <v>4.4000000000000004</v>
      </c>
      <c r="CO22" s="605">
        <v>4.7</v>
      </c>
      <c r="CP22" s="605">
        <v>3</v>
      </c>
      <c r="CQ22" s="605">
        <v>5.4</v>
      </c>
      <c r="CR22" s="605">
        <v>6</v>
      </c>
      <c r="CS22" s="605">
        <v>4.0999999999999996</v>
      </c>
      <c r="DD22" s="561"/>
      <c r="DE22" s="577">
        <v>14</v>
      </c>
      <c r="DF22" s="562"/>
      <c r="DG22" s="577"/>
      <c r="DH22" s="577"/>
      <c r="DI22" s="577"/>
      <c r="DJ22" s="577">
        <v>1</v>
      </c>
      <c r="DK22" s="577"/>
      <c r="DL22" s="577">
        <v>2.2999999999999998</v>
      </c>
      <c r="DM22" s="577">
        <f t="shared" si="0"/>
        <v>4.5999999999999996</v>
      </c>
      <c r="DN22" s="577" t="s">
        <v>796</v>
      </c>
      <c r="DO22" s="599">
        <v>3.3921052631578954</v>
      </c>
      <c r="DP22" s="599">
        <f t="shared" si="1"/>
        <v>1.2078947368421042</v>
      </c>
      <c r="DQ22" s="600">
        <v>1</v>
      </c>
      <c r="DR22" s="600"/>
      <c r="DS22" s="577" t="s">
        <v>778</v>
      </c>
      <c r="DT22" s="577"/>
      <c r="DU22" s="562"/>
      <c r="DV22" s="562"/>
      <c r="DW22" s="625" t="s">
        <v>817</v>
      </c>
      <c r="DX22" s="626">
        <f>AVERAGE(DP8:DP46)</f>
        <v>0.39173976608187061</v>
      </c>
      <c r="DY22" s="562"/>
      <c r="DZ22" s="562"/>
    </row>
    <row r="23" spans="2:130" s="560" customFormat="1">
      <c r="C23" s="560">
        <v>1</v>
      </c>
      <c r="P23" s="561"/>
      <c r="Q23" s="562"/>
      <c r="R23" s="562">
        <v>0.59</v>
      </c>
      <c r="S23" s="562">
        <v>0.75</v>
      </c>
      <c r="T23" s="562"/>
      <c r="U23" s="562"/>
      <c r="V23" s="562"/>
      <c r="W23" s="562"/>
      <c r="X23" s="562"/>
      <c r="Y23" s="562"/>
      <c r="Z23" s="562"/>
      <c r="AA23" s="562"/>
      <c r="AB23" s="562"/>
      <c r="AC23" s="562"/>
      <c r="AD23" s="563"/>
      <c r="AE23" s="561"/>
      <c r="AF23" s="562">
        <v>14</v>
      </c>
      <c r="AG23" s="562"/>
      <c r="AH23" s="577">
        <v>0.1</v>
      </c>
      <c r="AI23" s="577" t="s">
        <v>777</v>
      </c>
      <c r="AJ23" s="577">
        <v>1</v>
      </c>
      <c r="AK23" s="577"/>
      <c r="AL23" s="577"/>
      <c r="AM23" s="577"/>
      <c r="AN23" s="562">
        <v>2.5</v>
      </c>
      <c r="AO23" s="562">
        <f t="shared" si="7"/>
        <v>5</v>
      </c>
      <c r="AP23" s="598">
        <v>0.140625</v>
      </c>
      <c r="AQ23" s="599">
        <v>4.3181818181818175</v>
      </c>
      <c r="AR23" s="599">
        <f t="shared" si="8"/>
        <v>0.68181818181818254</v>
      </c>
      <c r="AS23" s="600"/>
      <c r="AT23" s="600">
        <v>1</v>
      </c>
      <c r="AU23" s="577" t="s">
        <v>778</v>
      </c>
      <c r="AV23" s="577">
        <v>1565</v>
      </c>
      <c r="AW23" s="562"/>
      <c r="AX23" s="562"/>
      <c r="AY23" s="562"/>
      <c r="AZ23" s="562"/>
      <c r="BA23" s="562"/>
      <c r="BB23" s="563"/>
      <c r="BD23" s="576">
        <v>12</v>
      </c>
      <c r="BF23" s="576"/>
      <c r="BG23" s="576"/>
      <c r="BH23" s="576"/>
      <c r="BI23" s="576">
        <v>1</v>
      </c>
      <c r="BJ23" s="576"/>
      <c r="BK23" s="576"/>
      <c r="BL23" s="576">
        <v>2</v>
      </c>
      <c r="BM23" s="576">
        <f t="shared" si="5"/>
        <v>4</v>
      </c>
      <c r="BN23" s="623" t="s">
        <v>779</v>
      </c>
      <c r="BO23" s="611">
        <v>3.9343750000000002</v>
      </c>
      <c r="BP23" s="611">
        <f t="shared" si="6"/>
        <v>6.5624999999999822E-2</v>
      </c>
      <c r="BQ23" s="612"/>
      <c r="BR23" s="612">
        <v>1</v>
      </c>
      <c r="BS23" s="566" t="s">
        <v>127</v>
      </c>
      <c r="BT23" s="576"/>
      <c r="BY23" s="585" t="s">
        <v>813</v>
      </c>
      <c r="BZ23" s="585" t="s">
        <v>552</v>
      </c>
      <c r="CA23" s="611">
        <v>4.8645161290322587</v>
      </c>
      <c r="CB23" s="611"/>
      <c r="CC23" s="560">
        <f t="shared" si="2"/>
        <v>16</v>
      </c>
      <c r="CD23" s="560">
        <v>4.5999999999999996</v>
      </c>
      <c r="CF23" s="560">
        <v>4</v>
      </c>
      <c r="CG23" s="605">
        <v>3.6379999999999999</v>
      </c>
      <c r="CH23" s="605">
        <v>6</v>
      </c>
      <c r="CI23" s="605">
        <v>4.5999999999999996</v>
      </c>
      <c r="CJ23" s="605">
        <v>4.5999999999999996</v>
      </c>
      <c r="CK23" s="605">
        <v>4</v>
      </c>
      <c r="CL23" s="605">
        <v>4.2</v>
      </c>
      <c r="CM23" s="576">
        <v>4</v>
      </c>
      <c r="CN23" s="605">
        <v>4.5999999999999996</v>
      </c>
      <c r="CO23" s="605">
        <v>5</v>
      </c>
      <c r="CP23" s="605">
        <v>3.4</v>
      </c>
      <c r="CQ23" s="605">
        <v>4.9000000000000004</v>
      </c>
      <c r="CR23" s="605">
        <v>3.4</v>
      </c>
      <c r="CS23" s="605">
        <v>4</v>
      </c>
      <c r="DD23" s="561"/>
      <c r="DE23" s="577">
        <v>14.5</v>
      </c>
      <c r="DF23" s="562"/>
      <c r="DG23" s="577">
        <v>8</v>
      </c>
      <c r="DH23" s="577" t="s">
        <v>793</v>
      </c>
      <c r="DI23" s="577"/>
      <c r="DJ23" s="577">
        <v>1</v>
      </c>
      <c r="DK23" s="577">
        <v>1</v>
      </c>
      <c r="DL23" s="577"/>
      <c r="DM23" s="562"/>
      <c r="DN23" s="577"/>
      <c r="DO23" s="599"/>
      <c r="DP23" s="599"/>
      <c r="DQ23" s="600"/>
      <c r="DR23" s="600"/>
      <c r="DS23" s="562"/>
      <c r="DT23" s="577">
        <v>929</v>
      </c>
      <c r="DU23" s="562" t="s">
        <v>819</v>
      </c>
      <c r="DV23" s="562"/>
      <c r="DW23" s="625" t="s">
        <v>818</v>
      </c>
      <c r="DX23" s="625">
        <f>STDEV(DP8:DP46)</f>
        <v>0.59278445682956027</v>
      </c>
      <c r="DY23" s="562"/>
      <c r="DZ23" s="562"/>
    </row>
    <row r="24" spans="2:130" s="560" customFormat="1">
      <c r="C24" s="560">
        <v>1.1000000000000001</v>
      </c>
      <c r="P24" s="561"/>
      <c r="Q24" s="562"/>
      <c r="R24" s="562">
        <v>0.5</v>
      </c>
      <c r="S24" s="562">
        <v>0.6</v>
      </c>
      <c r="T24" s="562"/>
      <c r="U24" s="562"/>
      <c r="V24" s="562"/>
      <c r="W24" s="562"/>
      <c r="X24" s="562"/>
      <c r="Y24" s="562"/>
      <c r="Z24" s="562"/>
      <c r="AA24" s="562"/>
      <c r="AB24" s="562"/>
      <c r="AC24" s="562"/>
      <c r="AD24" s="563"/>
      <c r="AE24" s="561"/>
      <c r="AF24" s="562">
        <v>15</v>
      </c>
      <c r="AG24" s="562"/>
      <c r="AH24" s="577"/>
      <c r="AI24" s="577"/>
      <c r="AJ24" s="577"/>
      <c r="AK24" s="577">
        <v>1</v>
      </c>
      <c r="AL24" s="577"/>
      <c r="AM24" s="577"/>
      <c r="AN24" s="562">
        <v>2.5</v>
      </c>
      <c r="AO24" s="562">
        <f t="shared" si="7"/>
        <v>5</v>
      </c>
      <c r="AP24" s="598">
        <v>0.140625</v>
      </c>
      <c r="AQ24" s="599">
        <v>4.3060606060606057</v>
      </c>
      <c r="AR24" s="599">
        <f t="shared" si="8"/>
        <v>0.6939393939393943</v>
      </c>
      <c r="AS24" s="600"/>
      <c r="AT24" s="600">
        <v>1</v>
      </c>
      <c r="AU24" s="577" t="s">
        <v>778</v>
      </c>
      <c r="AV24" s="577"/>
      <c r="AW24" s="562"/>
      <c r="AX24" s="562"/>
      <c r="AY24" s="562"/>
      <c r="AZ24" s="562"/>
      <c r="BA24" s="562"/>
      <c r="BB24" s="563"/>
      <c r="BD24" s="576">
        <v>13</v>
      </c>
      <c r="BF24" s="576"/>
      <c r="BG24" s="576"/>
      <c r="BH24" s="576"/>
      <c r="BI24" s="576">
        <v>1</v>
      </c>
      <c r="BJ24" s="576"/>
      <c r="BK24" s="576"/>
      <c r="BL24" s="576">
        <v>2.2000000000000002</v>
      </c>
      <c r="BM24" s="576">
        <f t="shared" si="5"/>
        <v>4.4000000000000004</v>
      </c>
      <c r="BN24" s="623" t="s">
        <v>779</v>
      </c>
      <c r="BO24" s="611">
        <v>3.9375</v>
      </c>
      <c r="BP24" s="611">
        <f t="shared" si="6"/>
        <v>0.46250000000000036</v>
      </c>
      <c r="BQ24" s="612"/>
      <c r="BR24" s="612">
        <v>1</v>
      </c>
      <c r="BS24" s="566" t="s">
        <v>127</v>
      </c>
      <c r="BT24" s="576"/>
      <c r="BY24" s="585" t="s">
        <v>815</v>
      </c>
      <c r="BZ24" s="585" t="s">
        <v>816</v>
      </c>
      <c r="CA24" s="611">
        <v>4.870967741935484</v>
      </c>
      <c r="CB24" s="611"/>
      <c r="CC24" s="560">
        <f t="shared" si="2"/>
        <v>17</v>
      </c>
      <c r="CD24" s="560">
        <v>4</v>
      </c>
      <c r="CF24" s="560">
        <v>4</v>
      </c>
      <c r="CG24" s="605">
        <v>3.6379999999999999</v>
      </c>
      <c r="CH24" s="605">
        <v>5.6</v>
      </c>
      <c r="CI24" s="605">
        <v>4.5999999999999996</v>
      </c>
      <c r="CJ24" s="605">
        <v>5</v>
      </c>
      <c r="CK24" s="605">
        <v>4.5999999999999996</v>
      </c>
      <c r="CL24" s="605">
        <v>2.6</v>
      </c>
      <c r="CM24" s="576">
        <v>4.5999999999999996</v>
      </c>
      <c r="CN24" s="605">
        <v>4.5999999999999996</v>
      </c>
      <c r="CO24" s="605">
        <v>5</v>
      </c>
      <c r="CP24" s="605">
        <v>3.4</v>
      </c>
      <c r="CQ24" s="605">
        <v>5.2</v>
      </c>
      <c r="CR24" s="605">
        <v>7.2</v>
      </c>
      <c r="CS24" s="605">
        <v>4</v>
      </c>
      <c r="DD24" s="561"/>
      <c r="DE24" s="577">
        <v>15</v>
      </c>
      <c r="DF24" s="562"/>
      <c r="DG24" s="577"/>
      <c r="DH24" s="577"/>
      <c r="DI24" s="577"/>
      <c r="DJ24" s="577">
        <v>1</v>
      </c>
      <c r="DK24" s="577"/>
      <c r="DL24" s="577">
        <v>1.9</v>
      </c>
      <c r="DM24" s="577">
        <f t="shared" ref="DM24:DM29" si="9">DL24+DL24</f>
        <v>3.8</v>
      </c>
      <c r="DN24" s="577" t="s">
        <v>803</v>
      </c>
      <c r="DO24" s="599">
        <v>3.3552631578947376</v>
      </c>
      <c r="DP24" s="599">
        <f t="shared" ref="DP24:DP29" si="10">+DM24-DO24</f>
        <v>0.44473684210526221</v>
      </c>
      <c r="DQ24" s="600">
        <v>1</v>
      </c>
      <c r="DR24" s="600"/>
      <c r="DS24" s="577" t="s">
        <v>778</v>
      </c>
      <c r="DT24" s="577"/>
      <c r="DU24" s="562" t="s">
        <v>820</v>
      </c>
      <c r="DV24" s="562"/>
      <c r="DW24" s="562"/>
      <c r="DX24" s="562"/>
      <c r="DY24" s="562"/>
      <c r="DZ24" s="562"/>
    </row>
    <row r="25" spans="2:130" s="560" customFormat="1">
      <c r="C25" s="560">
        <v>1.2</v>
      </c>
      <c r="P25" s="561"/>
      <c r="Q25" s="562"/>
      <c r="R25" s="562">
        <v>0.5</v>
      </c>
      <c r="S25" s="562">
        <v>0.7</v>
      </c>
      <c r="T25" s="562"/>
      <c r="U25" s="562"/>
      <c r="V25" s="562"/>
      <c r="W25" s="562"/>
      <c r="X25" s="562"/>
      <c r="Y25" s="562"/>
      <c r="Z25" s="562"/>
      <c r="AA25" s="562"/>
      <c r="AB25" s="562"/>
      <c r="AC25" s="562"/>
      <c r="AD25" s="563"/>
      <c r="AE25" s="561"/>
      <c r="AF25" s="562">
        <v>16</v>
      </c>
      <c r="AG25" s="562"/>
      <c r="AH25" s="577"/>
      <c r="AI25" s="577"/>
      <c r="AJ25" s="577"/>
      <c r="AK25" s="577">
        <v>1</v>
      </c>
      <c r="AL25" s="577"/>
      <c r="AM25" s="577"/>
      <c r="AN25" s="562">
        <v>2.2999999999999998</v>
      </c>
      <c r="AO25" s="562">
        <f t="shared" si="7"/>
        <v>4.5999999999999996</v>
      </c>
      <c r="AP25" s="598">
        <v>0.140625</v>
      </c>
      <c r="AQ25" s="599">
        <v>4.2939393939393931</v>
      </c>
      <c r="AR25" s="599">
        <f t="shared" si="8"/>
        <v>0.30606060606060659</v>
      </c>
      <c r="AS25" s="600"/>
      <c r="AT25" s="600">
        <v>1</v>
      </c>
      <c r="AU25" s="577" t="s">
        <v>778</v>
      </c>
      <c r="AV25" s="577"/>
      <c r="AW25" s="562"/>
      <c r="AX25" s="562"/>
      <c r="AY25" s="562"/>
      <c r="AZ25" s="562"/>
      <c r="BA25" s="562"/>
      <c r="BB25" s="563"/>
      <c r="BD25" s="576">
        <v>14</v>
      </c>
      <c r="BF25" s="576"/>
      <c r="BG25" s="576"/>
      <c r="BH25" s="576"/>
      <c r="BI25" s="576">
        <v>1</v>
      </c>
      <c r="BJ25" s="576"/>
      <c r="BK25" s="576"/>
      <c r="BL25" s="576">
        <v>2</v>
      </c>
      <c r="BM25" s="576">
        <f t="shared" si="5"/>
        <v>4</v>
      </c>
      <c r="BN25" s="623" t="s">
        <v>796</v>
      </c>
      <c r="BO25" s="611">
        <v>3.9406250000000003</v>
      </c>
      <c r="BP25" s="611">
        <f t="shared" si="6"/>
        <v>5.9374999999999734E-2</v>
      </c>
      <c r="BQ25" s="612">
        <v>1</v>
      </c>
      <c r="BR25" s="612"/>
      <c r="BS25" s="566" t="s">
        <v>127</v>
      </c>
      <c r="BT25" s="576"/>
      <c r="CC25" s="560">
        <f t="shared" si="2"/>
        <v>18</v>
      </c>
      <c r="CD25" s="560">
        <v>4</v>
      </c>
      <c r="CF25" s="560">
        <v>4</v>
      </c>
      <c r="CG25" s="605">
        <v>3.4240000000000004</v>
      </c>
      <c r="CH25" s="605">
        <v>6</v>
      </c>
      <c r="CI25" s="605">
        <v>4.5999999999999996</v>
      </c>
      <c r="CJ25" s="605">
        <v>4.8</v>
      </c>
      <c r="CK25" s="605">
        <v>4.4000000000000004</v>
      </c>
      <c r="CL25" s="605">
        <v>4</v>
      </c>
      <c r="CM25" s="576">
        <v>4</v>
      </c>
      <c r="CN25" s="605">
        <v>4.5999999999999996</v>
      </c>
      <c r="CO25" s="605">
        <v>4.5999999999999996</v>
      </c>
      <c r="CP25" s="605">
        <v>3.2</v>
      </c>
      <c r="CQ25" s="605">
        <v>4.9000000000000004</v>
      </c>
      <c r="CR25" s="605">
        <v>5</v>
      </c>
      <c r="CS25" s="605">
        <v>4.2</v>
      </c>
      <c r="DD25" s="561"/>
      <c r="DE25" s="577">
        <v>16</v>
      </c>
      <c r="DF25" s="562"/>
      <c r="DG25" s="577"/>
      <c r="DH25" s="577"/>
      <c r="DI25" s="577"/>
      <c r="DJ25" s="577">
        <v>1</v>
      </c>
      <c r="DK25" s="577"/>
      <c r="DL25" s="577">
        <v>2</v>
      </c>
      <c r="DM25" s="577">
        <f t="shared" si="9"/>
        <v>4</v>
      </c>
      <c r="DN25" s="577" t="s">
        <v>797</v>
      </c>
      <c r="DO25" s="599">
        <v>3.3368421052631585</v>
      </c>
      <c r="DP25" s="599">
        <f t="shared" si="10"/>
        <v>0.6631578947368415</v>
      </c>
      <c r="DQ25" s="600">
        <v>1</v>
      </c>
      <c r="DR25" s="600"/>
      <c r="DS25" s="577" t="s">
        <v>778</v>
      </c>
      <c r="DT25" s="577"/>
      <c r="DU25" s="562"/>
      <c r="DV25" s="562"/>
      <c r="DW25" s="562"/>
      <c r="DX25" s="562"/>
      <c r="DY25" s="562"/>
      <c r="DZ25" s="562"/>
    </row>
    <row r="26" spans="2:130" s="560" customFormat="1">
      <c r="C26" s="560">
        <v>1.2</v>
      </c>
      <c r="P26" s="561"/>
      <c r="Q26" s="562"/>
      <c r="R26" s="562">
        <v>0.5</v>
      </c>
      <c r="S26" s="562">
        <v>0.55000000000000004</v>
      </c>
      <c r="T26" s="562"/>
      <c r="U26" s="562"/>
      <c r="V26" s="562"/>
      <c r="W26" s="562"/>
      <c r="X26" s="562"/>
      <c r="Y26" s="562"/>
      <c r="Z26" s="562"/>
      <c r="AA26" s="562"/>
      <c r="AB26" s="562"/>
      <c r="AC26" s="562"/>
      <c r="AD26" s="563"/>
      <c r="AE26" s="561"/>
      <c r="AF26" s="562">
        <v>17</v>
      </c>
      <c r="AG26" s="562"/>
      <c r="AH26" s="577"/>
      <c r="AI26" s="577"/>
      <c r="AJ26" s="577"/>
      <c r="AK26" s="577">
        <v>1</v>
      </c>
      <c r="AL26" s="577"/>
      <c r="AM26" s="577"/>
      <c r="AN26" s="562">
        <v>2.5</v>
      </c>
      <c r="AO26" s="562">
        <f t="shared" si="7"/>
        <v>5</v>
      </c>
      <c r="AP26" s="598">
        <v>0.140625</v>
      </c>
      <c r="AQ26" s="599">
        <v>4.2818181818181813</v>
      </c>
      <c r="AR26" s="599">
        <f t="shared" si="8"/>
        <v>0.7181818181818187</v>
      </c>
      <c r="AS26" s="600"/>
      <c r="AT26" s="600">
        <v>1</v>
      </c>
      <c r="AU26" s="577" t="s">
        <v>778</v>
      </c>
      <c r="AV26" s="577"/>
      <c r="AW26" s="625"/>
      <c r="AX26" s="562"/>
      <c r="AY26" s="562"/>
      <c r="AZ26" s="562"/>
      <c r="BA26" s="562"/>
      <c r="BB26" s="563"/>
      <c r="BD26" s="576">
        <v>15</v>
      </c>
      <c r="BF26" s="576">
        <v>0.3</v>
      </c>
      <c r="BG26" s="576" t="s">
        <v>793</v>
      </c>
      <c r="BH26" s="576"/>
      <c r="BI26" s="576">
        <v>1</v>
      </c>
      <c r="BJ26" s="576"/>
      <c r="BK26" s="576">
        <v>1</v>
      </c>
      <c r="BL26" s="576">
        <v>2</v>
      </c>
      <c r="BM26" s="576">
        <f t="shared" si="5"/>
        <v>4</v>
      </c>
      <c r="BN26" s="623" t="s">
        <v>796</v>
      </c>
      <c r="BO26" s="611">
        <v>3.9437500000000001</v>
      </c>
      <c r="BP26" s="611">
        <f t="shared" si="6"/>
        <v>5.6249999999999911E-2</v>
      </c>
      <c r="BQ26" s="612">
        <v>1</v>
      </c>
      <c r="BR26" s="612"/>
      <c r="BS26" s="566" t="s">
        <v>127</v>
      </c>
      <c r="BT26" s="576">
        <v>43</v>
      </c>
      <c r="CC26" s="560">
        <f t="shared" si="2"/>
        <v>19</v>
      </c>
      <c r="CD26" s="560">
        <v>4.2</v>
      </c>
      <c r="CF26" s="560">
        <v>5</v>
      </c>
      <c r="CG26" s="605">
        <v>2.7820000000000005</v>
      </c>
      <c r="CH26" s="605">
        <v>5</v>
      </c>
      <c r="CI26" s="605">
        <v>6.2</v>
      </c>
      <c r="CJ26" s="605">
        <v>4.8</v>
      </c>
      <c r="CK26" s="605">
        <v>4</v>
      </c>
      <c r="CL26" s="605">
        <v>4</v>
      </c>
      <c r="CM26" s="576">
        <v>4.4000000000000004</v>
      </c>
      <c r="CN26" s="605">
        <v>4.5999999999999996</v>
      </c>
      <c r="CO26" s="605">
        <v>5</v>
      </c>
      <c r="CP26" s="605">
        <v>3.4</v>
      </c>
      <c r="CQ26" s="605">
        <v>5</v>
      </c>
      <c r="CR26" s="605">
        <v>5.2</v>
      </c>
      <c r="CS26" s="605">
        <v>4</v>
      </c>
      <c r="DD26" s="561"/>
      <c r="DE26" s="577">
        <v>17</v>
      </c>
      <c r="DF26" s="562"/>
      <c r="DG26" s="577"/>
      <c r="DH26" s="577"/>
      <c r="DI26" s="577"/>
      <c r="DJ26" s="577">
        <v>1</v>
      </c>
      <c r="DK26" s="577"/>
      <c r="DL26" s="577">
        <v>1.95</v>
      </c>
      <c r="DM26" s="577">
        <f t="shared" si="9"/>
        <v>3.9</v>
      </c>
      <c r="DN26" s="606" t="s">
        <v>779</v>
      </c>
      <c r="DO26" s="599">
        <v>3.3184210526315798</v>
      </c>
      <c r="DP26" s="599">
        <f t="shared" si="10"/>
        <v>0.58157894736842008</v>
      </c>
      <c r="DQ26" s="600"/>
      <c r="DR26" s="600">
        <v>1</v>
      </c>
      <c r="DS26" s="577" t="s">
        <v>778</v>
      </c>
      <c r="DT26" s="577"/>
      <c r="DU26" s="562"/>
      <c r="DV26" s="562"/>
      <c r="DW26" s="562"/>
      <c r="DX26" s="562"/>
      <c r="DY26" s="562"/>
      <c r="DZ26" s="562"/>
    </row>
    <row r="27" spans="2:130" s="560" customFormat="1">
      <c r="B27" s="560" t="s">
        <v>821</v>
      </c>
      <c r="P27" s="561"/>
      <c r="Q27" s="562"/>
      <c r="R27" s="562">
        <v>0.81</v>
      </c>
      <c r="S27" s="562">
        <v>0.9</v>
      </c>
      <c r="T27" s="562"/>
      <c r="U27" s="562"/>
      <c r="V27" s="562"/>
      <c r="W27" s="562"/>
      <c r="X27" s="629" t="s">
        <v>822</v>
      </c>
      <c r="Y27" s="562"/>
      <c r="Z27" s="562"/>
      <c r="AA27" s="562"/>
      <c r="AB27" s="562"/>
      <c r="AC27" s="562"/>
      <c r="AD27" s="563"/>
      <c r="AE27" s="561"/>
      <c r="AF27" s="562">
        <v>18</v>
      </c>
      <c r="AG27" s="562"/>
      <c r="AH27" s="577">
        <v>0.3</v>
      </c>
      <c r="AI27" s="577" t="s">
        <v>777</v>
      </c>
      <c r="AJ27" s="577">
        <v>1</v>
      </c>
      <c r="AK27" s="577"/>
      <c r="AL27" s="577"/>
      <c r="AM27" s="577"/>
      <c r="AN27" s="562">
        <v>2.2999999999999998</v>
      </c>
      <c r="AO27" s="562">
        <f t="shared" si="7"/>
        <v>4.5999999999999996</v>
      </c>
      <c r="AP27" s="598">
        <v>0.140625</v>
      </c>
      <c r="AQ27" s="599">
        <v>4.2696969696969695</v>
      </c>
      <c r="AR27" s="599">
        <f t="shared" si="8"/>
        <v>0.3303030303030301</v>
      </c>
      <c r="AS27" s="600"/>
      <c r="AT27" s="600">
        <v>1</v>
      </c>
      <c r="AU27" s="577" t="s">
        <v>778</v>
      </c>
      <c r="AV27" s="577">
        <v>1563</v>
      </c>
      <c r="AW27" s="562"/>
      <c r="AX27" s="562"/>
      <c r="AY27" s="562"/>
      <c r="AZ27" s="562"/>
      <c r="BA27" s="562"/>
      <c r="BB27" s="563"/>
      <c r="BD27" s="576">
        <v>16</v>
      </c>
      <c r="BF27" s="576"/>
      <c r="BG27" s="576"/>
      <c r="BH27" s="576"/>
      <c r="BI27" s="576">
        <v>1</v>
      </c>
      <c r="BJ27" s="576"/>
      <c r="BK27" s="576"/>
      <c r="BL27" s="576">
        <v>2.2999999999999998</v>
      </c>
      <c r="BM27" s="576">
        <f t="shared" si="5"/>
        <v>4.5999999999999996</v>
      </c>
      <c r="BN27" s="623" t="s">
        <v>779</v>
      </c>
      <c r="BO27" s="611">
        <v>3.9468750000000004</v>
      </c>
      <c r="BP27" s="611">
        <f t="shared" si="6"/>
        <v>0.65312499999999929</v>
      </c>
      <c r="BQ27" s="612"/>
      <c r="BR27" s="612">
        <v>1</v>
      </c>
      <c r="BS27" s="566" t="s">
        <v>127</v>
      </c>
      <c r="BT27" s="576"/>
      <c r="CA27" s="611">
        <v>4.8903225806451616</v>
      </c>
      <c r="CB27" s="611"/>
      <c r="CC27" s="560">
        <f t="shared" si="2"/>
        <v>20</v>
      </c>
      <c r="CD27" s="560">
        <v>4</v>
      </c>
      <c r="CF27" s="560">
        <v>4</v>
      </c>
      <c r="CG27" s="605">
        <v>3.4240000000000004</v>
      </c>
      <c r="CH27" s="605">
        <v>6</v>
      </c>
      <c r="CI27" s="605">
        <v>4.8</v>
      </c>
      <c r="CJ27" s="605">
        <v>4.8</v>
      </c>
      <c r="CK27" s="605">
        <v>4</v>
      </c>
      <c r="CL27" s="605">
        <v>4</v>
      </c>
      <c r="CM27" s="576">
        <v>4.5999999999999996</v>
      </c>
      <c r="CN27" s="605">
        <v>4.8</v>
      </c>
      <c r="CO27" s="605">
        <v>5.2</v>
      </c>
      <c r="CP27" s="605">
        <v>3.6</v>
      </c>
      <c r="CQ27" s="605">
        <v>5</v>
      </c>
      <c r="CR27" s="605">
        <v>5.4</v>
      </c>
      <c r="CS27" s="605">
        <v>4</v>
      </c>
      <c r="DD27" s="561"/>
      <c r="DE27" s="577">
        <v>18</v>
      </c>
      <c r="DF27" s="562"/>
      <c r="DG27" s="577"/>
      <c r="DH27" s="577"/>
      <c r="DI27" s="577"/>
      <c r="DJ27" s="577">
        <v>1</v>
      </c>
      <c r="DK27" s="577"/>
      <c r="DL27" s="577">
        <v>1.65</v>
      </c>
      <c r="DM27" s="577">
        <f t="shared" si="9"/>
        <v>3.3</v>
      </c>
      <c r="DN27" s="606" t="s">
        <v>779</v>
      </c>
      <c r="DO27" s="599">
        <v>3.3000000000000007</v>
      </c>
      <c r="DP27" s="599">
        <f t="shared" si="10"/>
        <v>0</v>
      </c>
      <c r="DQ27" s="600"/>
      <c r="DR27" s="600">
        <v>1</v>
      </c>
      <c r="DS27" s="577" t="s">
        <v>778</v>
      </c>
      <c r="DT27" s="577"/>
      <c r="DU27" s="562"/>
      <c r="DV27" s="562"/>
      <c r="DW27" s="562"/>
      <c r="DX27" s="562"/>
      <c r="DY27" s="562"/>
      <c r="DZ27" s="562"/>
    </row>
    <row r="28" spans="2:130" s="560" customFormat="1">
      <c r="C28" s="560">
        <v>1.3</v>
      </c>
      <c r="P28" s="561"/>
      <c r="Q28" s="562"/>
      <c r="R28" s="562">
        <v>0.23</v>
      </c>
      <c r="S28" s="562">
        <v>0.25</v>
      </c>
      <c r="T28" s="562"/>
      <c r="U28" s="562"/>
      <c r="V28" s="562"/>
      <c r="W28" s="562"/>
      <c r="X28" s="629" t="s">
        <v>823</v>
      </c>
      <c r="Y28" s="562"/>
      <c r="Z28" s="562"/>
      <c r="AA28" s="562"/>
      <c r="AB28" s="562"/>
      <c r="AC28" s="562"/>
      <c r="AD28" s="563"/>
      <c r="AE28" s="561"/>
      <c r="AF28" s="562">
        <v>19</v>
      </c>
      <c r="AG28" s="562"/>
      <c r="AH28" s="577"/>
      <c r="AI28" s="577"/>
      <c r="AJ28" s="577"/>
      <c r="AK28" s="577">
        <v>1</v>
      </c>
      <c r="AL28" s="577"/>
      <c r="AM28" s="577"/>
      <c r="AN28" s="562">
        <v>2.35</v>
      </c>
      <c r="AO28" s="562">
        <f t="shared" si="7"/>
        <v>4.7</v>
      </c>
      <c r="AP28" s="598">
        <v>0.140625</v>
      </c>
      <c r="AQ28" s="599">
        <v>4.2575757575757569</v>
      </c>
      <c r="AR28" s="599">
        <f t="shared" si="8"/>
        <v>0.44242424242424327</v>
      </c>
      <c r="AS28" s="600"/>
      <c r="AT28" s="600">
        <v>1</v>
      </c>
      <c r="AU28" s="577" t="s">
        <v>778</v>
      </c>
      <c r="AV28" s="577"/>
      <c r="AW28" s="562"/>
      <c r="AX28" s="562"/>
      <c r="AY28" s="562"/>
      <c r="AZ28" s="562"/>
      <c r="BA28" s="562"/>
      <c r="BB28" s="563"/>
      <c r="BD28" s="576">
        <v>17</v>
      </c>
      <c r="BF28" s="576"/>
      <c r="BG28" s="576"/>
      <c r="BH28" s="576"/>
      <c r="BI28" s="576">
        <v>1</v>
      </c>
      <c r="BJ28" s="576"/>
      <c r="BK28" s="576"/>
      <c r="BL28" s="576">
        <v>2</v>
      </c>
      <c r="BM28" s="576">
        <f t="shared" si="5"/>
        <v>4</v>
      </c>
      <c r="BN28" s="623" t="s">
        <v>796</v>
      </c>
      <c r="BO28" s="611">
        <v>3.95</v>
      </c>
      <c r="BP28" s="611">
        <f t="shared" si="6"/>
        <v>4.9999999999999822E-2</v>
      </c>
      <c r="BQ28" s="612">
        <v>1</v>
      </c>
      <c r="BR28" s="612"/>
      <c r="BS28" s="566" t="s">
        <v>127</v>
      </c>
      <c r="BT28" s="576"/>
      <c r="CC28" s="560">
        <f t="shared" si="2"/>
        <v>21</v>
      </c>
      <c r="CD28" s="560">
        <v>4.5999999999999996</v>
      </c>
      <c r="CF28" s="560">
        <v>4</v>
      </c>
      <c r="CG28" s="605">
        <v>3.8520000000000003</v>
      </c>
      <c r="CH28" s="605">
        <v>5.4</v>
      </c>
      <c r="CI28" s="605">
        <v>4.9000000000000004</v>
      </c>
      <c r="CJ28" s="605">
        <v>4.5999999999999996</v>
      </c>
      <c r="CK28" s="605">
        <v>4.2</v>
      </c>
      <c r="CL28" s="605">
        <v>4</v>
      </c>
      <c r="CM28" s="576">
        <v>4.2</v>
      </c>
      <c r="CN28" s="605">
        <v>4.5999999999999996</v>
      </c>
      <c r="CO28" s="605">
        <v>6</v>
      </c>
      <c r="CP28" s="605">
        <v>3.1</v>
      </c>
      <c r="CQ28" s="605">
        <v>5.2</v>
      </c>
      <c r="CR28" s="605">
        <v>4.4000000000000004</v>
      </c>
      <c r="CS28" s="605">
        <v>4</v>
      </c>
      <c r="DD28" s="561"/>
      <c r="DE28" s="577">
        <v>19</v>
      </c>
      <c r="DF28" s="562"/>
      <c r="DG28" s="577"/>
      <c r="DH28" s="577"/>
      <c r="DI28" s="577"/>
      <c r="DJ28" s="577">
        <v>1</v>
      </c>
      <c r="DK28" s="577"/>
      <c r="DL28" s="577">
        <v>1.7</v>
      </c>
      <c r="DM28" s="577">
        <f t="shared" si="9"/>
        <v>3.4</v>
      </c>
      <c r="DN28" s="606" t="s">
        <v>779</v>
      </c>
      <c r="DO28" s="599">
        <v>3.281578947368422</v>
      </c>
      <c r="DP28" s="599">
        <f t="shared" si="10"/>
        <v>0.11842105263157787</v>
      </c>
      <c r="DQ28" s="600"/>
      <c r="DR28" s="600">
        <v>1</v>
      </c>
      <c r="DS28" s="577" t="s">
        <v>778</v>
      </c>
      <c r="DT28" s="577"/>
      <c r="DU28" s="562"/>
      <c r="DV28" s="562"/>
      <c r="DW28" s="562"/>
      <c r="DX28" s="562"/>
      <c r="DY28" s="562"/>
      <c r="DZ28" s="562"/>
    </row>
    <row r="29" spans="2:130" s="560" customFormat="1">
      <c r="C29" s="560">
        <v>1.3</v>
      </c>
      <c r="P29" s="561"/>
      <c r="Q29" s="562"/>
      <c r="R29" s="562">
        <v>0.3</v>
      </c>
      <c r="S29" s="562">
        <v>0.3</v>
      </c>
      <c r="T29" s="562"/>
      <c r="U29" s="562"/>
      <c r="V29" s="562"/>
      <c r="W29" s="562"/>
      <c r="X29" s="629" t="s">
        <v>824</v>
      </c>
      <c r="Y29" s="562"/>
      <c r="Z29" s="562"/>
      <c r="AA29" s="562"/>
      <c r="AB29" s="562"/>
      <c r="AC29" s="562"/>
      <c r="AD29" s="563"/>
      <c r="AE29" s="561"/>
      <c r="AF29" s="562">
        <v>20</v>
      </c>
      <c r="AG29" s="562"/>
      <c r="AH29" s="577"/>
      <c r="AI29" s="577"/>
      <c r="AJ29" s="577"/>
      <c r="AK29" s="577">
        <v>1</v>
      </c>
      <c r="AL29" s="577"/>
      <c r="AM29" s="577"/>
      <c r="AN29" s="562">
        <v>2.35</v>
      </c>
      <c r="AO29" s="562">
        <f t="shared" si="7"/>
        <v>4.7</v>
      </c>
      <c r="AP29" s="598">
        <v>0.140625</v>
      </c>
      <c r="AQ29" s="599">
        <v>4.2454545454545451</v>
      </c>
      <c r="AR29" s="599">
        <f t="shared" si="8"/>
        <v>0.45454545454545503</v>
      </c>
      <c r="AS29" s="600"/>
      <c r="AT29" s="600">
        <v>1</v>
      </c>
      <c r="AU29" s="577" t="s">
        <v>778</v>
      </c>
      <c r="AV29" s="577"/>
      <c r="AW29" s="562"/>
      <c r="AX29" s="562"/>
      <c r="AY29" s="562"/>
      <c r="AZ29" s="562"/>
      <c r="BA29" s="562"/>
      <c r="BB29" s="563"/>
      <c r="BD29" s="576">
        <v>18</v>
      </c>
      <c r="BF29" s="576"/>
      <c r="BG29" s="576"/>
      <c r="BH29" s="576"/>
      <c r="BI29" s="576">
        <v>1</v>
      </c>
      <c r="BJ29" s="576"/>
      <c r="BK29" s="576"/>
      <c r="BL29" s="576">
        <v>2</v>
      </c>
      <c r="BM29" s="576">
        <f t="shared" si="5"/>
        <v>4</v>
      </c>
      <c r="BN29" s="623" t="s">
        <v>779</v>
      </c>
      <c r="BO29" s="611">
        <v>3.953125</v>
      </c>
      <c r="BP29" s="611">
        <f t="shared" si="6"/>
        <v>4.6875E-2</v>
      </c>
      <c r="BQ29" s="612"/>
      <c r="BR29" s="612">
        <v>1</v>
      </c>
      <c r="BS29" s="566" t="s">
        <v>127</v>
      </c>
      <c r="BT29" s="576"/>
      <c r="CA29" s="611">
        <v>4.903225806451613</v>
      </c>
      <c r="CB29" s="611"/>
      <c r="CC29" s="560">
        <f t="shared" si="2"/>
        <v>22</v>
      </c>
      <c r="CD29" s="560">
        <v>4</v>
      </c>
      <c r="CF29" s="560">
        <v>4</v>
      </c>
      <c r="CG29" s="605">
        <v>3.8520000000000003</v>
      </c>
      <c r="CH29" s="605">
        <v>6</v>
      </c>
      <c r="CI29" s="605">
        <v>4.5999999999999996</v>
      </c>
      <c r="CJ29" s="605">
        <v>4.5999999999999996</v>
      </c>
      <c r="CK29" s="605">
        <v>4</v>
      </c>
      <c r="CL29" s="605">
        <v>4</v>
      </c>
      <c r="CM29" s="576">
        <v>4.4000000000000004</v>
      </c>
      <c r="CN29" s="605">
        <v>4.5999999999999996</v>
      </c>
      <c r="CO29" s="605">
        <v>5</v>
      </c>
      <c r="CP29" s="605">
        <v>3</v>
      </c>
      <c r="CQ29" s="605">
        <v>5.3</v>
      </c>
      <c r="CR29" s="605">
        <v>3.8</v>
      </c>
      <c r="CS29" s="605">
        <v>4</v>
      </c>
      <c r="DD29" s="561"/>
      <c r="DE29" s="577">
        <v>20</v>
      </c>
      <c r="DF29" s="562"/>
      <c r="DG29" s="577"/>
      <c r="DH29" s="577"/>
      <c r="DI29" s="577"/>
      <c r="DJ29" s="577">
        <v>1</v>
      </c>
      <c r="DK29" s="577"/>
      <c r="DL29" s="577">
        <v>1.6</v>
      </c>
      <c r="DM29" s="577">
        <f t="shared" si="9"/>
        <v>3.2</v>
      </c>
      <c r="DN29" s="577" t="s">
        <v>803</v>
      </c>
      <c r="DO29" s="599">
        <v>3.2631578947368429</v>
      </c>
      <c r="DP29" s="599">
        <f t="shared" si="10"/>
        <v>-6.3157894736842746E-2</v>
      </c>
      <c r="DQ29" s="600">
        <v>1</v>
      </c>
      <c r="DR29" s="600"/>
      <c r="DS29" s="577" t="s">
        <v>778</v>
      </c>
      <c r="DT29" s="577"/>
      <c r="DU29" s="568" t="s">
        <v>825</v>
      </c>
      <c r="DV29" s="562"/>
      <c r="DW29" s="562"/>
      <c r="DX29" s="562"/>
      <c r="DY29" s="562"/>
      <c r="DZ29" s="562"/>
    </row>
    <row r="30" spans="2:130" s="560" customFormat="1">
      <c r="C30" s="560">
        <v>1.3</v>
      </c>
      <c r="P30" s="561"/>
      <c r="Q30" s="562"/>
      <c r="R30" s="562">
        <v>0.61</v>
      </c>
      <c r="S30" s="562">
        <v>0.6</v>
      </c>
      <c r="T30" s="562"/>
      <c r="U30" s="630"/>
      <c r="V30" s="562"/>
      <c r="W30" s="562"/>
      <c r="X30" s="562"/>
      <c r="Y30" s="562"/>
      <c r="Z30" s="562"/>
      <c r="AA30" s="562"/>
      <c r="AB30" s="562"/>
      <c r="AC30" s="562"/>
      <c r="AD30" s="563"/>
      <c r="AE30" s="561"/>
      <c r="AF30" s="562">
        <v>21</v>
      </c>
      <c r="AG30" s="562"/>
      <c r="AH30" s="577">
        <v>0.1</v>
      </c>
      <c r="AI30" s="577" t="s">
        <v>826</v>
      </c>
      <c r="AJ30" s="577">
        <v>1</v>
      </c>
      <c r="AK30" s="577"/>
      <c r="AL30" s="577"/>
      <c r="AM30" s="577"/>
      <c r="AN30" s="562">
        <v>2.2999999999999998</v>
      </c>
      <c r="AO30" s="562">
        <f t="shared" si="7"/>
        <v>4.5999999999999996</v>
      </c>
      <c r="AP30" s="598">
        <v>0.140625</v>
      </c>
      <c r="AQ30" s="599">
        <v>4.2333333333333325</v>
      </c>
      <c r="AR30" s="599">
        <f t="shared" si="8"/>
        <v>0.36666666666666714</v>
      </c>
      <c r="AS30" s="600"/>
      <c r="AT30" s="600">
        <v>1</v>
      </c>
      <c r="AU30" s="577" t="s">
        <v>778</v>
      </c>
      <c r="AV30" s="577">
        <v>1560</v>
      </c>
      <c r="AW30" s="577" t="s">
        <v>827</v>
      </c>
      <c r="AX30" s="562"/>
      <c r="AY30" s="562"/>
      <c r="AZ30" s="562"/>
      <c r="BA30" s="562"/>
      <c r="BB30" s="563"/>
      <c r="BD30" s="576">
        <v>19</v>
      </c>
      <c r="BF30" s="576"/>
      <c r="BG30" s="576"/>
      <c r="BH30" s="576"/>
      <c r="BI30" s="576">
        <v>1</v>
      </c>
      <c r="BJ30" s="576"/>
      <c r="BK30" s="576"/>
      <c r="BL30" s="576">
        <v>2.1</v>
      </c>
      <c r="BM30" s="576">
        <f t="shared" si="5"/>
        <v>4.2</v>
      </c>
      <c r="BN30" s="623" t="s">
        <v>779</v>
      </c>
      <c r="BO30" s="611">
        <v>3.9562500000000003</v>
      </c>
      <c r="BP30" s="611">
        <f t="shared" si="6"/>
        <v>0.24374999999999991</v>
      </c>
      <c r="BQ30" s="612"/>
      <c r="BR30" s="612">
        <v>1</v>
      </c>
      <c r="BS30" s="566" t="s">
        <v>127</v>
      </c>
      <c r="BT30" s="576"/>
      <c r="CA30" s="611">
        <v>4.9096774193548391</v>
      </c>
      <c r="CB30" s="611"/>
      <c r="CC30" s="560">
        <f t="shared" si="2"/>
        <v>23</v>
      </c>
      <c r="CD30" s="560">
        <v>4.5999999999999996</v>
      </c>
      <c r="CF30" s="560">
        <v>4.2</v>
      </c>
      <c r="CG30" s="605">
        <v>3.6379999999999999</v>
      </c>
      <c r="CH30" s="605">
        <v>5.4</v>
      </c>
      <c r="CI30" s="605">
        <v>5</v>
      </c>
      <c r="CJ30" s="605">
        <v>4.8</v>
      </c>
      <c r="CK30" s="605">
        <v>4</v>
      </c>
      <c r="CL30" s="605">
        <v>3.5</v>
      </c>
      <c r="CM30" s="576">
        <v>4.2</v>
      </c>
      <c r="CN30" s="605">
        <v>4.8</v>
      </c>
      <c r="CO30" s="605">
        <v>4.5999999999999996</v>
      </c>
      <c r="CP30" s="605">
        <v>3.8</v>
      </c>
      <c r="CQ30" s="605">
        <v>5.4</v>
      </c>
      <c r="CR30" s="605">
        <v>3.8</v>
      </c>
      <c r="CS30" s="605">
        <v>4</v>
      </c>
      <c r="DD30" s="561"/>
      <c r="DE30" s="577">
        <v>20.5</v>
      </c>
      <c r="DF30" s="562"/>
      <c r="DG30" s="577">
        <v>2</v>
      </c>
      <c r="DH30" s="577" t="s">
        <v>828</v>
      </c>
      <c r="DI30" s="577"/>
      <c r="DJ30" s="577"/>
      <c r="DK30" s="577"/>
      <c r="DL30" s="577"/>
      <c r="DM30" s="562"/>
      <c r="DN30" s="577"/>
      <c r="DO30" s="599"/>
      <c r="DP30" s="599"/>
      <c r="DQ30" s="600"/>
      <c r="DR30" s="600"/>
      <c r="DS30" s="562"/>
      <c r="DT30" s="577">
        <v>928</v>
      </c>
      <c r="DU30" s="562"/>
      <c r="DV30" s="562"/>
      <c r="DW30" s="562"/>
      <c r="DX30" s="562"/>
      <c r="DY30" s="562"/>
      <c r="DZ30" s="562"/>
    </row>
    <row r="31" spans="2:130" s="560" customFormat="1">
      <c r="C31" s="560">
        <v>1.2</v>
      </c>
      <c r="P31" s="561"/>
      <c r="Q31" s="562"/>
      <c r="R31" s="562">
        <v>0.4</v>
      </c>
      <c r="S31" s="562">
        <v>0.5</v>
      </c>
      <c r="T31" s="562"/>
      <c r="U31" s="630"/>
      <c r="V31" s="562"/>
      <c r="W31" s="562"/>
      <c r="X31" s="562"/>
      <c r="Y31" s="562"/>
      <c r="Z31" s="562"/>
      <c r="AA31" s="562"/>
      <c r="AB31" s="562"/>
      <c r="AC31" s="562"/>
      <c r="AD31" s="563"/>
      <c r="AE31" s="561"/>
      <c r="AF31" s="562">
        <v>22</v>
      </c>
      <c r="AG31" s="562"/>
      <c r="AH31" s="577"/>
      <c r="AI31" s="577"/>
      <c r="AJ31" s="577"/>
      <c r="AK31" s="577">
        <v>1</v>
      </c>
      <c r="AL31" s="577"/>
      <c r="AM31" s="577"/>
      <c r="AN31" s="562">
        <v>2.5</v>
      </c>
      <c r="AO31" s="562">
        <f t="shared" si="7"/>
        <v>5</v>
      </c>
      <c r="AP31" s="598">
        <v>0.140625</v>
      </c>
      <c r="AQ31" s="599">
        <v>4.2212121212121207</v>
      </c>
      <c r="AR31" s="599">
        <f t="shared" si="8"/>
        <v>0.77878787878787925</v>
      </c>
      <c r="AS31" s="600"/>
      <c r="AT31" s="600">
        <v>1</v>
      </c>
      <c r="AU31" s="577" t="s">
        <v>778</v>
      </c>
      <c r="AV31" s="577"/>
      <c r="AW31" s="562"/>
      <c r="AX31" s="562"/>
      <c r="AY31" s="562"/>
      <c r="AZ31" s="562"/>
      <c r="BA31" s="562"/>
      <c r="BB31" s="563"/>
      <c r="BD31" s="576">
        <v>20</v>
      </c>
      <c r="BF31" s="576"/>
      <c r="BG31" s="576"/>
      <c r="BH31" s="576"/>
      <c r="BI31" s="576">
        <v>1</v>
      </c>
      <c r="BJ31" s="576"/>
      <c r="BK31" s="576"/>
      <c r="BL31" s="576">
        <v>2</v>
      </c>
      <c r="BM31" s="576">
        <f t="shared" si="5"/>
        <v>4</v>
      </c>
      <c r="BN31" s="623" t="s">
        <v>779</v>
      </c>
      <c r="BO31" s="611">
        <v>3.9593750000000001</v>
      </c>
      <c r="BP31" s="611">
        <f t="shared" si="6"/>
        <v>4.0624999999999911E-2</v>
      </c>
      <c r="BQ31" s="612"/>
      <c r="BR31" s="612">
        <v>1</v>
      </c>
      <c r="BS31" s="566" t="s">
        <v>127</v>
      </c>
      <c r="BT31" s="576"/>
      <c r="CA31" s="611">
        <v>4.9161290322580653</v>
      </c>
      <c r="CB31" s="611"/>
      <c r="CC31" s="560">
        <f t="shared" si="2"/>
        <v>24</v>
      </c>
      <c r="CD31" s="560">
        <v>4</v>
      </c>
      <c r="CF31" s="560">
        <v>4</v>
      </c>
      <c r="CG31" s="605">
        <v>3.4240000000000004</v>
      </c>
      <c r="CH31" s="605">
        <v>6</v>
      </c>
      <c r="CI31" s="605">
        <v>5.2</v>
      </c>
      <c r="CJ31" s="605">
        <v>5</v>
      </c>
      <c r="CK31" s="605">
        <v>4.2</v>
      </c>
      <c r="CL31" s="605">
        <v>4</v>
      </c>
      <c r="CM31" s="576">
        <v>4.5999999999999996</v>
      </c>
      <c r="CN31" s="605">
        <v>5</v>
      </c>
      <c r="CO31" s="605">
        <v>4.5999999999999996</v>
      </c>
      <c r="CP31" s="605">
        <v>3.6</v>
      </c>
      <c r="CQ31" s="605">
        <v>5.5</v>
      </c>
      <c r="CR31" s="605">
        <v>4</v>
      </c>
      <c r="CS31" s="605">
        <v>4</v>
      </c>
      <c r="DD31" s="561"/>
      <c r="DE31" s="577">
        <v>21</v>
      </c>
      <c r="DF31" s="562"/>
      <c r="DG31" s="577"/>
      <c r="DH31" s="577"/>
      <c r="DI31" s="577"/>
      <c r="DJ31" s="577">
        <v>1</v>
      </c>
      <c r="DK31" s="577"/>
      <c r="DL31" s="577">
        <v>1.5</v>
      </c>
      <c r="DM31" s="577">
        <f>DL31+DL31</f>
        <v>3</v>
      </c>
      <c r="DN31" s="606" t="s">
        <v>779</v>
      </c>
      <c r="DO31" s="599">
        <v>3.2263157894736851</v>
      </c>
      <c r="DP31" s="599">
        <f t="shared" ref="DP31:DP39" si="11">+DM31-DO31</f>
        <v>-0.22631578947368514</v>
      </c>
      <c r="DQ31" s="600"/>
      <c r="DR31" s="600">
        <v>1</v>
      </c>
      <c r="DS31" s="577" t="s">
        <v>778</v>
      </c>
      <c r="DT31" s="577"/>
      <c r="DU31" s="562"/>
      <c r="DV31" s="562"/>
      <c r="DW31" s="562"/>
      <c r="DX31" s="562"/>
      <c r="DY31" s="562"/>
      <c r="DZ31" s="562"/>
    </row>
    <row r="32" spans="2:130" s="560" customFormat="1">
      <c r="C32" s="560">
        <v>1</v>
      </c>
      <c r="P32" s="561"/>
      <c r="Q32" s="562"/>
      <c r="R32" s="562">
        <v>0.39</v>
      </c>
      <c r="S32" s="562">
        <v>0.5</v>
      </c>
      <c r="T32" s="562"/>
      <c r="U32" s="630"/>
      <c r="V32" s="562"/>
      <c r="W32" s="562"/>
      <c r="X32" s="562"/>
      <c r="Y32" s="562"/>
      <c r="Z32" s="562"/>
      <c r="AA32" s="562"/>
      <c r="AB32" s="562"/>
      <c r="AC32" s="562"/>
      <c r="AD32" s="563"/>
      <c r="AE32" s="561"/>
      <c r="AF32" s="562">
        <v>23</v>
      </c>
      <c r="AG32" s="562"/>
      <c r="AH32" s="577"/>
      <c r="AI32" s="577"/>
      <c r="AJ32" s="577"/>
      <c r="AK32" s="577">
        <v>1</v>
      </c>
      <c r="AL32" s="577"/>
      <c r="AM32" s="577"/>
      <c r="AN32" s="562">
        <v>2.2000000000000002</v>
      </c>
      <c r="AO32" s="562">
        <f t="shared" si="7"/>
        <v>4.4000000000000004</v>
      </c>
      <c r="AP32" s="598">
        <v>0.140625</v>
      </c>
      <c r="AQ32" s="599">
        <v>4.2090909090909081</v>
      </c>
      <c r="AR32" s="599">
        <f t="shared" si="8"/>
        <v>0.19090909090909225</v>
      </c>
      <c r="AS32" s="600"/>
      <c r="AT32" s="600">
        <v>1</v>
      </c>
      <c r="AU32" s="577" t="s">
        <v>778</v>
      </c>
      <c r="AV32" s="577"/>
      <c r="AW32" s="562" t="s">
        <v>829</v>
      </c>
      <c r="AX32" s="562"/>
      <c r="AY32" s="562"/>
      <c r="AZ32" s="562"/>
      <c r="BA32" s="562"/>
      <c r="BB32" s="563"/>
      <c r="BD32" s="576">
        <v>21</v>
      </c>
      <c r="BF32" s="576"/>
      <c r="BG32" s="576"/>
      <c r="BH32" s="576"/>
      <c r="BI32" s="576">
        <v>1</v>
      </c>
      <c r="BJ32" s="576"/>
      <c r="BK32" s="576"/>
      <c r="BL32" s="576">
        <v>2.2999999999999998</v>
      </c>
      <c r="BM32" s="576">
        <f t="shared" si="5"/>
        <v>4.5999999999999996</v>
      </c>
      <c r="BN32" s="623" t="s">
        <v>796</v>
      </c>
      <c r="BO32" s="611">
        <v>3.9625000000000004</v>
      </c>
      <c r="BP32" s="611">
        <f t="shared" si="6"/>
        <v>0.63749999999999929</v>
      </c>
      <c r="BQ32" s="612">
        <v>1</v>
      </c>
      <c r="BR32" s="612"/>
      <c r="BS32" s="566" t="s">
        <v>127</v>
      </c>
      <c r="BT32" s="576"/>
      <c r="CA32" s="611">
        <v>4.9225806451612906</v>
      </c>
      <c r="CB32" s="611"/>
      <c r="CC32" s="560">
        <f t="shared" si="2"/>
        <v>25</v>
      </c>
      <c r="CD32" s="560">
        <v>4.5999999999999996</v>
      </c>
      <c r="CF32" s="560">
        <v>4</v>
      </c>
      <c r="CG32" s="605">
        <v>3.8520000000000003</v>
      </c>
      <c r="CH32" s="605">
        <v>6</v>
      </c>
      <c r="CI32" s="605">
        <v>5.6</v>
      </c>
      <c r="CJ32" s="605">
        <v>4.8</v>
      </c>
      <c r="CK32" s="605">
        <v>4</v>
      </c>
      <c r="CL32" s="605">
        <v>3.6</v>
      </c>
      <c r="CM32" s="576">
        <v>7</v>
      </c>
      <c r="CN32" s="605">
        <v>4.5999999999999996</v>
      </c>
      <c r="CO32" s="605">
        <v>4.4000000000000004</v>
      </c>
      <c r="CP32" s="605">
        <v>3.2</v>
      </c>
      <c r="CQ32" s="605">
        <v>4.4000000000000004</v>
      </c>
      <c r="CR32" s="605">
        <v>4.5999999999999996</v>
      </c>
      <c r="CS32" s="605">
        <v>4</v>
      </c>
      <c r="DD32" s="561"/>
      <c r="DE32" s="577">
        <v>21.5</v>
      </c>
      <c r="DF32" s="562"/>
      <c r="DG32" s="577">
        <v>21</v>
      </c>
      <c r="DH32" s="577" t="s">
        <v>793</v>
      </c>
      <c r="DI32" s="577"/>
      <c r="DJ32" s="577"/>
      <c r="DK32" s="577">
        <v>1</v>
      </c>
      <c r="DL32" s="577"/>
      <c r="DM32" s="562"/>
      <c r="DN32" s="577"/>
      <c r="DO32" s="599"/>
      <c r="DP32" s="599">
        <f t="shared" si="11"/>
        <v>0</v>
      </c>
      <c r="DQ32" s="600"/>
      <c r="DR32" s="600"/>
      <c r="DS32" s="562"/>
      <c r="DT32" s="577" t="s">
        <v>830</v>
      </c>
      <c r="DU32" s="562"/>
      <c r="DV32" s="562"/>
      <c r="DW32" s="562"/>
      <c r="DX32" s="562"/>
      <c r="DY32" s="562"/>
      <c r="DZ32" s="562"/>
    </row>
    <row r="33" spans="1:125" s="560" customFormat="1">
      <c r="C33" s="627">
        <f>COUNT(C9:C32)</f>
        <v>23</v>
      </c>
      <c r="P33" s="561"/>
      <c r="Q33" s="562"/>
      <c r="R33" s="562">
        <v>0.6</v>
      </c>
      <c r="S33" s="562">
        <v>0.8</v>
      </c>
      <c r="T33" s="562"/>
      <c r="U33" s="631"/>
      <c r="V33" s="562"/>
      <c r="W33" s="562"/>
      <c r="X33" s="629" t="s">
        <v>831</v>
      </c>
      <c r="Y33" s="562"/>
      <c r="Z33" s="562"/>
      <c r="AA33" s="562"/>
      <c r="AB33" s="562"/>
      <c r="AC33" s="562"/>
      <c r="AD33" s="563"/>
      <c r="AE33" s="561"/>
      <c r="AF33" s="562">
        <v>24</v>
      </c>
      <c r="AG33" s="562"/>
      <c r="AH33" s="577"/>
      <c r="AI33" s="577"/>
      <c r="AJ33" s="577"/>
      <c r="AK33" s="577">
        <v>1</v>
      </c>
      <c r="AL33" s="577"/>
      <c r="AM33" s="577"/>
      <c r="AN33" s="562">
        <v>2.25</v>
      </c>
      <c r="AO33" s="562">
        <f t="shared" si="7"/>
        <v>4.5</v>
      </c>
      <c r="AP33" s="598">
        <v>0.140625</v>
      </c>
      <c r="AQ33" s="599">
        <v>4.1969696969696964</v>
      </c>
      <c r="AR33" s="599">
        <f t="shared" si="8"/>
        <v>0.30303030303030365</v>
      </c>
      <c r="AS33" s="600"/>
      <c r="AT33" s="600">
        <v>1</v>
      </c>
      <c r="AU33" s="577" t="s">
        <v>778</v>
      </c>
      <c r="AV33" s="577"/>
      <c r="AW33" s="562"/>
      <c r="AX33" s="562"/>
      <c r="AY33" s="562"/>
      <c r="AZ33" s="562"/>
      <c r="BA33" s="562"/>
      <c r="BB33" s="563"/>
      <c r="BD33" s="576">
        <v>22</v>
      </c>
      <c r="BF33" s="576"/>
      <c r="BG33" s="576"/>
      <c r="BH33" s="576"/>
      <c r="BI33" s="576">
        <v>1</v>
      </c>
      <c r="BJ33" s="576"/>
      <c r="BK33" s="576"/>
      <c r="BL33" s="576">
        <v>2</v>
      </c>
      <c r="BM33" s="576">
        <f t="shared" si="5"/>
        <v>4</v>
      </c>
      <c r="BN33" s="623" t="s">
        <v>796</v>
      </c>
      <c r="BO33" s="611">
        <v>3.9656250000000002</v>
      </c>
      <c r="BP33" s="611">
        <f t="shared" si="6"/>
        <v>3.4374999999999822E-2</v>
      </c>
      <c r="BQ33" s="612">
        <v>1</v>
      </c>
      <c r="BR33" s="612"/>
      <c r="BS33" s="566" t="s">
        <v>127</v>
      </c>
      <c r="BT33" s="576"/>
      <c r="CC33" s="560">
        <f t="shared" si="2"/>
        <v>26</v>
      </c>
      <c r="CD33" s="560">
        <v>5</v>
      </c>
      <c r="CF33" s="560">
        <v>4</v>
      </c>
      <c r="CG33" s="605">
        <v>3.6379999999999999</v>
      </c>
      <c r="CH33" s="605">
        <v>5.4</v>
      </c>
      <c r="CI33" s="605"/>
      <c r="CJ33" s="605">
        <v>5</v>
      </c>
      <c r="CK33" s="605">
        <v>4</v>
      </c>
      <c r="CL33" s="605">
        <v>4.2</v>
      </c>
      <c r="CM33" s="576">
        <v>4</v>
      </c>
      <c r="CN33" s="605">
        <v>4.7</v>
      </c>
      <c r="CO33" s="605">
        <v>4</v>
      </c>
      <c r="CP33" s="605">
        <v>3</v>
      </c>
      <c r="CQ33" s="605">
        <v>7.4</v>
      </c>
      <c r="CR33" s="605">
        <v>4</v>
      </c>
      <c r="CS33" s="605">
        <v>4</v>
      </c>
      <c r="DD33" s="561"/>
      <c r="DE33" s="577">
        <v>22</v>
      </c>
      <c r="DF33" s="562"/>
      <c r="DG33" s="577"/>
      <c r="DH33" s="577"/>
      <c r="DI33" s="577"/>
      <c r="DJ33" s="577">
        <v>1</v>
      </c>
      <c r="DK33" s="577"/>
      <c r="DL33" s="577">
        <v>1.7</v>
      </c>
      <c r="DM33" s="577">
        <f>DL33+DL33</f>
        <v>3.4</v>
      </c>
      <c r="DN33" s="606" t="s">
        <v>779</v>
      </c>
      <c r="DO33" s="599">
        <v>3.1894736842105273</v>
      </c>
      <c r="DP33" s="599">
        <f t="shared" si="11"/>
        <v>0.21052631578947256</v>
      </c>
      <c r="DQ33" s="600"/>
      <c r="DR33" s="600">
        <v>1</v>
      </c>
      <c r="DS33" s="577" t="s">
        <v>778</v>
      </c>
      <c r="DT33" s="577"/>
      <c r="DU33" s="562"/>
    </row>
    <row r="34" spans="1:125" s="560" customFormat="1">
      <c r="A34" s="564">
        <v>41129</v>
      </c>
      <c r="B34" s="565" t="s">
        <v>725</v>
      </c>
      <c r="C34" s="565"/>
      <c r="D34" s="565" t="s">
        <v>832</v>
      </c>
      <c r="E34" s="566" t="s">
        <v>727</v>
      </c>
      <c r="F34" s="566" t="s">
        <v>728</v>
      </c>
      <c r="G34" s="566" t="s">
        <v>729</v>
      </c>
      <c r="H34" s="566" t="s">
        <v>730</v>
      </c>
      <c r="I34" s="566" t="s">
        <v>731</v>
      </c>
      <c r="J34" s="565"/>
      <c r="P34" s="561"/>
      <c r="Q34" s="562" t="s">
        <v>821</v>
      </c>
      <c r="R34" s="562"/>
      <c r="S34" s="562"/>
      <c r="T34" s="562"/>
      <c r="U34" s="630"/>
      <c r="V34" s="562"/>
      <c r="W34" s="562"/>
      <c r="X34" s="562"/>
      <c r="Y34" s="562"/>
      <c r="Z34" s="562"/>
      <c r="AA34" s="562"/>
      <c r="AB34" s="562"/>
      <c r="AC34" s="562"/>
      <c r="AD34" s="563"/>
      <c r="AE34" s="561"/>
      <c r="AF34" s="562">
        <v>25</v>
      </c>
      <c r="AG34" s="562"/>
      <c r="AH34" s="577"/>
      <c r="AI34" s="577"/>
      <c r="AJ34" s="577"/>
      <c r="AK34" s="577">
        <v>1</v>
      </c>
      <c r="AL34" s="577"/>
      <c r="AM34" s="577"/>
      <c r="AN34" s="562">
        <v>2.2000000000000002</v>
      </c>
      <c r="AO34" s="562">
        <f t="shared" si="7"/>
        <v>4.4000000000000004</v>
      </c>
      <c r="AP34" s="598">
        <v>0.140625</v>
      </c>
      <c r="AQ34" s="599">
        <v>4.1848484848484846</v>
      </c>
      <c r="AR34" s="599">
        <f t="shared" si="8"/>
        <v>0.21515151515151576</v>
      </c>
      <c r="AS34" s="600"/>
      <c r="AT34" s="600">
        <v>1</v>
      </c>
      <c r="AU34" s="577" t="s">
        <v>778</v>
      </c>
      <c r="AV34" s="577"/>
      <c r="AW34" s="562"/>
      <c r="AX34" s="562"/>
      <c r="AY34" s="562"/>
      <c r="AZ34" s="562"/>
      <c r="BA34" s="562"/>
      <c r="BB34" s="563"/>
      <c r="BD34" s="576">
        <v>23</v>
      </c>
      <c r="BF34" s="576"/>
      <c r="BG34" s="576"/>
      <c r="BH34" s="576"/>
      <c r="BI34" s="576">
        <v>1</v>
      </c>
      <c r="BJ34" s="576"/>
      <c r="BK34" s="576"/>
      <c r="BL34" s="576">
        <v>2.2999999999999998</v>
      </c>
      <c r="BM34" s="576">
        <f t="shared" si="5"/>
        <v>4.5999999999999996</v>
      </c>
      <c r="BN34" s="623" t="s">
        <v>779</v>
      </c>
      <c r="BO34" s="611">
        <v>3.96875</v>
      </c>
      <c r="BP34" s="611">
        <f t="shared" si="6"/>
        <v>0.63124999999999964</v>
      </c>
      <c r="BQ34" s="612"/>
      <c r="BR34" s="612">
        <v>1</v>
      </c>
      <c r="BS34" s="566" t="s">
        <v>127</v>
      </c>
      <c r="BT34" s="576"/>
      <c r="CA34" s="611">
        <v>4.935483870967742</v>
      </c>
      <c r="CB34" s="611"/>
      <c r="CC34" s="560">
        <f t="shared" si="2"/>
        <v>27</v>
      </c>
      <c r="CD34" s="560">
        <v>5</v>
      </c>
      <c r="CF34" s="560">
        <v>4</v>
      </c>
      <c r="CG34" s="605">
        <v>3.8520000000000003</v>
      </c>
      <c r="CI34" s="605"/>
      <c r="CJ34" s="605">
        <v>1</v>
      </c>
      <c r="CK34" s="605">
        <v>4</v>
      </c>
      <c r="CL34" s="605">
        <v>4.5999999999999996</v>
      </c>
      <c r="CM34" s="576">
        <v>4</v>
      </c>
      <c r="CN34" s="605">
        <v>4.8</v>
      </c>
      <c r="CO34" s="605">
        <v>4</v>
      </c>
      <c r="CP34" s="605">
        <v>3</v>
      </c>
      <c r="CQ34" s="605">
        <v>4</v>
      </c>
      <c r="CR34" s="605">
        <v>3.6</v>
      </c>
      <c r="CS34" s="605">
        <v>4</v>
      </c>
      <c r="DD34" s="561"/>
      <c r="DE34" s="577">
        <v>23</v>
      </c>
      <c r="DF34" s="562"/>
      <c r="DG34" s="577"/>
      <c r="DH34" s="577"/>
      <c r="DI34" s="577"/>
      <c r="DJ34" s="577">
        <v>1</v>
      </c>
      <c r="DK34" s="577"/>
      <c r="DL34" s="577">
        <v>1.45</v>
      </c>
      <c r="DM34" s="577">
        <f>DL34+DL34</f>
        <v>2.9</v>
      </c>
      <c r="DN34" s="606" t="s">
        <v>779</v>
      </c>
      <c r="DO34" s="599">
        <v>3.1710526315789487</v>
      </c>
      <c r="DP34" s="599">
        <f t="shared" si="11"/>
        <v>-0.27105263157894877</v>
      </c>
      <c r="DQ34" s="600"/>
      <c r="DR34" s="600">
        <v>1</v>
      </c>
      <c r="DS34" s="577" t="s">
        <v>778</v>
      </c>
      <c r="DT34" s="577"/>
      <c r="DU34" s="562"/>
    </row>
    <row r="35" spans="1:125" s="560" customFormat="1">
      <c r="B35" s="565"/>
      <c r="C35" s="565"/>
      <c r="D35" s="565"/>
      <c r="E35" s="566" t="s">
        <v>833</v>
      </c>
      <c r="F35" s="566" t="s">
        <v>834</v>
      </c>
      <c r="G35" s="576"/>
      <c r="H35" s="576"/>
      <c r="I35" s="576" t="s">
        <v>835</v>
      </c>
      <c r="J35" s="565"/>
      <c r="P35" s="561"/>
      <c r="Q35" s="562"/>
      <c r="R35" s="562">
        <v>0.35</v>
      </c>
      <c r="S35" s="562">
        <v>0.7</v>
      </c>
      <c r="T35" s="562"/>
      <c r="U35" s="630"/>
      <c r="V35" s="562"/>
      <c r="W35" s="562"/>
      <c r="X35" s="629" t="s">
        <v>836</v>
      </c>
      <c r="Y35" s="562"/>
      <c r="Z35" s="562"/>
      <c r="AA35" s="562"/>
      <c r="AB35" s="562"/>
      <c r="AC35" s="562"/>
      <c r="AD35" s="563"/>
      <c r="AE35" s="561"/>
      <c r="AF35" s="562">
        <v>26</v>
      </c>
      <c r="AG35" s="562"/>
      <c r="AH35" s="577"/>
      <c r="AI35" s="577"/>
      <c r="AJ35" s="577"/>
      <c r="AK35" s="577">
        <v>1</v>
      </c>
      <c r="AL35" s="577"/>
      <c r="AM35" s="577"/>
      <c r="AN35" s="562">
        <v>2.25</v>
      </c>
      <c r="AO35" s="562">
        <f t="shared" si="7"/>
        <v>4.5</v>
      </c>
      <c r="AP35" s="598">
        <v>0.140625</v>
      </c>
      <c r="AQ35" s="599">
        <v>4.172727272727272</v>
      </c>
      <c r="AR35" s="599">
        <f t="shared" si="8"/>
        <v>0.32727272727272805</v>
      </c>
      <c r="AS35" s="600"/>
      <c r="AT35" s="600">
        <v>1</v>
      </c>
      <c r="AU35" s="577" t="s">
        <v>778</v>
      </c>
      <c r="AV35" s="577"/>
      <c r="AW35" s="562" t="s">
        <v>837</v>
      </c>
      <c r="AX35" s="562"/>
      <c r="AY35" s="562"/>
      <c r="AZ35" s="562"/>
      <c r="BA35" s="562"/>
      <c r="BB35" s="563"/>
      <c r="BD35" s="576">
        <v>24</v>
      </c>
      <c r="BF35" s="576"/>
      <c r="BG35" s="576"/>
      <c r="BH35" s="576"/>
      <c r="BI35" s="576">
        <v>1</v>
      </c>
      <c r="BJ35" s="576"/>
      <c r="BK35" s="576"/>
      <c r="BL35" s="576">
        <v>2</v>
      </c>
      <c r="BM35" s="576">
        <f t="shared" si="5"/>
        <v>4</v>
      </c>
      <c r="BN35" s="623" t="s">
        <v>796</v>
      </c>
      <c r="BO35" s="611">
        <v>3.9718750000000003</v>
      </c>
      <c r="BP35" s="611">
        <f t="shared" si="6"/>
        <v>2.8124999999999734E-2</v>
      </c>
      <c r="BQ35" s="612">
        <v>1</v>
      </c>
      <c r="BR35" s="612"/>
      <c r="BS35" s="566" t="s">
        <v>127</v>
      </c>
      <c r="BT35" s="576"/>
      <c r="CC35" s="560">
        <f t="shared" si="2"/>
        <v>28</v>
      </c>
      <c r="CD35" s="560">
        <v>4</v>
      </c>
      <c r="CF35" s="560">
        <v>4</v>
      </c>
      <c r="CG35" s="605">
        <v>4.0659999999999998</v>
      </c>
      <c r="CH35" s="605"/>
      <c r="CI35" s="605"/>
      <c r="CJ35" s="605">
        <v>4.5999999999999996</v>
      </c>
      <c r="CK35" s="605">
        <v>4</v>
      </c>
      <c r="CL35" s="605">
        <v>4</v>
      </c>
      <c r="CM35" s="576">
        <v>4.5</v>
      </c>
      <c r="CN35" s="605">
        <v>4.8</v>
      </c>
      <c r="CO35" s="605">
        <v>4.8</v>
      </c>
      <c r="CP35" s="605">
        <v>3.4</v>
      </c>
      <c r="CQ35" s="605">
        <v>5</v>
      </c>
      <c r="CR35" s="605">
        <v>3.8</v>
      </c>
      <c r="CS35" s="605">
        <v>4</v>
      </c>
      <c r="DD35" s="561"/>
      <c r="DE35" s="577">
        <v>24</v>
      </c>
      <c r="DF35" s="562"/>
      <c r="DG35" s="577"/>
      <c r="DH35" s="577"/>
      <c r="DI35" s="577"/>
      <c r="DJ35" s="577">
        <v>1</v>
      </c>
      <c r="DK35" s="577"/>
      <c r="DL35" s="577">
        <v>1.6</v>
      </c>
      <c r="DM35" s="577">
        <f>DL35+DL35</f>
        <v>3.2</v>
      </c>
      <c r="DN35" s="577" t="s">
        <v>796</v>
      </c>
      <c r="DO35" s="599">
        <v>3.1526315789473696</v>
      </c>
      <c r="DP35" s="599">
        <f t="shared" si="11"/>
        <v>4.7368421052630616E-2</v>
      </c>
      <c r="DQ35" s="600">
        <v>1</v>
      </c>
      <c r="DR35" s="600"/>
      <c r="DS35" s="577" t="s">
        <v>778</v>
      </c>
      <c r="DT35" s="577"/>
      <c r="DU35" s="562"/>
    </row>
    <row r="36" spans="1:125" s="560" customFormat="1">
      <c r="A36" s="560" t="s">
        <v>569</v>
      </c>
      <c r="B36" s="581" t="s">
        <v>838</v>
      </c>
      <c r="C36" s="582"/>
      <c r="D36" s="566"/>
      <c r="E36" s="565"/>
      <c r="F36" s="565"/>
      <c r="G36" s="582" t="s">
        <v>839</v>
      </c>
      <c r="H36" s="566"/>
      <c r="I36" s="566"/>
      <c r="J36" s="566"/>
      <c r="P36" s="561"/>
      <c r="Q36" s="562"/>
      <c r="R36" s="562">
        <v>0.23</v>
      </c>
      <c r="S36" s="562">
        <v>0.3</v>
      </c>
      <c r="T36" s="562"/>
      <c r="U36" s="630"/>
      <c r="V36" s="562"/>
      <c r="W36" s="562"/>
      <c r="X36" s="562"/>
      <c r="Y36" s="562"/>
      <c r="Z36" s="562"/>
      <c r="AA36" s="562"/>
      <c r="AB36" s="562"/>
      <c r="AC36" s="562"/>
      <c r="AD36" s="563"/>
      <c r="AE36" s="561"/>
      <c r="AF36" s="562">
        <v>27</v>
      </c>
      <c r="AG36" s="562"/>
      <c r="AH36" s="577">
        <v>0.1</v>
      </c>
      <c r="AI36" s="577" t="s">
        <v>777</v>
      </c>
      <c r="AJ36" s="577">
        <v>1</v>
      </c>
      <c r="AK36" s="577"/>
      <c r="AL36" s="577"/>
      <c r="AM36" s="577"/>
      <c r="AN36" s="562">
        <v>2.2000000000000002</v>
      </c>
      <c r="AO36" s="562">
        <f t="shared" si="7"/>
        <v>4.4000000000000004</v>
      </c>
      <c r="AP36" s="598">
        <v>0.140625</v>
      </c>
      <c r="AQ36" s="599">
        <v>4.1606060606060602</v>
      </c>
      <c r="AR36" s="599">
        <f t="shared" si="8"/>
        <v>0.23939393939394016</v>
      </c>
      <c r="AS36" s="600"/>
      <c r="AT36" s="600">
        <v>1</v>
      </c>
      <c r="AU36" s="577" t="s">
        <v>778</v>
      </c>
      <c r="AV36" s="577">
        <v>1558</v>
      </c>
      <c r="AW36" s="577" t="s">
        <v>840</v>
      </c>
      <c r="AX36" s="562"/>
      <c r="AY36" s="562"/>
      <c r="AZ36" s="562"/>
      <c r="BA36" s="562"/>
      <c r="BB36" s="563"/>
      <c r="BD36" s="576">
        <v>25</v>
      </c>
      <c r="BF36" s="576"/>
      <c r="BG36" s="576"/>
      <c r="BH36" s="576"/>
      <c r="BI36" s="576">
        <v>1</v>
      </c>
      <c r="BJ36" s="576"/>
      <c r="BK36" s="576"/>
      <c r="BL36" s="576">
        <v>2.2999999999999998</v>
      </c>
      <c r="BM36" s="576">
        <f t="shared" si="5"/>
        <v>4.5999999999999996</v>
      </c>
      <c r="BN36" s="623" t="s">
        <v>796</v>
      </c>
      <c r="BO36" s="611">
        <v>3.9750000000000001</v>
      </c>
      <c r="BP36" s="611">
        <f t="shared" si="6"/>
        <v>0.62499999999999956</v>
      </c>
      <c r="BQ36" s="612">
        <v>1</v>
      </c>
      <c r="BR36" s="612"/>
      <c r="BS36" s="566" t="s">
        <v>127</v>
      </c>
      <c r="BT36" s="576"/>
      <c r="CC36" s="560">
        <f t="shared" si="2"/>
        <v>29</v>
      </c>
      <c r="CD36" s="560">
        <v>4.5999999999999996</v>
      </c>
      <c r="CF36" s="560">
        <v>4.2</v>
      </c>
      <c r="CG36" s="605">
        <v>3.6379999999999999</v>
      </c>
      <c r="CH36" s="605"/>
      <c r="CI36" s="605"/>
      <c r="CJ36" s="605"/>
      <c r="CK36" s="605">
        <v>4.5999999999999996</v>
      </c>
      <c r="CL36" s="605">
        <v>3.6</v>
      </c>
      <c r="CM36" s="576">
        <v>4.4000000000000004</v>
      </c>
      <c r="CN36" s="605">
        <v>4.8</v>
      </c>
      <c r="CO36" s="605">
        <v>4.4000000000000004</v>
      </c>
      <c r="CP36" s="605">
        <v>3.2</v>
      </c>
      <c r="CQ36" s="605">
        <v>5.8</v>
      </c>
      <c r="CR36" s="605">
        <v>4</v>
      </c>
      <c r="CS36" s="605">
        <v>4</v>
      </c>
      <c r="DD36" s="561"/>
      <c r="DE36" s="577">
        <v>25</v>
      </c>
      <c r="DF36" s="562"/>
      <c r="DG36" s="577"/>
      <c r="DH36" s="577"/>
      <c r="DI36" s="577"/>
      <c r="DJ36" s="577">
        <v>1</v>
      </c>
      <c r="DK36" s="577"/>
      <c r="DL36" s="577">
        <v>1.8</v>
      </c>
      <c r="DM36" s="577">
        <f>DL36+DL36</f>
        <v>3.6</v>
      </c>
      <c r="DN36" s="606" t="s">
        <v>779</v>
      </c>
      <c r="DO36" s="599">
        <v>3.1342105263157904</v>
      </c>
      <c r="DP36" s="599">
        <f t="shared" si="11"/>
        <v>0.46578947368420964</v>
      </c>
      <c r="DQ36" s="600"/>
      <c r="DR36" s="600">
        <v>1</v>
      </c>
      <c r="DS36" s="577" t="s">
        <v>778</v>
      </c>
      <c r="DT36" s="577"/>
      <c r="DU36" s="562"/>
    </row>
    <row r="37" spans="1:125" s="560" customFormat="1">
      <c r="A37" s="585"/>
      <c r="B37" s="586" t="s">
        <v>755</v>
      </c>
      <c r="C37" s="586" t="s">
        <v>756</v>
      </c>
      <c r="D37" s="586" t="s">
        <v>757</v>
      </c>
      <c r="E37" s="586" t="s">
        <v>758</v>
      </c>
      <c r="F37" s="586" t="s">
        <v>759</v>
      </c>
      <c r="G37" s="586" t="s">
        <v>760</v>
      </c>
      <c r="H37" s="586" t="s">
        <v>761</v>
      </c>
      <c r="I37" s="586" t="s">
        <v>762</v>
      </c>
      <c r="J37" s="586" t="s">
        <v>763</v>
      </c>
      <c r="N37" s="586" t="s">
        <v>764</v>
      </c>
      <c r="O37" s="576"/>
      <c r="P37" s="561"/>
      <c r="Q37" s="562"/>
      <c r="R37" s="562">
        <v>0.7</v>
      </c>
      <c r="S37" s="562">
        <v>0.6</v>
      </c>
      <c r="T37" s="562"/>
      <c r="U37" s="630"/>
      <c r="V37" s="562"/>
      <c r="W37" s="562"/>
      <c r="X37" s="562"/>
      <c r="Y37" s="562"/>
      <c r="Z37" s="562"/>
      <c r="AA37" s="562"/>
      <c r="AB37" s="562"/>
      <c r="AC37" s="562"/>
      <c r="AD37" s="563"/>
      <c r="AE37" s="561"/>
      <c r="AF37" s="562">
        <v>28</v>
      </c>
      <c r="AG37" s="562"/>
      <c r="AH37" s="577"/>
      <c r="AI37" s="577"/>
      <c r="AJ37" s="577"/>
      <c r="AK37" s="577">
        <v>1</v>
      </c>
      <c r="AL37" s="577"/>
      <c r="AM37" s="577"/>
      <c r="AN37" s="562">
        <v>2.25</v>
      </c>
      <c r="AO37" s="562">
        <f t="shared" si="7"/>
        <v>4.5</v>
      </c>
      <c r="AP37" s="598">
        <v>0.140625</v>
      </c>
      <c r="AQ37" s="599">
        <v>4.1484848484848476</v>
      </c>
      <c r="AR37" s="599">
        <f t="shared" si="8"/>
        <v>0.35151515151515245</v>
      </c>
      <c r="AS37" s="600"/>
      <c r="AT37" s="600">
        <v>1</v>
      </c>
      <c r="AU37" s="577" t="s">
        <v>778</v>
      </c>
      <c r="AV37" s="577"/>
      <c r="AW37" s="562" t="s">
        <v>841</v>
      </c>
      <c r="AX37" s="562"/>
      <c r="AY37" s="562"/>
      <c r="AZ37" s="562"/>
      <c r="BA37" s="562"/>
      <c r="BB37" s="563"/>
      <c r="BD37" s="576">
        <v>26</v>
      </c>
      <c r="BF37" s="576"/>
      <c r="BG37" s="576"/>
      <c r="BH37" s="576"/>
      <c r="BI37" s="576">
        <v>1</v>
      </c>
      <c r="BJ37" s="576"/>
      <c r="BK37" s="576"/>
      <c r="BL37" s="576">
        <v>2.5</v>
      </c>
      <c r="BM37" s="576">
        <f t="shared" si="5"/>
        <v>5</v>
      </c>
      <c r="BN37" s="623" t="s">
        <v>779</v>
      </c>
      <c r="BO37" s="611">
        <v>3.9781250000000004</v>
      </c>
      <c r="BP37" s="611">
        <f t="shared" si="6"/>
        <v>1.0218749999999996</v>
      </c>
      <c r="BQ37" s="612"/>
      <c r="BR37" s="612">
        <v>1</v>
      </c>
      <c r="BS37" s="566" t="s">
        <v>127</v>
      </c>
      <c r="BT37" s="576"/>
      <c r="CA37" s="611">
        <v>4.9548387096774196</v>
      </c>
      <c r="CB37" s="611"/>
      <c r="CC37" s="560">
        <f t="shared" si="2"/>
        <v>30</v>
      </c>
      <c r="CD37" s="560">
        <v>5</v>
      </c>
      <c r="CF37" s="560">
        <v>4</v>
      </c>
      <c r="CG37" s="605">
        <v>4.0659999999999998</v>
      </c>
      <c r="CH37" s="605"/>
      <c r="CI37" s="605"/>
      <c r="CJ37" s="605"/>
      <c r="CK37" s="605">
        <v>4.5999999999999996</v>
      </c>
      <c r="CL37" s="605">
        <v>5</v>
      </c>
      <c r="CM37" s="576">
        <v>4.5999999999999996</v>
      </c>
      <c r="CN37" s="605">
        <v>4.7</v>
      </c>
      <c r="CO37" s="605">
        <v>4.5999999999999996</v>
      </c>
      <c r="CP37" s="605">
        <v>3.9</v>
      </c>
      <c r="CQ37" s="605">
        <v>3.2</v>
      </c>
      <c r="CR37" s="605">
        <v>4</v>
      </c>
      <c r="CS37" s="605">
        <v>3.4</v>
      </c>
      <c r="DD37" s="561"/>
      <c r="DE37" s="577">
        <v>25.5</v>
      </c>
      <c r="DF37" s="562"/>
      <c r="DG37" s="577">
        <v>2.4</v>
      </c>
      <c r="DH37" s="577" t="s">
        <v>793</v>
      </c>
      <c r="DI37" s="577"/>
      <c r="DJ37" s="577"/>
      <c r="DK37" s="577">
        <v>1</v>
      </c>
      <c r="DL37" s="577"/>
      <c r="DM37" s="562"/>
      <c r="DN37" s="577"/>
      <c r="DO37" s="599"/>
      <c r="DP37" s="599">
        <f t="shared" si="11"/>
        <v>0</v>
      </c>
      <c r="DQ37" s="600"/>
      <c r="DR37" s="600"/>
      <c r="DS37" s="562"/>
      <c r="DT37" s="577">
        <v>925</v>
      </c>
      <c r="DU37" s="562"/>
    </row>
    <row r="38" spans="1:125" s="560" customFormat="1">
      <c r="B38" s="560" t="s">
        <v>775</v>
      </c>
      <c r="N38" s="576"/>
      <c r="O38" s="576"/>
      <c r="P38" s="561"/>
      <c r="Q38" s="562"/>
      <c r="R38" s="562">
        <v>0.5</v>
      </c>
      <c r="S38" s="562">
        <v>0.55000000000000004</v>
      </c>
      <c r="T38" s="562"/>
      <c r="U38" s="630"/>
      <c r="V38" s="562"/>
      <c r="W38" s="562"/>
      <c r="X38" s="562"/>
      <c r="Y38" s="562"/>
      <c r="Z38" s="562"/>
      <c r="AA38" s="562"/>
      <c r="AB38" s="562"/>
      <c r="AC38" s="562"/>
      <c r="AD38" s="563"/>
      <c r="AE38" s="561"/>
      <c r="AF38" s="562">
        <v>29</v>
      </c>
      <c r="AG38" s="562"/>
      <c r="AH38" s="577"/>
      <c r="AI38" s="577"/>
      <c r="AJ38" s="577"/>
      <c r="AK38" s="577">
        <v>1</v>
      </c>
      <c r="AL38" s="577"/>
      <c r="AM38" s="577"/>
      <c r="AN38" s="562">
        <v>2.25</v>
      </c>
      <c r="AO38" s="562">
        <f t="shared" si="7"/>
        <v>4.5</v>
      </c>
      <c r="AP38" s="598">
        <v>0.140625</v>
      </c>
      <c r="AQ38" s="599">
        <v>4.1363636363636358</v>
      </c>
      <c r="AR38" s="599">
        <f t="shared" si="8"/>
        <v>0.3636363636363642</v>
      </c>
      <c r="AS38" s="600"/>
      <c r="AT38" s="600">
        <v>1</v>
      </c>
      <c r="AU38" s="577" t="s">
        <v>778</v>
      </c>
      <c r="AV38" s="577"/>
      <c r="AW38" s="562"/>
      <c r="AX38" s="562"/>
      <c r="AY38" s="562"/>
      <c r="AZ38" s="562"/>
      <c r="BA38" s="562"/>
      <c r="BB38" s="563"/>
      <c r="BD38" s="576">
        <v>27</v>
      </c>
      <c r="BF38" s="576"/>
      <c r="BG38" s="576"/>
      <c r="BH38" s="576"/>
      <c r="BI38" s="576">
        <v>1</v>
      </c>
      <c r="BJ38" s="576"/>
      <c r="BK38" s="576"/>
      <c r="BL38" s="576">
        <v>2.5</v>
      </c>
      <c r="BM38" s="576">
        <f t="shared" si="5"/>
        <v>5</v>
      </c>
      <c r="BN38" s="623" t="s">
        <v>779</v>
      </c>
      <c r="BO38" s="611">
        <v>3.9812500000000002</v>
      </c>
      <c r="BP38" s="611">
        <f t="shared" si="6"/>
        <v>1.0187499999999998</v>
      </c>
      <c r="BQ38" s="612"/>
      <c r="BR38" s="612">
        <v>1</v>
      </c>
      <c r="BS38" s="566" t="s">
        <v>127</v>
      </c>
      <c r="BT38" s="576"/>
      <c r="CA38" s="611">
        <v>4.9612903225806457</v>
      </c>
      <c r="CB38" s="611"/>
      <c r="CC38" s="560">
        <f t="shared" si="2"/>
        <v>31</v>
      </c>
      <c r="CD38" s="560">
        <v>4.5999999999999996</v>
      </c>
      <c r="CF38" s="560">
        <v>4.2</v>
      </c>
      <c r="CG38" s="605">
        <v>3.8520000000000003</v>
      </c>
      <c r="CH38" s="605"/>
      <c r="CI38" s="605"/>
      <c r="CJ38" s="605"/>
      <c r="CK38" s="605">
        <v>4</v>
      </c>
      <c r="CL38" s="605">
        <v>4.5</v>
      </c>
      <c r="CM38" s="576">
        <v>4.5999999999999996</v>
      </c>
      <c r="CN38" s="605">
        <v>5.2</v>
      </c>
      <c r="CO38" s="605">
        <v>4.5999999999999996</v>
      </c>
      <c r="CP38" s="605">
        <v>3.4</v>
      </c>
      <c r="CQ38" s="605">
        <v>4.5</v>
      </c>
      <c r="CR38" s="605">
        <v>3.8</v>
      </c>
      <c r="CS38" s="605">
        <v>4</v>
      </c>
      <c r="DD38" s="561"/>
      <c r="DE38" s="577">
        <v>26</v>
      </c>
      <c r="DF38" s="562"/>
      <c r="DG38" s="577"/>
      <c r="DH38" s="577"/>
      <c r="DI38" s="577"/>
      <c r="DJ38" s="577">
        <v>1</v>
      </c>
      <c r="DK38" s="577"/>
      <c r="DL38" s="577">
        <v>2.6</v>
      </c>
      <c r="DM38" s="577">
        <f>DL38+DL38</f>
        <v>5.2</v>
      </c>
      <c r="DN38" s="606" t="s">
        <v>779</v>
      </c>
      <c r="DO38" s="599">
        <v>3.0973684210526331</v>
      </c>
      <c r="DP38" s="599">
        <f t="shared" si="11"/>
        <v>2.1026315789473671</v>
      </c>
      <c r="DQ38" s="600"/>
      <c r="DR38" s="600">
        <v>1</v>
      </c>
      <c r="DS38" s="577" t="s">
        <v>778</v>
      </c>
      <c r="DT38" s="577"/>
      <c r="DU38" s="562"/>
    </row>
    <row r="39" spans="1:125" s="560" customFormat="1">
      <c r="C39" s="560">
        <v>0.7</v>
      </c>
      <c r="N39" s="585" t="s">
        <v>780</v>
      </c>
      <c r="O39" s="585" t="s">
        <v>616</v>
      </c>
      <c r="P39" s="561"/>
      <c r="Q39" s="562"/>
      <c r="R39" s="562">
        <v>0.55000000000000004</v>
      </c>
      <c r="S39" s="562">
        <v>0.6</v>
      </c>
      <c r="T39" s="562"/>
      <c r="U39" s="562"/>
      <c r="V39" s="562"/>
      <c r="W39" s="562"/>
      <c r="X39" s="562"/>
      <c r="Y39" s="562"/>
      <c r="Z39" s="562"/>
      <c r="AA39" s="562"/>
      <c r="AB39" s="562"/>
      <c r="AC39" s="562"/>
      <c r="AD39" s="563"/>
      <c r="AE39" s="561"/>
      <c r="AF39" s="562">
        <v>30</v>
      </c>
      <c r="AG39" s="562"/>
      <c r="AH39" s="577"/>
      <c r="AI39" s="577"/>
      <c r="AJ39" s="577"/>
      <c r="AK39" s="577">
        <v>1</v>
      </c>
      <c r="AL39" s="577"/>
      <c r="AM39" s="577"/>
      <c r="AN39" s="562">
        <v>2.2000000000000002</v>
      </c>
      <c r="AO39" s="562">
        <f t="shared" si="7"/>
        <v>4.4000000000000004</v>
      </c>
      <c r="AP39" s="598">
        <v>0.140625</v>
      </c>
      <c r="AQ39" s="599">
        <v>4.1242424242424232</v>
      </c>
      <c r="AR39" s="599">
        <f t="shared" si="8"/>
        <v>0.2757575757575772</v>
      </c>
      <c r="AS39" s="600"/>
      <c r="AT39" s="600">
        <v>1</v>
      </c>
      <c r="AU39" s="577" t="s">
        <v>778</v>
      </c>
      <c r="AV39" s="577"/>
      <c r="AW39" s="562"/>
      <c r="AX39" s="562"/>
      <c r="AY39" s="562"/>
      <c r="AZ39" s="562"/>
      <c r="BA39" s="562"/>
      <c r="BB39" s="563"/>
      <c r="BD39" s="576">
        <v>28</v>
      </c>
      <c r="BF39" s="576"/>
      <c r="BG39" s="576"/>
      <c r="BH39" s="576"/>
      <c r="BI39" s="576">
        <v>1</v>
      </c>
      <c r="BJ39" s="576"/>
      <c r="BK39" s="576"/>
      <c r="BL39" s="576">
        <v>2</v>
      </c>
      <c r="BM39" s="576">
        <f t="shared" si="5"/>
        <v>4</v>
      </c>
      <c r="BN39" s="623" t="s">
        <v>796</v>
      </c>
      <c r="BO39" s="611">
        <v>3.984375</v>
      </c>
      <c r="BP39" s="611">
        <f t="shared" si="6"/>
        <v>1.5625E-2</v>
      </c>
      <c r="BQ39" s="612">
        <v>1</v>
      </c>
      <c r="BR39" s="612"/>
      <c r="BS39" s="566" t="s">
        <v>127</v>
      </c>
      <c r="BT39" s="576"/>
      <c r="CC39" s="560">
        <f t="shared" si="2"/>
        <v>32</v>
      </c>
      <c r="CD39" s="560">
        <v>4.8</v>
      </c>
      <c r="CF39" s="560">
        <v>4</v>
      </c>
      <c r="CG39" s="605">
        <v>3.6379999999999999</v>
      </c>
      <c r="CH39" s="605"/>
      <c r="CI39" s="605"/>
      <c r="CJ39" s="605"/>
      <c r="CK39" s="605">
        <v>4</v>
      </c>
      <c r="CL39" s="605">
        <v>8</v>
      </c>
      <c r="CM39" s="576">
        <v>4.4000000000000004</v>
      </c>
      <c r="CN39" s="605">
        <v>3.8</v>
      </c>
      <c r="CO39" s="605">
        <v>4</v>
      </c>
      <c r="CP39" s="605">
        <v>3</v>
      </c>
      <c r="CQ39" s="605">
        <v>7</v>
      </c>
      <c r="CR39" s="605">
        <v>4</v>
      </c>
      <c r="CS39" s="605">
        <v>4</v>
      </c>
      <c r="DD39" s="561"/>
      <c r="DE39" s="577">
        <v>27</v>
      </c>
      <c r="DF39" s="562"/>
      <c r="DG39" s="577"/>
      <c r="DH39" s="577"/>
      <c r="DI39" s="577"/>
      <c r="DJ39" s="577">
        <v>1</v>
      </c>
      <c r="DK39" s="577"/>
      <c r="DL39" s="577">
        <v>2</v>
      </c>
      <c r="DM39" s="577">
        <f>DL39+DL39</f>
        <v>4</v>
      </c>
      <c r="DN39" s="606" t="s">
        <v>779</v>
      </c>
      <c r="DO39" s="599">
        <v>3.078947368421054</v>
      </c>
      <c r="DP39" s="599">
        <f t="shared" si="11"/>
        <v>0.92105263157894601</v>
      </c>
      <c r="DQ39" s="600"/>
      <c r="DR39" s="600">
        <v>1</v>
      </c>
      <c r="DS39" s="577" t="s">
        <v>778</v>
      </c>
      <c r="DT39" s="577"/>
      <c r="DU39" s="562"/>
    </row>
    <row r="40" spans="1:125" s="560" customFormat="1">
      <c r="C40" s="560">
        <v>0.7</v>
      </c>
      <c r="N40" s="585" t="s">
        <v>785</v>
      </c>
      <c r="O40" s="585" t="s">
        <v>542</v>
      </c>
      <c r="P40" s="561"/>
      <c r="Q40" s="562"/>
      <c r="R40" s="562">
        <v>0.5</v>
      </c>
      <c r="S40" s="562">
        <v>0.65</v>
      </c>
      <c r="T40" s="562"/>
      <c r="U40" s="562"/>
      <c r="V40" s="562"/>
      <c r="W40" s="562"/>
      <c r="X40" s="562"/>
      <c r="Y40" s="562"/>
      <c r="Z40" s="562"/>
      <c r="AA40" s="562"/>
      <c r="AB40" s="562"/>
      <c r="AC40" s="562"/>
      <c r="AD40" s="563"/>
      <c r="AE40" s="561"/>
      <c r="AF40" s="562">
        <v>31</v>
      </c>
      <c r="AG40" s="562"/>
      <c r="AH40" s="577">
        <v>0.5</v>
      </c>
      <c r="AI40" s="577" t="s">
        <v>777</v>
      </c>
      <c r="AJ40" s="577">
        <v>1</v>
      </c>
      <c r="AK40" s="577"/>
      <c r="AL40" s="577"/>
      <c r="AM40" s="577"/>
      <c r="AN40" s="562">
        <v>2.25</v>
      </c>
      <c r="AO40" s="562">
        <f t="shared" si="7"/>
        <v>4.5</v>
      </c>
      <c r="AP40" s="598">
        <v>0.140625</v>
      </c>
      <c r="AQ40" s="599">
        <v>4.1121212121212114</v>
      </c>
      <c r="AR40" s="599">
        <f t="shared" si="8"/>
        <v>0.3878787878787886</v>
      </c>
      <c r="AS40" s="600"/>
      <c r="AT40" s="600">
        <v>1</v>
      </c>
      <c r="AU40" s="577" t="s">
        <v>778</v>
      </c>
      <c r="AV40" s="577">
        <v>1557</v>
      </c>
      <c r="AW40" s="562"/>
      <c r="AX40" s="562"/>
      <c r="AY40" s="562"/>
      <c r="AZ40" s="562"/>
      <c r="BA40" s="562"/>
      <c r="BB40" s="563"/>
      <c r="BD40" s="576">
        <v>29</v>
      </c>
      <c r="BF40" s="576"/>
      <c r="BG40" s="576"/>
      <c r="BH40" s="576"/>
      <c r="BI40" s="576">
        <v>1</v>
      </c>
      <c r="BJ40" s="576"/>
      <c r="BK40" s="576"/>
      <c r="BL40" s="576">
        <v>2.2999999999999998</v>
      </c>
      <c r="BM40" s="576">
        <f t="shared" si="5"/>
        <v>4.5999999999999996</v>
      </c>
      <c r="BN40" s="623" t="s">
        <v>796</v>
      </c>
      <c r="BO40" s="611">
        <v>3.9875000000000003</v>
      </c>
      <c r="BP40" s="611">
        <f t="shared" si="6"/>
        <v>0.61249999999999938</v>
      </c>
      <c r="BQ40" s="612">
        <v>1</v>
      </c>
      <c r="BR40" s="612"/>
      <c r="BS40" s="566" t="s">
        <v>127</v>
      </c>
      <c r="BT40" s="576"/>
      <c r="CC40" s="560">
        <f t="shared" si="2"/>
        <v>33</v>
      </c>
      <c r="CD40" s="560">
        <v>5</v>
      </c>
      <c r="CG40" s="605">
        <v>3.8520000000000003</v>
      </c>
      <c r="CH40" s="605"/>
      <c r="CI40" s="605"/>
      <c r="CJ40" s="605"/>
      <c r="CK40" s="605">
        <v>5.6</v>
      </c>
      <c r="CL40" s="605"/>
      <c r="CM40" s="576">
        <v>4</v>
      </c>
      <c r="CN40" s="605"/>
      <c r="CO40" s="605"/>
      <c r="CP40" s="605">
        <v>3.4</v>
      </c>
      <c r="CQ40" s="605">
        <v>5</v>
      </c>
      <c r="CR40" s="605">
        <v>20</v>
      </c>
      <c r="DD40" s="561"/>
      <c r="DE40" s="577">
        <v>27.5</v>
      </c>
      <c r="DF40" s="562"/>
      <c r="DG40" s="577">
        <v>0.4</v>
      </c>
      <c r="DH40" s="577" t="s">
        <v>793</v>
      </c>
      <c r="DI40" s="577"/>
      <c r="DJ40" s="577"/>
      <c r="DK40" s="577">
        <v>1</v>
      </c>
      <c r="DL40" s="577"/>
      <c r="DM40" s="562"/>
      <c r="DN40" s="577"/>
      <c r="DO40" s="599"/>
      <c r="DP40" s="599"/>
      <c r="DQ40" s="600"/>
      <c r="DR40" s="600"/>
      <c r="DS40" s="562"/>
      <c r="DT40" s="577">
        <v>924</v>
      </c>
      <c r="DU40" s="562"/>
    </row>
    <row r="41" spans="1:125" s="560" customFormat="1">
      <c r="C41" s="560">
        <v>0.7</v>
      </c>
      <c r="N41" s="585" t="s">
        <v>789</v>
      </c>
      <c r="O41" s="585" t="s">
        <v>790</v>
      </c>
      <c r="P41" s="561"/>
      <c r="Q41" s="562"/>
      <c r="R41" s="562">
        <v>0.61</v>
      </c>
      <c r="S41" s="562">
        <v>0.65</v>
      </c>
      <c r="T41" s="562"/>
      <c r="U41" s="562"/>
      <c r="V41" s="562"/>
      <c r="W41" s="562"/>
      <c r="X41" s="562"/>
      <c r="Y41" s="562"/>
      <c r="Z41" s="562"/>
      <c r="AA41" s="562"/>
      <c r="AB41" s="562"/>
      <c r="AC41" s="562"/>
      <c r="AD41" s="563"/>
      <c r="AE41" s="561"/>
      <c r="AF41" s="562">
        <v>32</v>
      </c>
      <c r="AG41" s="562"/>
      <c r="AH41" s="577"/>
      <c r="AI41" s="577"/>
      <c r="AJ41" s="577"/>
      <c r="AK41" s="577">
        <v>1</v>
      </c>
      <c r="AL41" s="577"/>
      <c r="AM41" s="577"/>
      <c r="AN41" s="562">
        <v>2.25</v>
      </c>
      <c r="AO41" s="562">
        <f t="shared" si="7"/>
        <v>4.5</v>
      </c>
      <c r="AP41" s="598">
        <v>0.140625</v>
      </c>
      <c r="AQ41" s="599">
        <v>4.0999999999999996</v>
      </c>
      <c r="AR41" s="599">
        <f t="shared" si="8"/>
        <v>0.40000000000000036</v>
      </c>
      <c r="AS41" s="600"/>
      <c r="AT41" s="600">
        <v>1</v>
      </c>
      <c r="AU41" s="577" t="s">
        <v>778</v>
      </c>
      <c r="AV41" s="577"/>
      <c r="AW41" s="562" t="s">
        <v>842</v>
      </c>
      <c r="AX41" s="562"/>
      <c r="AY41" s="562"/>
      <c r="AZ41" s="562"/>
      <c r="BA41" s="562"/>
      <c r="BB41" s="563"/>
      <c r="BD41" s="576">
        <v>30</v>
      </c>
      <c r="BF41" s="576"/>
      <c r="BG41" s="576"/>
      <c r="BH41" s="576"/>
      <c r="BI41" s="576">
        <v>1</v>
      </c>
      <c r="BJ41" s="576"/>
      <c r="BK41" s="576"/>
      <c r="BL41" s="576">
        <v>2.5</v>
      </c>
      <c r="BM41" s="576">
        <f t="shared" si="5"/>
        <v>5</v>
      </c>
      <c r="BN41" s="623" t="s">
        <v>779</v>
      </c>
      <c r="BO41" s="611">
        <v>3.9906250000000001</v>
      </c>
      <c r="BP41" s="611">
        <f t="shared" si="6"/>
        <v>1.0093749999999999</v>
      </c>
      <c r="BQ41" s="612"/>
      <c r="BR41" s="612">
        <v>1</v>
      </c>
      <c r="BS41" s="566" t="s">
        <v>127</v>
      </c>
      <c r="BT41" s="576"/>
      <c r="CA41" s="611">
        <v>4.9806451612903233</v>
      </c>
      <c r="CB41" s="611"/>
      <c r="CC41" s="560">
        <f t="shared" si="2"/>
        <v>34</v>
      </c>
      <c r="CG41" s="605">
        <v>4.0659999999999998</v>
      </c>
      <c r="CH41" s="605"/>
      <c r="CI41" s="605"/>
      <c r="CJ41" s="605"/>
      <c r="CL41" s="605"/>
      <c r="CM41" s="605"/>
      <c r="CN41" s="605"/>
      <c r="CO41" s="605"/>
      <c r="CP41" s="605">
        <v>3.8</v>
      </c>
      <c r="CQ41" s="605">
        <v>5.6</v>
      </c>
      <c r="CS41" s="605"/>
      <c r="DD41" s="561"/>
      <c r="DE41" s="577">
        <v>28</v>
      </c>
      <c r="DF41" s="562"/>
      <c r="DG41" s="577"/>
      <c r="DH41" s="577"/>
      <c r="DI41" s="577"/>
      <c r="DJ41" s="577">
        <v>1</v>
      </c>
      <c r="DK41" s="577"/>
      <c r="DL41" s="577">
        <v>1.5</v>
      </c>
      <c r="DM41" s="577">
        <f t="shared" ref="DM41:DM46" si="12">DL41+DL41</f>
        <v>3</v>
      </c>
      <c r="DN41" s="606" t="s">
        <v>779</v>
      </c>
      <c r="DO41" s="599">
        <v>3.0421052631578962</v>
      </c>
      <c r="DP41" s="599">
        <f t="shared" ref="DP41:DP46" si="13">+DM41-DO41</f>
        <v>-4.21052631578962E-2</v>
      </c>
      <c r="DQ41" s="600"/>
      <c r="DR41" s="600">
        <v>1</v>
      </c>
      <c r="DS41" s="577" t="s">
        <v>778</v>
      </c>
      <c r="DT41" s="577"/>
      <c r="DU41" s="562"/>
    </row>
    <row r="42" spans="1:125" s="560" customFormat="1">
      <c r="C42" s="560">
        <v>0.78</v>
      </c>
      <c r="N42" s="585" t="s">
        <v>791</v>
      </c>
      <c r="O42" s="585" t="s">
        <v>792</v>
      </c>
      <c r="P42" s="561"/>
      <c r="Q42" s="562"/>
      <c r="R42" s="562">
        <v>0.5</v>
      </c>
      <c r="S42" s="562">
        <v>0.62</v>
      </c>
      <c r="T42" s="562"/>
      <c r="U42" s="562"/>
      <c r="V42" s="562"/>
      <c r="W42" s="562"/>
      <c r="X42" s="562"/>
      <c r="Y42" s="562"/>
      <c r="Z42" s="562"/>
      <c r="AA42" s="562"/>
      <c r="AB42" s="562"/>
      <c r="AC42" s="562"/>
      <c r="AD42" s="563"/>
      <c r="AE42" s="561"/>
      <c r="AF42" s="562"/>
      <c r="AG42" s="562"/>
      <c r="AH42" s="562"/>
      <c r="AI42" s="562"/>
      <c r="AJ42" s="632">
        <f>SUM(AJ8:AJ41)</f>
        <v>10</v>
      </c>
      <c r="AK42" s="632">
        <f>SUM(AK8:AK41)</f>
        <v>22</v>
      </c>
      <c r="AL42" s="633">
        <f>SUM(AL8:AL41)</f>
        <v>1</v>
      </c>
      <c r="AM42" s="634"/>
      <c r="AN42" s="562"/>
      <c r="AO42" s="635">
        <f>SUM(AO8:AO41)</f>
        <v>153.1</v>
      </c>
      <c r="AP42" s="577"/>
      <c r="AQ42" s="636">
        <f>SUM(AQ8:AQ41)</f>
        <v>137.35757575757575</v>
      </c>
      <c r="AR42" s="636">
        <f>SUM(AR8:AR41)</f>
        <v>15.74242424242426</v>
      </c>
      <c r="AS42" s="600"/>
      <c r="AT42" s="637">
        <f>SUM(AT8:AT41)</f>
        <v>32</v>
      </c>
      <c r="AU42" s="562"/>
      <c r="AV42" s="562"/>
      <c r="AW42" s="562"/>
      <c r="AX42" s="562"/>
      <c r="AY42" s="562"/>
      <c r="AZ42" s="562"/>
      <c r="BA42" s="562"/>
      <c r="BB42" s="563"/>
      <c r="BD42" s="576">
        <v>31</v>
      </c>
      <c r="BF42" s="576">
        <v>2</v>
      </c>
      <c r="BG42" s="576" t="s">
        <v>802</v>
      </c>
      <c r="BH42" s="576"/>
      <c r="BI42" s="576">
        <v>1</v>
      </c>
      <c r="BJ42" s="576">
        <v>1</v>
      </c>
      <c r="BK42" s="576"/>
      <c r="BL42" s="576">
        <v>2.2999999999999998</v>
      </c>
      <c r="BM42" s="576">
        <f t="shared" si="5"/>
        <v>4.5999999999999996</v>
      </c>
      <c r="BN42" s="623" t="s">
        <v>796</v>
      </c>
      <c r="BO42" s="611">
        <v>3.9937500000000004</v>
      </c>
      <c r="BP42" s="611">
        <f t="shared" si="6"/>
        <v>0.60624999999999929</v>
      </c>
      <c r="BQ42" s="612">
        <v>1</v>
      </c>
      <c r="BR42" s="612"/>
      <c r="BS42" s="566" t="s">
        <v>127</v>
      </c>
      <c r="BT42" s="576">
        <v>45</v>
      </c>
      <c r="CC42" s="560">
        <f t="shared" si="2"/>
        <v>35</v>
      </c>
      <c r="CG42" s="605">
        <v>4.0659999999999998</v>
      </c>
      <c r="CH42" s="605"/>
      <c r="CI42" s="605"/>
      <c r="CJ42" s="605"/>
      <c r="CL42" s="605"/>
      <c r="CM42" s="605"/>
      <c r="CN42" s="605"/>
      <c r="CO42" s="605"/>
      <c r="CP42" s="605">
        <v>4</v>
      </c>
      <c r="CS42" s="605"/>
      <c r="DD42" s="561"/>
      <c r="DE42" s="577">
        <v>29</v>
      </c>
      <c r="DF42" s="562"/>
      <c r="DG42" s="577"/>
      <c r="DH42" s="577"/>
      <c r="DI42" s="577"/>
      <c r="DJ42" s="577">
        <v>1</v>
      </c>
      <c r="DK42" s="577"/>
      <c r="DL42" s="577">
        <v>1.5</v>
      </c>
      <c r="DM42" s="577">
        <f t="shared" si="12"/>
        <v>3</v>
      </c>
      <c r="DN42" s="606" t="s">
        <v>779</v>
      </c>
      <c r="DO42" s="599">
        <v>3.0236842105263175</v>
      </c>
      <c r="DP42" s="599">
        <f t="shared" si="13"/>
        <v>-2.3684210526317528E-2</v>
      </c>
      <c r="DQ42" s="600"/>
      <c r="DR42" s="600">
        <v>1</v>
      </c>
      <c r="DS42" s="577" t="s">
        <v>778</v>
      </c>
      <c r="DT42" s="562"/>
      <c r="DU42" s="562"/>
    </row>
    <row r="43" spans="1:125" s="560" customFormat="1">
      <c r="C43" s="560">
        <v>0.85</v>
      </c>
      <c r="N43" s="585" t="s">
        <v>794</v>
      </c>
      <c r="O43" s="585" t="s">
        <v>795</v>
      </c>
      <c r="P43" s="561"/>
      <c r="Q43" s="562"/>
      <c r="R43" s="562">
        <v>0.51</v>
      </c>
      <c r="S43" s="562">
        <v>0.8</v>
      </c>
      <c r="T43" s="562"/>
      <c r="U43" s="562"/>
      <c r="V43" s="562"/>
      <c r="W43" s="562"/>
      <c r="X43" s="562"/>
      <c r="Y43" s="562"/>
      <c r="Z43" s="562"/>
      <c r="AA43" s="562"/>
      <c r="AB43" s="562"/>
      <c r="AC43" s="562"/>
      <c r="AD43" s="563"/>
      <c r="AE43" s="567">
        <v>41122</v>
      </c>
      <c r="AF43" s="568" t="s">
        <v>725</v>
      </c>
      <c r="AG43" s="568"/>
      <c r="AH43" s="568" t="s">
        <v>726</v>
      </c>
      <c r="AI43" s="569" t="s">
        <v>727</v>
      </c>
      <c r="AJ43" s="569"/>
      <c r="AK43" s="569"/>
      <c r="AL43" s="569"/>
      <c r="AM43" s="569"/>
      <c r="AN43" s="569" t="s">
        <v>728</v>
      </c>
      <c r="AO43" s="569"/>
      <c r="AP43" s="569" t="s">
        <v>729</v>
      </c>
      <c r="AQ43" s="569"/>
      <c r="AR43" s="638">
        <f>+AR42/AO42</f>
        <v>0.10282445618827081</v>
      </c>
      <c r="AS43" s="639"/>
      <c r="AT43" s="639"/>
      <c r="AU43" s="569" t="s">
        <v>730</v>
      </c>
      <c r="AV43" s="569" t="s">
        <v>731</v>
      </c>
      <c r="AW43" s="568"/>
      <c r="AX43" s="562"/>
      <c r="AY43" s="562"/>
      <c r="AZ43" s="562"/>
      <c r="BA43" s="562"/>
      <c r="BB43" s="563"/>
      <c r="BD43" s="576">
        <v>32</v>
      </c>
      <c r="BF43" s="576"/>
      <c r="BG43" s="576"/>
      <c r="BH43" s="576"/>
      <c r="BI43" s="576">
        <v>1</v>
      </c>
      <c r="BJ43" s="576"/>
      <c r="BK43" s="576"/>
      <c r="BL43" s="576">
        <v>2.4</v>
      </c>
      <c r="BM43" s="576">
        <f t="shared" si="5"/>
        <v>4.8</v>
      </c>
      <c r="BN43" s="623" t="s">
        <v>796</v>
      </c>
      <c r="BO43" s="611">
        <v>3.9968750000000002</v>
      </c>
      <c r="BP43" s="611">
        <f t="shared" si="6"/>
        <v>0.80312499999999964</v>
      </c>
      <c r="BQ43" s="612">
        <v>1</v>
      </c>
      <c r="BR43" s="612"/>
      <c r="BS43" s="566" t="s">
        <v>127</v>
      </c>
      <c r="BT43" s="576"/>
      <c r="CC43" s="560">
        <f t="shared" si="2"/>
        <v>36</v>
      </c>
      <c r="CG43" s="605">
        <v>3.6379999999999999</v>
      </c>
      <c r="CH43" s="605"/>
      <c r="CI43" s="605"/>
      <c r="CJ43" s="605"/>
      <c r="CK43" s="605"/>
      <c r="CL43" s="605"/>
      <c r="CM43" s="605"/>
      <c r="CN43" s="605"/>
      <c r="CO43" s="605"/>
      <c r="CP43" s="605">
        <v>3.2</v>
      </c>
      <c r="CQ43" s="605"/>
      <c r="CS43" s="605"/>
      <c r="DD43" s="561"/>
      <c r="DE43" s="577">
        <v>30</v>
      </c>
      <c r="DF43" s="562"/>
      <c r="DG43" s="577"/>
      <c r="DH43" s="577"/>
      <c r="DI43" s="577"/>
      <c r="DJ43" s="577">
        <v>1</v>
      </c>
      <c r="DK43" s="577"/>
      <c r="DL43" s="577">
        <v>1.8</v>
      </c>
      <c r="DM43" s="577">
        <f t="shared" si="12"/>
        <v>3.6</v>
      </c>
      <c r="DN43" s="577" t="s">
        <v>843</v>
      </c>
      <c r="DO43" s="599">
        <v>3.0052631578947384</v>
      </c>
      <c r="DP43" s="599">
        <f t="shared" si="13"/>
        <v>0.59473684210526168</v>
      </c>
      <c r="DQ43" s="600">
        <v>1</v>
      </c>
      <c r="DR43" s="600"/>
      <c r="DS43" s="577" t="s">
        <v>778</v>
      </c>
      <c r="DT43" s="562"/>
      <c r="DU43" s="562"/>
    </row>
    <row r="44" spans="1:125" s="560" customFormat="1">
      <c r="C44" s="560">
        <v>0.9</v>
      </c>
      <c r="N44" s="585" t="s">
        <v>798</v>
      </c>
      <c r="O44" s="585" t="s">
        <v>546</v>
      </c>
      <c r="P44" s="561"/>
      <c r="Q44" s="562"/>
      <c r="R44" s="562">
        <v>0.6</v>
      </c>
      <c r="S44" s="562">
        <v>0.65</v>
      </c>
      <c r="T44" s="562"/>
      <c r="U44" s="562"/>
      <c r="V44" s="562"/>
      <c r="W44" s="562"/>
      <c r="X44" s="562"/>
      <c r="Y44" s="562"/>
      <c r="Z44" s="562"/>
      <c r="AA44" s="562"/>
      <c r="AB44" s="562"/>
      <c r="AC44" s="562"/>
      <c r="AD44" s="563"/>
      <c r="AE44" s="561"/>
      <c r="AF44" s="568"/>
      <c r="AG44" s="568"/>
      <c r="AH44" s="568"/>
      <c r="AI44" s="577" t="s">
        <v>844</v>
      </c>
      <c r="AJ44" s="577"/>
      <c r="AK44" s="577"/>
      <c r="AL44" s="577"/>
      <c r="AM44" s="577"/>
      <c r="AN44" s="577" t="s">
        <v>845</v>
      </c>
      <c r="AO44" s="577"/>
      <c r="AP44" s="577">
        <v>56</v>
      </c>
      <c r="AQ44" s="562"/>
      <c r="AR44" s="577"/>
      <c r="AS44" s="600"/>
      <c r="AT44" s="600"/>
      <c r="AU44" s="577">
        <v>52</v>
      </c>
      <c r="AV44" s="577" t="s">
        <v>846</v>
      </c>
      <c r="AW44" s="568"/>
      <c r="AX44" s="562"/>
      <c r="AY44" s="562"/>
      <c r="AZ44" s="562"/>
      <c r="BA44" s="562"/>
      <c r="BB44" s="563"/>
      <c r="BD44" s="576">
        <v>33</v>
      </c>
      <c r="BF44" s="576"/>
      <c r="BG44" s="576"/>
      <c r="BH44" s="576"/>
      <c r="BI44" s="576">
        <v>1</v>
      </c>
      <c r="BJ44" s="576"/>
      <c r="BK44" s="576"/>
      <c r="BL44" s="576">
        <v>2.5</v>
      </c>
      <c r="BM44" s="576">
        <f t="shared" si="5"/>
        <v>5</v>
      </c>
      <c r="BN44" s="623" t="s">
        <v>796</v>
      </c>
      <c r="BO44" s="611">
        <v>4</v>
      </c>
      <c r="BP44" s="611">
        <f t="shared" si="6"/>
        <v>1</v>
      </c>
      <c r="BQ44" s="612">
        <v>1</v>
      </c>
      <c r="BR44" s="612"/>
      <c r="BS44" s="566" t="s">
        <v>127</v>
      </c>
      <c r="BT44" s="576"/>
      <c r="CC44" s="560">
        <f t="shared" si="2"/>
        <v>37</v>
      </c>
      <c r="CG44" s="605">
        <v>2.996</v>
      </c>
      <c r="CH44" s="605"/>
      <c r="CI44" s="605"/>
      <c r="CJ44" s="605"/>
      <c r="CK44" s="605"/>
      <c r="CL44" s="605"/>
      <c r="CM44" s="605"/>
      <c r="CN44" s="605"/>
      <c r="CO44" s="605"/>
      <c r="CP44" s="605">
        <v>3</v>
      </c>
      <c r="CQ44" s="605"/>
      <c r="CS44" s="605"/>
      <c r="DD44" s="561"/>
      <c r="DE44" s="577">
        <v>31</v>
      </c>
      <c r="DF44" s="562"/>
      <c r="DG44" s="577"/>
      <c r="DH44" s="577"/>
      <c r="DI44" s="577"/>
      <c r="DJ44" s="577">
        <v>1</v>
      </c>
      <c r="DK44" s="577"/>
      <c r="DL44" s="577">
        <v>1.5</v>
      </c>
      <c r="DM44" s="577">
        <f t="shared" si="12"/>
        <v>3</v>
      </c>
      <c r="DN44" s="606" t="s">
        <v>779</v>
      </c>
      <c r="DO44" s="599">
        <v>2.9868421052631593</v>
      </c>
      <c r="DP44" s="599">
        <f t="shared" si="13"/>
        <v>1.3157894736840703E-2</v>
      </c>
      <c r="DQ44" s="600"/>
      <c r="DR44" s="600">
        <v>1</v>
      </c>
      <c r="DS44" s="577" t="s">
        <v>778</v>
      </c>
      <c r="DT44" s="562"/>
      <c r="DU44" s="562"/>
    </row>
    <row r="45" spans="1:125" s="560" customFormat="1">
      <c r="C45" s="560">
        <v>0.9</v>
      </c>
      <c r="N45" s="585" t="s">
        <v>800</v>
      </c>
      <c r="O45" s="585" t="s">
        <v>801</v>
      </c>
      <c r="P45" s="561"/>
      <c r="Q45" s="562"/>
      <c r="R45" s="562">
        <v>0.5</v>
      </c>
      <c r="S45" s="562">
        <v>0.65</v>
      </c>
      <c r="T45" s="562"/>
      <c r="U45" s="562"/>
      <c r="V45" s="562"/>
      <c r="W45" s="562"/>
      <c r="X45" s="562"/>
      <c r="Y45" s="562"/>
      <c r="Z45" s="562"/>
      <c r="AA45" s="562"/>
      <c r="AB45" s="562"/>
      <c r="AC45" s="562"/>
      <c r="AD45" s="563"/>
      <c r="AE45" s="561" t="s">
        <v>515</v>
      </c>
      <c r="AF45" s="583" t="s">
        <v>750</v>
      </c>
      <c r="AG45" s="578"/>
      <c r="AH45" s="569"/>
      <c r="AI45" s="568"/>
      <c r="AJ45" s="568"/>
      <c r="AK45" s="568"/>
      <c r="AL45" s="568"/>
      <c r="AM45" s="568"/>
      <c r="AN45" s="568"/>
      <c r="AO45" s="568"/>
      <c r="AP45" s="569"/>
      <c r="AQ45" s="583" t="s">
        <v>847</v>
      </c>
      <c r="AR45" s="569"/>
      <c r="AS45" s="639"/>
      <c r="AT45" s="639"/>
      <c r="AU45" s="569"/>
      <c r="AV45" s="577" t="s">
        <v>848</v>
      </c>
      <c r="AW45" s="569"/>
      <c r="AX45" s="562"/>
      <c r="AY45" s="562"/>
      <c r="AZ45" s="562"/>
      <c r="BA45" s="562"/>
      <c r="BB45" s="563"/>
      <c r="BH45" s="640">
        <v>0</v>
      </c>
      <c r="BI45" s="640">
        <f>SUM(BI12:BI44)</f>
        <v>33</v>
      </c>
      <c r="BJ45" s="641">
        <f>SUM(BJ12:BJ44)</f>
        <v>3</v>
      </c>
      <c r="BK45" s="642">
        <f>SUM(BK12:BK44)</f>
        <v>3</v>
      </c>
      <c r="BM45" s="643">
        <f>SUM(BM12:BM44)</f>
        <v>143.79999999999998</v>
      </c>
      <c r="BN45" s="576"/>
      <c r="BO45" s="644">
        <f>SUM(BO12:BO44)</f>
        <v>130.35</v>
      </c>
      <c r="BP45" s="644">
        <f>SUM(BP12:BP44)</f>
        <v>13.449999999999994</v>
      </c>
      <c r="BQ45" s="645">
        <f>SUM(BQ12:BQ44)</f>
        <v>17</v>
      </c>
      <c r="BR45" s="645">
        <f>SUM(BR12:BR44)</f>
        <v>16</v>
      </c>
      <c r="BT45" s="576"/>
      <c r="CC45" s="560">
        <f t="shared" si="2"/>
        <v>38</v>
      </c>
      <c r="CG45" s="605"/>
      <c r="CH45" s="605"/>
      <c r="CI45" s="605"/>
      <c r="CJ45" s="605"/>
      <c r="CK45" s="605"/>
      <c r="CL45" s="605"/>
      <c r="CM45" s="605"/>
      <c r="CN45" s="605"/>
      <c r="CO45" s="605"/>
      <c r="CP45" s="560">
        <v>3.6</v>
      </c>
      <c r="CQ45" s="605"/>
      <c r="CS45" s="605"/>
      <c r="DD45" s="561"/>
      <c r="DE45" s="577">
        <v>32</v>
      </c>
      <c r="DF45" s="562"/>
      <c r="DG45" s="577"/>
      <c r="DH45" s="577"/>
      <c r="DI45" s="577"/>
      <c r="DJ45" s="577">
        <v>1</v>
      </c>
      <c r="DK45" s="577"/>
      <c r="DL45" s="577">
        <v>1.6</v>
      </c>
      <c r="DM45" s="577">
        <f t="shared" si="12"/>
        <v>3.2</v>
      </c>
      <c r="DN45" s="606" t="s">
        <v>779</v>
      </c>
      <c r="DO45" s="599">
        <v>2.9684210526315806</v>
      </c>
      <c r="DP45" s="599">
        <f t="shared" si="13"/>
        <v>0.23157894736841955</v>
      </c>
      <c r="DQ45" s="600"/>
      <c r="DR45" s="600">
        <v>1</v>
      </c>
      <c r="DS45" s="577" t="s">
        <v>778</v>
      </c>
      <c r="DT45" s="562"/>
      <c r="DU45" s="562"/>
    </row>
    <row r="46" spans="1:125" s="560" customFormat="1">
      <c r="C46" s="560">
        <v>0.9</v>
      </c>
      <c r="N46" s="585" t="s">
        <v>804</v>
      </c>
      <c r="O46" s="585" t="s">
        <v>805</v>
      </c>
      <c r="P46" s="561"/>
      <c r="Q46" s="562"/>
      <c r="R46" s="562">
        <v>0.5</v>
      </c>
      <c r="S46" s="562">
        <v>0.5</v>
      </c>
      <c r="T46" s="562"/>
      <c r="U46" s="562"/>
      <c r="V46" s="562"/>
      <c r="W46" s="562"/>
      <c r="X46" s="562"/>
      <c r="Y46" s="562"/>
      <c r="Z46" s="562"/>
      <c r="AA46" s="562"/>
      <c r="AB46" s="562"/>
      <c r="AC46" s="562"/>
      <c r="AD46" s="563"/>
      <c r="AE46" s="587"/>
      <c r="AF46" s="588" t="s">
        <v>755</v>
      </c>
      <c r="AG46" s="588" t="s">
        <v>756</v>
      </c>
      <c r="AH46" s="590" t="s">
        <v>757</v>
      </c>
      <c r="AI46" s="590" t="s">
        <v>758</v>
      </c>
      <c r="AJ46" s="590" t="s">
        <v>765</v>
      </c>
      <c r="AK46" s="590" t="s">
        <v>766</v>
      </c>
      <c r="AL46" s="591" t="s">
        <v>767</v>
      </c>
      <c r="AM46" s="592" t="s">
        <v>768</v>
      </c>
      <c r="AN46" s="588" t="s">
        <v>759</v>
      </c>
      <c r="AO46" s="593" t="s">
        <v>769</v>
      </c>
      <c r="AP46" s="588" t="s">
        <v>760</v>
      </c>
      <c r="AQ46" s="594" t="s">
        <v>770</v>
      </c>
      <c r="AR46" s="594" t="s">
        <v>771</v>
      </c>
      <c r="AS46" s="595" t="s">
        <v>772</v>
      </c>
      <c r="AT46" s="595" t="s">
        <v>773</v>
      </c>
      <c r="AU46" s="588" t="s">
        <v>761</v>
      </c>
      <c r="AV46" s="588" t="s">
        <v>762</v>
      </c>
      <c r="AW46" s="588" t="s">
        <v>763</v>
      </c>
      <c r="AX46" s="562"/>
      <c r="AY46" s="562"/>
      <c r="AZ46" s="562"/>
      <c r="BA46" s="588" t="s">
        <v>764</v>
      </c>
      <c r="BB46" s="589"/>
      <c r="BC46" s="564">
        <v>41072</v>
      </c>
      <c r="BD46" s="565" t="s">
        <v>725</v>
      </c>
      <c r="BE46" s="565"/>
      <c r="BF46" s="565" t="s">
        <v>726</v>
      </c>
      <c r="BG46" s="566" t="s">
        <v>727</v>
      </c>
      <c r="BH46" s="566"/>
      <c r="BI46" s="566"/>
      <c r="BJ46" s="566"/>
      <c r="BK46" s="566"/>
      <c r="BL46" s="566" t="s">
        <v>728</v>
      </c>
      <c r="BM46" s="566"/>
      <c r="BN46" s="566" t="s">
        <v>729</v>
      </c>
      <c r="BO46" s="603"/>
      <c r="BP46" s="646">
        <f>+BP45/BO45</f>
        <v>0.10318373609512846</v>
      </c>
      <c r="BQ46" s="604"/>
      <c r="BR46" s="604"/>
      <c r="BS46" s="566" t="s">
        <v>730</v>
      </c>
      <c r="BT46" s="566" t="s">
        <v>731</v>
      </c>
      <c r="BU46" s="565"/>
      <c r="CC46" s="560">
        <f t="shared" si="2"/>
        <v>39</v>
      </c>
      <c r="CG46" s="605"/>
      <c r="CH46" s="605"/>
      <c r="CI46" s="605"/>
      <c r="CJ46" s="605"/>
      <c r="CK46" s="605"/>
      <c r="CL46" s="605"/>
      <c r="CM46" s="605"/>
      <c r="CN46" s="605"/>
      <c r="CO46" s="605"/>
      <c r="CP46" s="560">
        <v>2.8</v>
      </c>
      <c r="CQ46" s="605"/>
      <c r="CS46" s="605"/>
      <c r="DD46" s="561"/>
      <c r="DE46" s="577">
        <v>33</v>
      </c>
      <c r="DF46" s="562"/>
      <c r="DG46" s="577"/>
      <c r="DH46" s="577"/>
      <c r="DI46" s="577"/>
      <c r="DJ46" s="577">
        <v>1</v>
      </c>
      <c r="DK46" s="577"/>
      <c r="DL46" s="577">
        <v>2.6</v>
      </c>
      <c r="DM46" s="577">
        <f t="shared" si="12"/>
        <v>5.2</v>
      </c>
      <c r="DN46" s="606" t="s">
        <v>779</v>
      </c>
      <c r="DO46" s="599">
        <v>2.950000000000002</v>
      </c>
      <c r="DP46" s="599">
        <f t="shared" si="13"/>
        <v>2.2499999999999982</v>
      </c>
      <c r="DQ46" s="600"/>
      <c r="DR46" s="600">
        <v>1</v>
      </c>
      <c r="DS46" s="577" t="s">
        <v>778</v>
      </c>
      <c r="DT46" s="562"/>
      <c r="DU46" s="562"/>
    </row>
    <row r="47" spans="1:125" s="560" customFormat="1">
      <c r="C47" s="560">
        <v>1</v>
      </c>
      <c r="N47" s="585" t="s">
        <v>807</v>
      </c>
      <c r="O47" s="585" t="s">
        <v>808</v>
      </c>
      <c r="P47" s="561"/>
      <c r="Q47" s="562"/>
      <c r="R47" s="562">
        <v>0.6</v>
      </c>
      <c r="S47" s="562">
        <v>0.6</v>
      </c>
      <c r="T47" s="562"/>
      <c r="U47" s="562"/>
      <c r="V47" s="562"/>
      <c r="W47" s="562"/>
      <c r="X47" s="562"/>
      <c r="Y47" s="562"/>
      <c r="Z47" s="562"/>
      <c r="AA47" s="562"/>
      <c r="AB47" s="562"/>
      <c r="AC47" s="562"/>
      <c r="AD47" s="563"/>
      <c r="AE47" s="561"/>
      <c r="AF47" s="568">
        <v>0.5</v>
      </c>
      <c r="AG47" s="562"/>
      <c r="AH47" s="577">
        <v>0.2</v>
      </c>
      <c r="AI47" s="577" t="s">
        <v>793</v>
      </c>
      <c r="AJ47" s="577"/>
      <c r="AK47" s="577"/>
      <c r="AL47" s="577"/>
      <c r="AM47" s="577">
        <v>1</v>
      </c>
      <c r="AN47" s="562"/>
      <c r="AO47" s="562"/>
      <c r="AP47" s="598"/>
      <c r="AQ47" s="600"/>
      <c r="AR47" s="599"/>
      <c r="AS47" s="600"/>
      <c r="AT47" s="600"/>
      <c r="AU47" s="577"/>
      <c r="AV47" s="584">
        <v>1597</v>
      </c>
      <c r="AW47" s="562"/>
      <c r="AX47" s="562"/>
      <c r="AY47" s="562"/>
      <c r="AZ47" s="562"/>
      <c r="BA47" s="577"/>
      <c r="BB47" s="589"/>
      <c r="BD47" s="565"/>
      <c r="BE47" s="565"/>
      <c r="BF47" s="565"/>
      <c r="BG47" s="576" t="s">
        <v>849</v>
      </c>
      <c r="BH47" s="576"/>
      <c r="BI47" s="576"/>
      <c r="BJ47" s="576"/>
      <c r="BK47" s="576"/>
      <c r="BL47" s="576" t="s">
        <v>850</v>
      </c>
      <c r="BM47" s="576"/>
      <c r="BN47" s="576"/>
      <c r="BO47" s="611"/>
      <c r="BP47" s="611"/>
      <c r="BQ47" s="612"/>
      <c r="BR47" s="612"/>
      <c r="BS47" s="576"/>
      <c r="BT47" s="576"/>
      <c r="BU47" s="565"/>
      <c r="CC47" s="560">
        <f t="shared" si="2"/>
        <v>40</v>
      </c>
      <c r="CP47" s="560">
        <v>3.4</v>
      </c>
      <c r="DD47" s="561"/>
      <c r="DE47" s="577">
        <v>33.5</v>
      </c>
      <c r="DF47" s="562"/>
      <c r="DG47" s="577">
        <v>0.3</v>
      </c>
      <c r="DH47" s="577"/>
      <c r="DI47" s="577"/>
      <c r="DJ47" s="577"/>
      <c r="DK47" s="577"/>
      <c r="DL47" s="577"/>
      <c r="DM47" s="577">
        <f>SUM(DM8:DM46)</f>
        <v>126.80000000000003</v>
      </c>
      <c r="DN47" s="562"/>
      <c r="DO47" s="647">
        <f>SUM(DO8:DO46)</f>
        <v>112.69736842105266</v>
      </c>
      <c r="DP47" s="636">
        <f>SUM(DP8:DP46)</f>
        <v>14.102631578947342</v>
      </c>
      <c r="DQ47" s="562"/>
      <c r="DR47" s="562"/>
      <c r="DS47" s="562"/>
      <c r="DT47" s="577">
        <v>923</v>
      </c>
      <c r="DU47" s="562" t="s">
        <v>851</v>
      </c>
    </row>
    <row r="48" spans="1:125" s="560" customFormat="1">
      <c r="C48" s="560">
        <v>0.95</v>
      </c>
      <c r="N48" s="585" t="s">
        <v>810</v>
      </c>
      <c r="O48" s="585" t="s">
        <v>550</v>
      </c>
      <c r="P48" s="561"/>
      <c r="Q48" s="562"/>
      <c r="R48" s="562">
        <v>0.5</v>
      </c>
      <c r="S48" s="562">
        <v>0.62</v>
      </c>
      <c r="T48" s="562"/>
      <c r="U48" s="562"/>
      <c r="V48" s="562"/>
      <c r="W48" s="562"/>
      <c r="X48" s="562"/>
      <c r="Y48" s="562"/>
      <c r="Z48" s="562"/>
      <c r="AA48" s="562"/>
      <c r="AB48" s="562"/>
      <c r="AC48" s="562"/>
      <c r="AD48" s="563"/>
      <c r="AE48" s="561"/>
      <c r="AF48" s="568">
        <v>1</v>
      </c>
      <c r="AG48" s="562"/>
      <c r="AH48" s="569"/>
      <c r="AI48" s="577"/>
      <c r="AJ48" s="577"/>
      <c r="AK48" s="577">
        <v>1</v>
      </c>
      <c r="AL48" s="577"/>
      <c r="AM48" s="577"/>
      <c r="AN48" s="562">
        <v>2.25</v>
      </c>
      <c r="AO48" s="562">
        <f>AN48+AN48</f>
        <v>4.5</v>
      </c>
      <c r="AP48" s="598">
        <v>0.140625</v>
      </c>
      <c r="AQ48" s="599">
        <v>4.3499999999999996</v>
      </c>
      <c r="AR48" s="599">
        <f>AO48-AQ48</f>
        <v>0.15000000000000036</v>
      </c>
      <c r="AS48" s="600"/>
      <c r="AT48" s="600">
        <v>1</v>
      </c>
      <c r="AU48" s="577" t="s">
        <v>778</v>
      </c>
      <c r="AV48" s="609"/>
      <c r="AW48" s="562"/>
      <c r="AX48" s="562"/>
      <c r="AY48" s="562"/>
      <c r="AZ48" s="562"/>
      <c r="BA48" s="607" t="s">
        <v>780</v>
      </c>
      <c r="BB48" s="608" t="s">
        <v>616</v>
      </c>
      <c r="BC48" s="560" t="s">
        <v>489</v>
      </c>
      <c r="BD48" s="582" t="s">
        <v>852</v>
      </c>
      <c r="BE48" s="582"/>
      <c r="BF48" s="566"/>
      <c r="BG48" s="565"/>
      <c r="BH48" s="565"/>
      <c r="BI48" s="565"/>
      <c r="BJ48" s="565"/>
      <c r="BK48" s="565"/>
      <c r="BL48" s="565"/>
      <c r="BM48" s="565"/>
      <c r="BN48" s="566"/>
      <c r="BO48" s="603"/>
      <c r="BP48" s="581" t="s">
        <v>853</v>
      </c>
      <c r="BQ48" s="604"/>
      <c r="BR48" s="604"/>
      <c r="BS48" s="566"/>
      <c r="BT48" s="576"/>
      <c r="BU48" s="566"/>
      <c r="CC48" s="560">
        <f t="shared" si="2"/>
        <v>41</v>
      </c>
      <c r="CP48" s="560">
        <v>3.8</v>
      </c>
      <c r="DD48" s="561"/>
      <c r="DE48" s="562"/>
      <c r="DF48" s="562"/>
      <c r="DG48" s="648">
        <f>SUM(DG8:DG47)</f>
        <v>41.3</v>
      </c>
      <c r="DH48" s="648"/>
      <c r="DI48" s="632">
        <f>SUM(DI8:DI47)</f>
        <v>3</v>
      </c>
      <c r="DJ48" s="632">
        <f>SUM(DJ8:DJ47)</f>
        <v>31</v>
      </c>
      <c r="DK48" s="634">
        <f>SUM(DK8:DK47)</f>
        <v>4</v>
      </c>
      <c r="DL48" s="562"/>
      <c r="DM48" s="562"/>
      <c r="DN48" s="562"/>
      <c r="DO48" s="649"/>
      <c r="DP48" s="650">
        <f>+DP47/DO47</f>
        <v>0.12513718622300032</v>
      </c>
      <c r="DQ48" s="637">
        <f>SUM(DQ8:DQ46)</f>
        <v>9</v>
      </c>
      <c r="DR48" s="637">
        <f>SUM(DR8:DR47)</f>
        <v>25</v>
      </c>
      <c r="DS48" s="562"/>
      <c r="DT48" s="562"/>
      <c r="DU48" s="562"/>
    </row>
    <row r="49" spans="2:130" s="560" customFormat="1">
      <c r="C49" s="560">
        <v>1.1000000000000001</v>
      </c>
      <c r="N49" s="585" t="s">
        <v>813</v>
      </c>
      <c r="O49" s="585" t="s">
        <v>552</v>
      </c>
      <c r="P49" s="561"/>
      <c r="Q49" s="562"/>
      <c r="R49" s="562">
        <v>0.51</v>
      </c>
      <c r="S49" s="562">
        <v>0.55000000000000004</v>
      </c>
      <c r="T49" s="562"/>
      <c r="U49" s="562"/>
      <c r="V49" s="562"/>
      <c r="W49" s="562"/>
      <c r="X49" s="562"/>
      <c r="Y49" s="562"/>
      <c r="Z49" s="562"/>
      <c r="AA49" s="562"/>
      <c r="AB49" s="562"/>
      <c r="AC49" s="562"/>
      <c r="AD49" s="563"/>
      <c r="AE49" s="561"/>
      <c r="AF49" s="568">
        <v>2</v>
      </c>
      <c r="AG49" s="562"/>
      <c r="AH49" s="577">
        <v>0.1</v>
      </c>
      <c r="AI49" s="577" t="s">
        <v>777</v>
      </c>
      <c r="AJ49" s="577">
        <v>1</v>
      </c>
      <c r="AK49" s="577"/>
      <c r="AL49" s="577"/>
      <c r="AM49" s="577"/>
      <c r="AN49" s="562">
        <v>2.2000000000000002</v>
      </c>
      <c r="AO49" s="562">
        <f>AN49+AN49</f>
        <v>4.4000000000000004</v>
      </c>
      <c r="AP49" s="598">
        <v>0.125</v>
      </c>
      <c r="AQ49" s="599">
        <v>3.4</v>
      </c>
      <c r="AR49" s="599">
        <f>AO49-AQ49</f>
        <v>1.0000000000000004</v>
      </c>
      <c r="AS49" s="600">
        <v>1</v>
      </c>
      <c r="AT49" s="600"/>
      <c r="AU49" s="577" t="s">
        <v>778</v>
      </c>
      <c r="AV49" s="584">
        <v>1596</v>
      </c>
      <c r="AW49" s="562"/>
      <c r="AX49" s="562"/>
      <c r="AY49" s="562"/>
      <c r="AZ49" s="562"/>
      <c r="BA49" s="607" t="s">
        <v>785</v>
      </c>
      <c r="BB49" s="608" t="s">
        <v>542</v>
      </c>
      <c r="BC49" s="585"/>
      <c r="BD49" s="586" t="s">
        <v>755</v>
      </c>
      <c r="BE49" s="586" t="s">
        <v>756</v>
      </c>
      <c r="BF49" s="615" t="s">
        <v>757</v>
      </c>
      <c r="BG49" s="615" t="s">
        <v>758</v>
      </c>
      <c r="BH49" s="615" t="s">
        <v>765</v>
      </c>
      <c r="BI49" s="615" t="s">
        <v>766</v>
      </c>
      <c r="BJ49" s="616" t="s">
        <v>767</v>
      </c>
      <c r="BK49" s="617" t="s">
        <v>768</v>
      </c>
      <c r="BL49" s="586" t="s">
        <v>759</v>
      </c>
      <c r="BM49" s="618" t="s">
        <v>769</v>
      </c>
      <c r="BN49" s="586" t="s">
        <v>760</v>
      </c>
      <c r="BO49" s="619" t="s">
        <v>770</v>
      </c>
      <c r="BP49" s="619" t="s">
        <v>771</v>
      </c>
      <c r="BQ49" s="620" t="s">
        <v>772</v>
      </c>
      <c r="BR49" s="620" t="s">
        <v>773</v>
      </c>
      <c r="BS49" s="586" t="s">
        <v>761</v>
      </c>
      <c r="BT49" s="586" t="s">
        <v>762</v>
      </c>
      <c r="BU49" s="586" t="s">
        <v>763</v>
      </c>
      <c r="BY49" s="586" t="s">
        <v>764</v>
      </c>
      <c r="BZ49" s="576"/>
      <c r="CC49" s="560">
        <f t="shared" si="2"/>
        <v>42</v>
      </c>
      <c r="CP49" s="560">
        <v>3.8</v>
      </c>
      <c r="DD49" s="567">
        <v>41102</v>
      </c>
      <c r="DE49" s="568" t="s">
        <v>725</v>
      </c>
      <c r="DF49" s="568"/>
      <c r="DG49" s="568" t="s">
        <v>726</v>
      </c>
      <c r="DH49" s="569" t="s">
        <v>727</v>
      </c>
      <c r="DI49" s="569"/>
      <c r="DJ49" s="569"/>
      <c r="DK49" s="569"/>
      <c r="DL49" s="569" t="s">
        <v>728</v>
      </c>
      <c r="DM49" s="569"/>
      <c r="DN49" s="569" t="s">
        <v>729</v>
      </c>
      <c r="DO49" s="651"/>
      <c r="DP49" s="599"/>
      <c r="DQ49" s="569" t="s">
        <v>730</v>
      </c>
      <c r="DR49" s="569"/>
      <c r="DS49" s="562"/>
      <c r="DT49" s="569" t="s">
        <v>731</v>
      </c>
      <c r="DU49" s="568"/>
      <c r="DV49" s="562"/>
      <c r="DW49" s="562"/>
      <c r="DX49" s="562"/>
      <c r="DY49" s="562"/>
      <c r="DZ49" s="562"/>
    </row>
    <row r="50" spans="2:130" s="560" customFormat="1">
      <c r="C50" s="560">
        <v>1.4</v>
      </c>
      <c r="N50" s="585" t="s">
        <v>815</v>
      </c>
      <c r="O50" s="585" t="s">
        <v>816</v>
      </c>
      <c r="P50" s="561"/>
      <c r="Q50" s="562"/>
      <c r="R50" s="562">
        <v>0.5</v>
      </c>
      <c r="S50" s="562">
        <v>0.45</v>
      </c>
      <c r="T50" s="562"/>
      <c r="U50" s="562"/>
      <c r="V50" s="562"/>
      <c r="W50" s="562"/>
      <c r="X50" s="562"/>
      <c r="Y50" s="562"/>
      <c r="Z50" s="562"/>
      <c r="AA50" s="562"/>
      <c r="AB50" s="562"/>
      <c r="AC50" s="562"/>
      <c r="AD50" s="563"/>
      <c r="AE50" s="561"/>
      <c r="AF50" s="562" t="s">
        <v>778</v>
      </c>
      <c r="AG50" s="562"/>
      <c r="AH50" s="577">
        <v>0.15</v>
      </c>
      <c r="AI50" s="577" t="s">
        <v>793</v>
      </c>
      <c r="AJ50" s="577"/>
      <c r="AK50" s="577"/>
      <c r="AL50" s="577"/>
      <c r="AM50" s="577">
        <v>1</v>
      </c>
      <c r="AN50" s="562"/>
      <c r="AO50" s="562"/>
      <c r="AP50" s="598"/>
      <c r="AQ50" s="599"/>
      <c r="AR50" s="599"/>
      <c r="AS50" s="600"/>
      <c r="AT50" s="600"/>
      <c r="AU50" s="577"/>
      <c r="AV50" s="584">
        <v>1595</v>
      </c>
      <c r="AW50" s="562"/>
      <c r="AX50" s="562"/>
      <c r="AY50" s="562"/>
      <c r="AZ50" s="562"/>
      <c r="BA50" s="607" t="s">
        <v>789</v>
      </c>
      <c r="BB50" s="608" t="s">
        <v>790</v>
      </c>
      <c r="BD50" s="576">
        <v>1</v>
      </c>
      <c r="BG50" s="576"/>
      <c r="BH50" s="576"/>
      <c r="BI50" s="576">
        <v>1</v>
      </c>
      <c r="BJ50" s="576"/>
      <c r="BK50" s="576"/>
      <c r="BL50" s="576"/>
      <c r="BN50" s="652"/>
      <c r="BO50" s="611"/>
      <c r="BP50" s="611"/>
      <c r="BQ50" s="612"/>
      <c r="BR50" s="612"/>
      <c r="BS50" s="566"/>
      <c r="BT50" s="622"/>
      <c r="BY50" s="576"/>
      <c r="BZ50" s="576"/>
      <c r="CC50" s="560">
        <f t="shared" si="2"/>
        <v>43</v>
      </c>
      <c r="CP50" s="560">
        <v>3.2</v>
      </c>
      <c r="DD50" s="561"/>
      <c r="DE50" s="568"/>
      <c r="DF50" s="568"/>
      <c r="DG50" s="568"/>
      <c r="DH50" s="577" t="s">
        <v>854</v>
      </c>
      <c r="DI50" s="577"/>
      <c r="DJ50" s="577"/>
      <c r="DK50" s="577"/>
      <c r="DL50" s="577" t="s">
        <v>855</v>
      </c>
      <c r="DM50" s="577"/>
      <c r="DN50" s="577">
        <v>39</v>
      </c>
      <c r="DO50" s="599"/>
      <c r="DP50" s="599"/>
      <c r="DQ50" s="577">
        <v>31</v>
      </c>
      <c r="DR50" s="577"/>
      <c r="DS50" s="562"/>
      <c r="DT50" s="577"/>
      <c r="DU50" s="568"/>
      <c r="DV50" s="562"/>
      <c r="DW50" s="562"/>
      <c r="DX50" s="562"/>
      <c r="DY50" s="562"/>
      <c r="DZ50" s="562"/>
    </row>
    <row r="51" spans="2:130" s="560" customFormat="1">
      <c r="C51" s="560">
        <v>1.4</v>
      </c>
      <c r="P51" s="561"/>
      <c r="Q51" s="562"/>
      <c r="R51" s="562">
        <v>0.5</v>
      </c>
      <c r="S51" s="562">
        <v>0.45</v>
      </c>
      <c r="T51" s="562"/>
      <c r="U51" s="562"/>
      <c r="V51" s="562"/>
      <c r="W51" s="562"/>
      <c r="X51" s="562"/>
      <c r="Y51" s="562"/>
      <c r="Z51" s="562"/>
      <c r="AA51" s="562"/>
      <c r="AB51" s="562"/>
      <c r="AC51" s="562"/>
      <c r="AD51" s="563"/>
      <c r="AE51" s="561"/>
      <c r="AF51" s="562" t="s">
        <v>856</v>
      </c>
      <c r="AG51" s="562"/>
      <c r="AH51" s="577">
        <v>0.15</v>
      </c>
      <c r="AI51" s="577" t="s">
        <v>793</v>
      </c>
      <c r="AJ51" s="577"/>
      <c r="AK51" s="577"/>
      <c r="AL51" s="577"/>
      <c r="AM51" s="577">
        <v>1</v>
      </c>
      <c r="AN51" s="562"/>
      <c r="AO51" s="562"/>
      <c r="AP51" s="598"/>
      <c r="AQ51" s="599"/>
      <c r="AR51" s="599"/>
      <c r="AS51" s="600"/>
      <c r="AT51" s="600"/>
      <c r="AU51" s="577"/>
      <c r="AV51" s="584">
        <v>1593</v>
      </c>
      <c r="AW51" s="562"/>
      <c r="AX51" s="562"/>
      <c r="AY51" s="562"/>
      <c r="AZ51" s="562"/>
      <c r="BA51" s="607" t="s">
        <v>791</v>
      </c>
      <c r="BB51" s="608" t="s">
        <v>792</v>
      </c>
      <c r="BD51" s="576">
        <v>2</v>
      </c>
      <c r="BF51" s="576">
        <v>1.5</v>
      </c>
      <c r="BG51" s="576" t="s">
        <v>793</v>
      </c>
      <c r="BH51" s="576"/>
      <c r="BI51" s="576">
        <v>1</v>
      </c>
      <c r="BJ51" s="576"/>
      <c r="BK51" s="576">
        <v>1</v>
      </c>
      <c r="BL51" s="576"/>
      <c r="BN51" s="576"/>
      <c r="BO51" s="611"/>
      <c r="BP51" s="611"/>
      <c r="BQ51" s="612"/>
      <c r="BR51" s="612"/>
      <c r="BS51" s="566"/>
      <c r="BT51" s="624"/>
      <c r="BY51" s="585" t="s">
        <v>780</v>
      </c>
      <c r="BZ51" s="585" t="s">
        <v>616</v>
      </c>
      <c r="CC51" s="560">
        <f t="shared" si="2"/>
        <v>44</v>
      </c>
      <c r="CP51" s="560">
        <v>1.2</v>
      </c>
      <c r="DD51" s="561" t="s">
        <v>530</v>
      </c>
      <c r="DE51" s="583" t="s">
        <v>857</v>
      </c>
      <c r="DF51" s="578"/>
      <c r="DG51" s="569"/>
      <c r="DH51" s="568"/>
      <c r="DI51" s="568"/>
      <c r="DJ51" s="568"/>
      <c r="DK51" s="568"/>
      <c r="DL51" s="568"/>
      <c r="DM51" s="568"/>
      <c r="DN51" s="569"/>
      <c r="DO51" s="653" t="s">
        <v>415</v>
      </c>
      <c r="DP51" s="599"/>
      <c r="DQ51" s="583" t="s">
        <v>858</v>
      </c>
      <c r="DR51" s="569"/>
      <c r="DS51" s="569"/>
      <c r="DT51" s="577"/>
      <c r="DU51" s="569"/>
      <c r="DV51" s="562"/>
      <c r="DW51" s="562"/>
      <c r="DX51" s="562"/>
      <c r="DY51" s="562"/>
      <c r="DZ51" s="562"/>
    </row>
    <row r="52" spans="2:130" s="560" customFormat="1">
      <c r="C52" s="560">
        <v>1</v>
      </c>
      <c r="P52" s="561"/>
      <c r="Q52" s="562"/>
      <c r="R52" s="562">
        <v>0.46</v>
      </c>
      <c r="S52" s="562">
        <v>0.45</v>
      </c>
      <c r="T52" s="562"/>
      <c r="U52" s="562"/>
      <c r="V52" s="562"/>
      <c r="W52" s="562"/>
      <c r="X52" s="562"/>
      <c r="Y52" s="562"/>
      <c r="Z52" s="562"/>
      <c r="AA52" s="562"/>
      <c r="AB52" s="562"/>
      <c r="AC52" s="562"/>
      <c r="AD52" s="563"/>
      <c r="AE52" s="561"/>
      <c r="AF52" s="568">
        <v>3</v>
      </c>
      <c r="AG52" s="562"/>
      <c r="AH52" s="577">
        <v>0.25</v>
      </c>
      <c r="AI52" s="577" t="s">
        <v>777</v>
      </c>
      <c r="AJ52" s="577">
        <v>1</v>
      </c>
      <c r="AK52" s="577"/>
      <c r="AL52" s="577"/>
      <c r="AM52" s="577"/>
      <c r="AN52" s="562">
        <v>2.4</v>
      </c>
      <c r="AO52" s="562">
        <f>AN52+AN52</f>
        <v>4.8</v>
      </c>
      <c r="AP52" s="598">
        <v>0.140625</v>
      </c>
      <c r="AQ52" s="599">
        <v>4.3166666666666664</v>
      </c>
      <c r="AR52" s="599">
        <f>AO52-AQ52</f>
        <v>0.48333333333333339</v>
      </c>
      <c r="AS52" s="600"/>
      <c r="AT52" s="600">
        <v>1</v>
      </c>
      <c r="AU52" s="577" t="s">
        <v>778</v>
      </c>
      <c r="AV52" s="577">
        <v>1592</v>
      </c>
      <c r="AW52" s="562"/>
      <c r="AX52" s="562"/>
      <c r="AY52" s="562"/>
      <c r="AZ52" s="562"/>
      <c r="BA52" s="607" t="s">
        <v>794</v>
      </c>
      <c r="BB52" s="608" t="s">
        <v>795</v>
      </c>
      <c r="BD52" s="576">
        <v>3</v>
      </c>
      <c r="BF52" s="576">
        <v>8</v>
      </c>
      <c r="BG52" s="576" t="s">
        <v>802</v>
      </c>
      <c r="BH52" s="576"/>
      <c r="BI52" s="576">
        <v>1</v>
      </c>
      <c r="BJ52" s="576">
        <v>1</v>
      </c>
      <c r="BK52" s="576"/>
      <c r="BL52" s="576"/>
      <c r="BN52" s="576"/>
      <c r="BO52" s="611"/>
      <c r="BP52" s="611"/>
      <c r="BQ52" s="612"/>
      <c r="BR52" s="612"/>
      <c r="BS52" s="566"/>
      <c r="BT52" s="622"/>
      <c r="BY52" s="585" t="s">
        <v>785</v>
      </c>
      <c r="BZ52" s="585" t="s">
        <v>542</v>
      </c>
      <c r="CC52" s="560">
        <f t="shared" si="2"/>
        <v>45</v>
      </c>
      <c r="CP52" s="560">
        <v>3.2</v>
      </c>
      <c r="DD52" s="587"/>
      <c r="DE52" s="588" t="s">
        <v>755</v>
      </c>
      <c r="DF52" s="588" t="s">
        <v>756</v>
      </c>
      <c r="DG52" s="590" t="s">
        <v>757</v>
      </c>
      <c r="DH52" s="590" t="s">
        <v>758</v>
      </c>
      <c r="DI52" s="590" t="s">
        <v>765</v>
      </c>
      <c r="DJ52" s="590" t="s">
        <v>766</v>
      </c>
      <c r="DK52" s="592" t="s">
        <v>768</v>
      </c>
      <c r="DL52" s="588" t="s">
        <v>759</v>
      </c>
      <c r="DM52" s="588" t="s">
        <v>769</v>
      </c>
      <c r="DN52" s="588" t="s">
        <v>760</v>
      </c>
      <c r="DO52" s="596" t="s">
        <v>770</v>
      </c>
      <c r="DP52" s="596" t="s">
        <v>771</v>
      </c>
      <c r="DQ52" s="595" t="s">
        <v>772</v>
      </c>
      <c r="DR52" s="595" t="s">
        <v>773</v>
      </c>
      <c r="DS52" s="588" t="s">
        <v>761</v>
      </c>
      <c r="DT52" s="588" t="s">
        <v>762</v>
      </c>
      <c r="DU52" s="588" t="s">
        <v>763</v>
      </c>
      <c r="DV52" s="562"/>
      <c r="DW52" s="562"/>
      <c r="DX52" s="562"/>
      <c r="DY52" s="588" t="s">
        <v>764</v>
      </c>
      <c r="DZ52" s="577"/>
    </row>
    <row r="53" spans="2:130" s="560" customFormat="1">
      <c r="C53" s="560">
        <v>0.95</v>
      </c>
      <c r="P53" s="561"/>
      <c r="Q53" s="562"/>
      <c r="R53" s="562">
        <v>0.6</v>
      </c>
      <c r="S53" s="562">
        <v>0.7</v>
      </c>
      <c r="T53" s="562"/>
      <c r="U53" s="562"/>
      <c r="V53" s="562"/>
      <c r="W53" s="562"/>
      <c r="X53" s="562"/>
      <c r="Y53" s="562"/>
      <c r="Z53" s="562"/>
      <c r="AA53" s="562"/>
      <c r="AB53" s="562"/>
      <c r="AC53" s="562"/>
      <c r="AD53" s="563"/>
      <c r="AE53" s="561"/>
      <c r="AF53" s="562" t="s">
        <v>778</v>
      </c>
      <c r="AG53" s="562"/>
      <c r="AH53" s="577">
        <v>1.1000000000000001</v>
      </c>
      <c r="AI53" s="577" t="s">
        <v>793</v>
      </c>
      <c r="AJ53" s="577"/>
      <c r="AK53" s="577"/>
      <c r="AL53" s="577"/>
      <c r="AM53" s="577">
        <v>1</v>
      </c>
      <c r="AN53" s="562"/>
      <c r="AO53" s="562"/>
      <c r="AP53" s="598"/>
      <c r="AQ53" s="599"/>
      <c r="AR53" s="599"/>
      <c r="AS53" s="600"/>
      <c r="AT53" s="600"/>
      <c r="AU53" s="577"/>
      <c r="AV53" s="577">
        <v>1591</v>
      </c>
      <c r="AW53" s="562"/>
      <c r="AX53" s="562"/>
      <c r="AY53" s="562"/>
      <c r="AZ53" s="562"/>
      <c r="BA53" s="607" t="s">
        <v>798</v>
      </c>
      <c r="BB53" s="608" t="s">
        <v>546</v>
      </c>
      <c r="BD53" s="576">
        <v>4</v>
      </c>
      <c r="BF53" s="576">
        <v>2</v>
      </c>
      <c r="BG53" s="576" t="s">
        <v>793</v>
      </c>
      <c r="BH53" s="576"/>
      <c r="BI53" s="576">
        <v>1</v>
      </c>
      <c r="BJ53" s="576"/>
      <c r="BK53" s="576">
        <v>1</v>
      </c>
      <c r="BL53" s="576"/>
      <c r="BN53" s="576"/>
      <c r="BO53" s="611"/>
      <c r="BP53" s="611"/>
      <c r="BQ53" s="612"/>
      <c r="BR53" s="612"/>
      <c r="BS53" s="566"/>
      <c r="BT53" s="622"/>
      <c r="BY53" s="585" t="s">
        <v>789</v>
      </c>
      <c r="BZ53" s="585" t="s">
        <v>790</v>
      </c>
      <c r="CC53" s="560">
        <f t="shared" si="2"/>
        <v>46</v>
      </c>
      <c r="CP53" s="560">
        <v>4</v>
      </c>
      <c r="DD53" s="561"/>
      <c r="DE53" s="577">
        <v>0.2</v>
      </c>
      <c r="DF53" s="562"/>
      <c r="DG53" s="577">
        <v>2</v>
      </c>
      <c r="DH53" s="577" t="s">
        <v>828</v>
      </c>
      <c r="DI53" s="577"/>
      <c r="DJ53" s="577"/>
      <c r="DK53" s="577"/>
      <c r="DL53" s="577"/>
      <c r="DM53" s="577"/>
      <c r="DN53" s="654"/>
      <c r="DO53" s="599"/>
      <c r="DP53" s="599"/>
      <c r="DQ53" s="600"/>
      <c r="DR53" s="600"/>
      <c r="DS53" s="577"/>
      <c r="DT53" s="584"/>
      <c r="DU53" s="562"/>
      <c r="DV53" s="562"/>
      <c r="DW53" s="562"/>
      <c r="DX53" s="562"/>
      <c r="DY53" s="577"/>
      <c r="DZ53" s="577"/>
    </row>
    <row r="54" spans="2:130" s="560" customFormat="1">
      <c r="C54" s="560">
        <v>1.05</v>
      </c>
      <c r="P54" s="561"/>
      <c r="Q54" s="562" t="s">
        <v>775</v>
      </c>
      <c r="R54" s="562"/>
      <c r="S54" s="562"/>
      <c r="T54" s="562"/>
      <c r="U54" s="562"/>
      <c r="V54" s="562"/>
      <c r="W54" s="562"/>
      <c r="X54" s="562"/>
      <c r="Y54" s="562"/>
      <c r="Z54" s="562"/>
      <c r="AA54" s="562"/>
      <c r="AB54" s="562"/>
      <c r="AC54" s="562"/>
      <c r="AD54" s="563"/>
      <c r="AE54" s="561"/>
      <c r="AF54" s="562" t="s">
        <v>856</v>
      </c>
      <c r="AG54" s="562"/>
      <c r="AH54" s="577">
        <v>2.4</v>
      </c>
      <c r="AI54" s="577" t="s">
        <v>793</v>
      </c>
      <c r="AJ54" s="577"/>
      <c r="AK54" s="577"/>
      <c r="AL54" s="577"/>
      <c r="AM54" s="577">
        <v>1</v>
      </c>
      <c r="AN54" s="562"/>
      <c r="AO54" s="562"/>
      <c r="AP54" s="598"/>
      <c r="AQ54" s="599"/>
      <c r="AR54" s="599"/>
      <c r="AS54" s="600"/>
      <c r="AT54" s="600"/>
      <c r="AU54" s="577"/>
      <c r="AV54" s="577">
        <v>1590</v>
      </c>
      <c r="AW54" s="562"/>
      <c r="AX54" s="625" t="s">
        <v>806</v>
      </c>
      <c r="AY54" s="562">
        <f>COUNT(AR48:AR72)</f>
        <v>15</v>
      </c>
      <c r="AZ54" s="562"/>
      <c r="BA54" s="607" t="s">
        <v>800</v>
      </c>
      <c r="BB54" s="608" t="s">
        <v>801</v>
      </c>
      <c r="BD54" s="576">
        <v>5</v>
      </c>
      <c r="BF54" s="576">
        <v>0.8</v>
      </c>
      <c r="BG54" s="576" t="s">
        <v>777</v>
      </c>
      <c r="BH54" s="576">
        <v>1</v>
      </c>
      <c r="BI54" s="576"/>
      <c r="BJ54" s="576"/>
      <c r="BK54" s="576"/>
      <c r="BL54" s="576"/>
      <c r="BN54" s="576"/>
      <c r="BO54" s="611"/>
      <c r="BP54" s="611"/>
      <c r="BQ54" s="612"/>
      <c r="BR54" s="612"/>
      <c r="BS54" s="566"/>
      <c r="BT54" s="622"/>
      <c r="BY54" s="585" t="s">
        <v>791</v>
      </c>
      <c r="BZ54" s="585" t="s">
        <v>792</v>
      </c>
      <c r="CC54" s="560">
        <f t="shared" si="2"/>
        <v>47</v>
      </c>
      <c r="CP54" s="560">
        <v>3.2</v>
      </c>
      <c r="DD54" s="561"/>
      <c r="DE54" s="577">
        <v>0.5</v>
      </c>
      <c r="DF54" s="562"/>
      <c r="DG54" s="577">
        <v>2.6</v>
      </c>
      <c r="DH54" s="577" t="s">
        <v>793</v>
      </c>
      <c r="DI54" s="577"/>
      <c r="DJ54" s="577"/>
      <c r="DK54" s="577">
        <v>1</v>
      </c>
      <c r="DL54" s="577"/>
      <c r="DM54" s="577"/>
      <c r="DN54" s="654"/>
      <c r="DO54" s="599"/>
      <c r="DP54" s="599"/>
      <c r="DQ54" s="600"/>
      <c r="DR54" s="600"/>
      <c r="DS54" s="577"/>
      <c r="DT54" s="609">
        <v>944</v>
      </c>
      <c r="DU54" s="562"/>
      <c r="DV54" s="562"/>
      <c r="DW54" s="562"/>
      <c r="DX54" s="562"/>
      <c r="DY54" s="607" t="s">
        <v>780</v>
      </c>
      <c r="DZ54" s="607" t="s">
        <v>616</v>
      </c>
    </row>
    <row r="55" spans="2:130" s="560" customFormat="1">
      <c r="C55" s="560">
        <v>1.2</v>
      </c>
      <c r="P55" s="561"/>
      <c r="Q55" s="562"/>
      <c r="R55" s="562">
        <v>1</v>
      </c>
      <c r="S55" s="562">
        <v>0.85</v>
      </c>
      <c r="T55" s="562"/>
      <c r="U55" s="562"/>
      <c r="V55" s="562"/>
      <c r="W55" s="562"/>
      <c r="X55" s="562"/>
      <c r="Y55" s="562"/>
      <c r="Z55" s="562"/>
      <c r="AA55" s="562"/>
      <c r="AB55" s="562"/>
      <c r="AC55" s="562"/>
      <c r="AD55" s="563"/>
      <c r="AE55" s="561"/>
      <c r="AF55" s="568">
        <v>4</v>
      </c>
      <c r="AG55" s="562"/>
      <c r="AH55" s="577">
        <v>0.1</v>
      </c>
      <c r="AI55" s="577" t="s">
        <v>777</v>
      </c>
      <c r="AJ55" s="577">
        <v>1</v>
      </c>
      <c r="AK55" s="577"/>
      <c r="AL55" s="577"/>
      <c r="AM55" s="577"/>
      <c r="AN55" s="562">
        <v>2.2000000000000002</v>
      </c>
      <c r="AO55" s="562">
        <f>AN55+AN55</f>
        <v>4.4000000000000004</v>
      </c>
      <c r="AP55" s="598">
        <v>0.140625</v>
      </c>
      <c r="AQ55" s="599">
        <v>4.291666666666667</v>
      </c>
      <c r="AR55" s="599">
        <f>AO55-AQ55</f>
        <v>0.10833333333333339</v>
      </c>
      <c r="AS55" s="600"/>
      <c r="AT55" s="600">
        <v>1</v>
      </c>
      <c r="AU55" s="577" t="s">
        <v>778</v>
      </c>
      <c r="AV55" s="577">
        <v>1589</v>
      </c>
      <c r="AW55" s="562"/>
      <c r="AX55" s="625" t="s">
        <v>809</v>
      </c>
      <c r="AY55" s="649">
        <f>SUM(AR48:AR72)</f>
        <v>7.3749999999999956</v>
      </c>
      <c r="AZ55" s="562"/>
      <c r="BA55" s="607" t="s">
        <v>804</v>
      </c>
      <c r="BB55" s="608" t="s">
        <v>805</v>
      </c>
      <c r="BD55" s="576">
        <v>6</v>
      </c>
      <c r="BF55" s="576">
        <v>2</v>
      </c>
      <c r="BG55" s="576" t="s">
        <v>793</v>
      </c>
      <c r="BH55" s="576"/>
      <c r="BI55" s="576">
        <v>1</v>
      </c>
      <c r="BJ55" s="576"/>
      <c r="BK55" s="576">
        <v>1</v>
      </c>
      <c r="BL55" s="576"/>
      <c r="BN55" s="576"/>
      <c r="BO55" s="611"/>
      <c r="BP55" s="611"/>
      <c r="BQ55" s="612"/>
      <c r="BR55" s="612"/>
      <c r="BS55" s="566"/>
      <c r="BT55" s="576"/>
      <c r="BY55" s="585" t="s">
        <v>794</v>
      </c>
      <c r="BZ55" s="585" t="s">
        <v>795</v>
      </c>
      <c r="CC55" s="560">
        <f t="shared" si="2"/>
        <v>48</v>
      </c>
      <c r="CP55" s="560">
        <v>3.2</v>
      </c>
      <c r="DD55" s="561"/>
      <c r="DE55" s="577">
        <v>1</v>
      </c>
      <c r="DF55" s="562"/>
      <c r="DG55" s="577">
        <v>0.1</v>
      </c>
      <c r="DH55" s="577" t="s">
        <v>859</v>
      </c>
      <c r="DI55" s="577">
        <v>1</v>
      </c>
      <c r="DJ55" s="577"/>
      <c r="DK55" s="577"/>
      <c r="DL55" s="577">
        <v>1.8</v>
      </c>
      <c r="DM55" s="577">
        <f>DL55+DL55</f>
        <v>3.6</v>
      </c>
      <c r="DN55" s="598">
        <v>0.140625</v>
      </c>
      <c r="DO55" s="599">
        <v>3.65</v>
      </c>
      <c r="DP55" s="599">
        <f t="shared" ref="DP55:DP62" si="14">+DM55-DO55</f>
        <v>-4.9999999999999822E-2</v>
      </c>
      <c r="DQ55" s="655"/>
      <c r="DR55" s="656">
        <v>1</v>
      </c>
      <c r="DS55" s="577" t="s">
        <v>778</v>
      </c>
      <c r="DT55" s="584">
        <v>943</v>
      </c>
      <c r="DU55" s="562"/>
      <c r="DV55" s="562"/>
      <c r="DW55" s="625" t="s">
        <v>806</v>
      </c>
      <c r="DX55" s="625">
        <f>COUNT(DP55:DP62)</f>
        <v>8</v>
      </c>
      <c r="DY55" s="607" t="s">
        <v>785</v>
      </c>
      <c r="DZ55" s="607" t="s">
        <v>542</v>
      </c>
    </row>
    <row r="56" spans="2:130" s="560" customFormat="1">
      <c r="C56" s="560">
        <v>0.85</v>
      </c>
      <c r="P56" s="561"/>
      <c r="Q56" s="562"/>
      <c r="R56" s="562">
        <v>0.55000000000000004</v>
      </c>
      <c r="S56" s="562">
        <v>1.1000000000000001</v>
      </c>
      <c r="T56" s="562"/>
      <c r="U56" s="562"/>
      <c r="V56" s="562"/>
      <c r="W56" s="562"/>
      <c r="X56" s="562"/>
      <c r="Y56" s="562"/>
      <c r="Z56" s="562"/>
      <c r="AA56" s="562"/>
      <c r="AB56" s="562"/>
      <c r="AC56" s="562"/>
      <c r="AD56" s="563"/>
      <c r="AE56" s="561"/>
      <c r="AF56" s="562" t="s">
        <v>778</v>
      </c>
      <c r="AG56" s="562"/>
      <c r="AH56" s="577">
        <v>0.4</v>
      </c>
      <c r="AI56" s="577" t="s">
        <v>778</v>
      </c>
      <c r="AJ56" s="577"/>
      <c r="AK56" s="577"/>
      <c r="AL56" s="577"/>
      <c r="AM56" s="577"/>
      <c r="AN56" s="562"/>
      <c r="AO56" s="562"/>
      <c r="AP56" s="598"/>
      <c r="AQ56" s="599"/>
      <c r="AR56" s="599"/>
      <c r="AS56" s="600"/>
      <c r="AT56" s="600"/>
      <c r="AU56" s="577" t="s">
        <v>778</v>
      </c>
      <c r="AV56" s="577">
        <v>1588</v>
      </c>
      <c r="AW56" s="562"/>
      <c r="AX56" s="625" t="s">
        <v>811</v>
      </c>
      <c r="AY56" s="649">
        <f>MAX(AR48:AR72)</f>
        <v>1.5583333333333327</v>
      </c>
      <c r="AZ56" s="562"/>
      <c r="BA56" s="607" t="s">
        <v>807</v>
      </c>
      <c r="BB56" s="608" t="s">
        <v>808</v>
      </c>
      <c r="BD56" s="576">
        <v>7</v>
      </c>
      <c r="BF56" s="576">
        <v>0.8</v>
      </c>
      <c r="BG56" s="576" t="s">
        <v>777</v>
      </c>
      <c r="BH56" s="576">
        <v>1</v>
      </c>
      <c r="BI56" s="576"/>
      <c r="BJ56" s="576"/>
      <c r="BK56" s="576"/>
      <c r="BL56" s="576"/>
      <c r="BN56" s="576"/>
      <c r="BO56" s="611"/>
      <c r="BP56" s="611"/>
      <c r="BQ56" s="612"/>
      <c r="BR56" s="612"/>
      <c r="BS56" s="566"/>
      <c r="BT56" s="576"/>
      <c r="BY56" s="585" t="s">
        <v>798</v>
      </c>
      <c r="BZ56" s="585" t="s">
        <v>546</v>
      </c>
      <c r="DD56" s="561"/>
      <c r="DE56" s="577">
        <v>2</v>
      </c>
      <c r="DF56" s="562"/>
      <c r="DG56" s="577"/>
      <c r="DH56" s="577"/>
      <c r="DI56" s="577"/>
      <c r="DJ56" s="577">
        <v>1</v>
      </c>
      <c r="DK56" s="577"/>
      <c r="DL56" s="577">
        <v>1.7</v>
      </c>
      <c r="DM56" s="577">
        <f>DL56+DL56</f>
        <v>3.4</v>
      </c>
      <c r="DN56" s="654">
        <v>0.125</v>
      </c>
      <c r="DO56" s="599">
        <v>3.5785714285714283</v>
      </c>
      <c r="DP56" s="599">
        <f t="shared" si="14"/>
        <v>-0.17857142857142838</v>
      </c>
      <c r="DQ56" s="600">
        <v>1</v>
      </c>
      <c r="DR56" s="600"/>
      <c r="DS56" s="577" t="s">
        <v>778</v>
      </c>
      <c r="DT56" s="584"/>
      <c r="DU56" s="562"/>
      <c r="DV56" s="562"/>
      <c r="DW56" s="625" t="s">
        <v>812</v>
      </c>
      <c r="DX56" s="626">
        <f>SUM(DP55:DP62)</f>
        <v>2.3857142857142857</v>
      </c>
      <c r="DY56" s="607" t="s">
        <v>789</v>
      </c>
      <c r="DZ56" s="607" t="s">
        <v>790</v>
      </c>
    </row>
    <row r="57" spans="2:130" s="560" customFormat="1">
      <c r="C57" s="560">
        <v>0.8</v>
      </c>
      <c r="P57" s="561"/>
      <c r="Q57" s="562"/>
      <c r="R57" s="562">
        <v>0.9</v>
      </c>
      <c r="S57" s="562">
        <v>1</v>
      </c>
      <c r="T57" s="562"/>
      <c r="U57" s="562"/>
      <c r="V57" s="562"/>
      <c r="W57" s="562"/>
      <c r="X57" s="562"/>
      <c r="Y57" s="562"/>
      <c r="Z57" s="562"/>
      <c r="AA57" s="562"/>
      <c r="AB57" s="562"/>
      <c r="AC57" s="562"/>
      <c r="AD57" s="563"/>
      <c r="AE57" s="561"/>
      <c r="AF57" s="568">
        <v>5</v>
      </c>
      <c r="AG57" s="562"/>
      <c r="AH57" s="577"/>
      <c r="AI57" s="577"/>
      <c r="AJ57" s="577"/>
      <c r="AK57" s="577">
        <v>1</v>
      </c>
      <c r="AL57" s="577"/>
      <c r="AM57" s="577"/>
      <c r="AN57" s="562">
        <v>2.25</v>
      </c>
      <c r="AO57" s="562">
        <f>AN57+AN57</f>
        <v>4.5</v>
      </c>
      <c r="AP57" s="598">
        <v>0.140625</v>
      </c>
      <c r="AQ57" s="599">
        <v>4.2750000000000004</v>
      </c>
      <c r="AR57" s="599">
        <f>AO57-AQ57</f>
        <v>0.22499999999999964</v>
      </c>
      <c r="AS57" s="600"/>
      <c r="AT57" s="600">
        <v>1</v>
      </c>
      <c r="AU57" s="577" t="s">
        <v>778</v>
      </c>
      <c r="AV57" s="577"/>
      <c r="AW57" s="562"/>
      <c r="AX57" s="625" t="s">
        <v>814</v>
      </c>
      <c r="AY57" s="649">
        <f>MIN(AR48:AR72)</f>
        <v>0.10833333333333339</v>
      </c>
      <c r="AZ57" s="562"/>
      <c r="BA57" s="607" t="s">
        <v>810</v>
      </c>
      <c r="BB57" s="608" t="s">
        <v>550</v>
      </c>
      <c r="BD57" s="576">
        <v>7.5</v>
      </c>
      <c r="BF57" s="576">
        <v>1</v>
      </c>
      <c r="BG57" s="576" t="s">
        <v>793</v>
      </c>
      <c r="BH57" s="576"/>
      <c r="BI57" s="576"/>
      <c r="BJ57" s="576"/>
      <c r="BK57" s="576">
        <v>1</v>
      </c>
      <c r="BL57" s="576"/>
      <c r="BN57" s="576"/>
      <c r="BO57" s="611"/>
      <c r="BP57" s="611"/>
      <c r="BQ57" s="612"/>
      <c r="BR57" s="612"/>
      <c r="BS57" s="566"/>
      <c r="BT57" s="576"/>
      <c r="BY57" s="585" t="s">
        <v>800</v>
      </c>
      <c r="BZ57" s="585" t="s">
        <v>801</v>
      </c>
      <c r="DD57" s="561"/>
      <c r="DE57" s="577">
        <v>3</v>
      </c>
      <c r="DF57" s="562"/>
      <c r="DG57" s="577"/>
      <c r="DH57" s="577"/>
      <c r="DI57" s="577"/>
      <c r="DJ57" s="577">
        <v>1</v>
      </c>
      <c r="DK57" s="577"/>
      <c r="DL57" s="577">
        <v>2.1</v>
      </c>
      <c r="DM57" s="577">
        <f>DL57+DL57</f>
        <v>4.2</v>
      </c>
      <c r="DN57" s="598">
        <v>0.140625</v>
      </c>
      <c r="DO57" s="599">
        <v>3.5071428571428571</v>
      </c>
      <c r="DP57" s="599">
        <f t="shared" si="14"/>
        <v>0.69285714285714306</v>
      </c>
      <c r="DQ57" s="600"/>
      <c r="DR57" s="600">
        <v>1</v>
      </c>
      <c r="DS57" s="577" t="s">
        <v>778</v>
      </c>
      <c r="DT57" s="584"/>
      <c r="DU57" s="562"/>
      <c r="DV57" s="562"/>
      <c r="DW57" s="625" t="s">
        <v>811</v>
      </c>
      <c r="DX57" s="626">
        <f>MAX(DP55:DP62)</f>
        <v>0.84999999999999964</v>
      </c>
      <c r="DY57" s="607" t="s">
        <v>791</v>
      </c>
      <c r="DZ57" s="607" t="s">
        <v>792</v>
      </c>
    </row>
    <row r="58" spans="2:130" s="560" customFormat="1">
      <c r="B58" s="560" t="s">
        <v>821</v>
      </c>
      <c r="P58" s="561"/>
      <c r="Q58" s="562"/>
      <c r="R58" s="562">
        <v>0.4</v>
      </c>
      <c r="S58" s="562">
        <v>0.46</v>
      </c>
      <c r="T58" s="562"/>
      <c r="U58" s="562"/>
      <c r="V58" s="562"/>
      <c r="W58" s="562"/>
      <c r="X58" s="562"/>
      <c r="Y58" s="562"/>
      <c r="Z58" s="562"/>
      <c r="AA58" s="562"/>
      <c r="AB58" s="562"/>
      <c r="AC58" s="562"/>
      <c r="AD58" s="563"/>
      <c r="AE58" s="561"/>
      <c r="AF58" s="562" t="s">
        <v>778</v>
      </c>
      <c r="AG58" s="562"/>
      <c r="AH58" s="577">
        <v>0.3</v>
      </c>
      <c r="AI58" s="577" t="s">
        <v>793</v>
      </c>
      <c r="AJ58" s="577"/>
      <c r="AK58" s="577"/>
      <c r="AL58" s="577"/>
      <c r="AM58" s="577">
        <v>1</v>
      </c>
      <c r="AN58" s="562"/>
      <c r="AO58" s="562"/>
      <c r="AP58" s="598"/>
      <c r="AQ58" s="599"/>
      <c r="AR58" s="599"/>
      <c r="AS58" s="600"/>
      <c r="AT58" s="600"/>
      <c r="AU58" s="577"/>
      <c r="AV58" s="577">
        <v>1587</v>
      </c>
      <c r="AW58" s="562"/>
      <c r="AX58" s="625" t="s">
        <v>817</v>
      </c>
      <c r="AY58" s="649">
        <f>AVERAGE(AR48:AR72)</f>
        <v>0.49166666666666636</v>
      </c>
      <c r="AZ58" s="562"/>
      <c r="BA58" s="607" t="s">
        <v>813</v>
      </c>
      <c r="BB58" s="608" t="s">
        <v>552</v>
      </c>
      <c r="BD58" s="576">
        <v>8</v>
      </c>
      <c r="BF58" s="576">
        <v>9.9</v>
      </c>
      <c r="BG58" s="576" t="s">
        <v>802</v>
      </c>
      <c r="BH58" s="576"/>
      <c r="BI58" s="576">
        <v>1</v>
      </c>
      <c r="BJ58" s="576">
        <v>1</v>
      </c>
      <c r="BK58" s="576"/>
      <c r="BL58" s="576"/>
      <c r="BN58" s="576"/>
      <c r="BO58" s="611"/>
      <c r="BP58" s="611"/>
      <c r="BQ58" s="612"/>
      <c r="BR58" s="612"/>
      <c r="BS58" s="566"/>
      <c r="BT58" s="576"/>
      <c r="BY58" s="585" t="s">
        <v>804</v>
      </c>
      <c r="BZ58" s="585" t="s">
        <v>805</v>
      </c>
      <c r="DD58" s="561"/>
      <c r="DE58" s="577">
        <v>4</v>
      </c>
      <c r="DF58" s="562"/>
      <c r="DG58" s="577"/>
      <c r="DH58" s="577"/>
      <c r="DI58" s="577"/>
      <c r="DJ58" s="577">
        <v>1</v>
      </c>
      <c r="DK58" s="577"/>
      <c r="DL58" s="577">
        <v>1.9</v>
      </c>
      <c r="DM58" s="577">
        <f>DL58+DL58</f>
        <v>3.8</v>
      </c>
      <c r="DN58" s="598">
        <v>0.140625</v>
      </c>
      <c r="DO58" s="599">
        <v>3.4357142857142859</v>
      </c>
      <c r="DP58" s="599">
        <f t="shared" si="14"/>
        <v>0.36428571428571388</v>
      </c>
      <c r="DQ58" s="600"/>
      <c r="DR58" s="600">
        <v>1</v>
      </c>
      <c r="DS58" s="577" t="s">
        <v>778</v>
      </c>
      <c r="DT58" s="577"/>
      <c r="DU58" s="562"/>
      <c r="DV58" s="562"/>
      <c r="DW58" s="625" t="s">
        <v>814</v>
      </c>
      <c r="DX58" s="626">
        <f>MIN(DP55:DP62)</f>
        <v>-0.17857142857142838</v>
      </c>
      <c r="DY58" s="607" t="s">
        <v>794</v>
      </c>
      <c r="DZ58" s="607" t="s">
        <v>795</v>
      </c>
    </row>
    <row r="59" spans="2:130" s="560" customFormat="1">
      <c r="C59" s="560">
        <v>0.8</v>
      </c>
      <c r="P59" s="561"/>
      <c r="Q59" s="562"/>
      <c r="R59" s="562">
        <v>0.6</v>
      </c>
      <c r="S59" s="562">
        <v>0.5</v>
      </c>
      <c r="T59" s="562"/>
      <c r="U59" s="562"/>
      <c r="V59" s="562"/>
      <c r="W59" s="562"/>
      <c r="X59" s="562"/>
      <c r="Y59" s="562"/>
      <c r="Z59" s="562"/>
      <c r="AA59" s="562"/>
      <c r="AB59" s="562"/>
      <c r="AC59" s="562"/>
      <c r="AD59" s="563"/>
      <c r="AE59" s="561"/>
      <c r="AF59" s="562" t="s">
        <v>856</v>
      </c>
      <c r="AG59" s="562"/>
      <c r="AH59" s="577">
        <v>2.1</v>
      </c>
      <c r="AI59" s="577" t="s">
        <v>793</v>
      </c>
      <c r="AJ59" s="577"/>
      <c r="AK59" s="577"/>
      <c r="AL59" s="577"/>
      <c r="AM59" s="577">
        <v>1</v>
      </c>
      <c r="AN59" s="562"/>
      <c r="AO59" s="562"/>
      <c r="AP59" s="598"/>
      <c r="AQ59" s="599"/>
      <c r="AR59" s="599"/>
      <c r="AS59" s="600"/>
      <c r="AT59" s="600"/>
      <c r="AU59" s="577"/>
      <c r="AV59" s="577">
        <v>1586</v>
      </c>
      <c r="AW59" s="562"/>
      <c r="AX59" s="625" t="s">
        <v>818</v>
      </c>
      <c r="AY59" s="625" t="e">
        <f ca="1">_xlfn.STDEV.S(AR47:AR72)</f>
        <v>#NAME?</v>
      </c>
      <c r="AZ59" s="562"/>
      <c r="BA59" s="607" t="s">
        <v>815</v>
      </c>
      <c r="BB59" s="608" t="s">
        <v>816</v>
      </c>
      <c r="BD59" s="576">
        <v>9</v>
      </c>
      <c r="BF59" s="576">
        <v>2</v>
      </c>
      <c r="BG59" s="576" t="s">
        <v>802</v>
      </c>
      <c r="BH59" s="576"/>
      <c r="BI59" s="576">
        <v>1</v>
      </c>
      <c r="BJ59" s="576">
        <v>1</v>
      </c>
      <c r="BK59" s="576"/>
      <c r="BL59" s="576"/>
      <c r="BN59" s="576"/>
      <c r="BO59" s="611"/>
      <c r="BP59" s="611"/>
      <c r="BQ59" s="612"/>
      <c r="BR59" s="612"/>
      <c r="BS59" s="566"/>
      <c r="BT59" s="576"/>
      <c r="BU59" s="560" t="s">
        <v>860</v>
      </c>
      <c r="BY59" s="585" t="s">
        <v>807</v>
      </c>
      <c r="BZ59" s="585" t="s">
        <v>808</v>
      </c>
      <c r="CR59" s="560">
        <v>3.3</v>
      </c>
      <c r="CS59" s="560">
        <v>4</v>
      </c>
      <c r="DD59" s="561"/>
      <c r="DE59" s="577">
        <v>4.5</v>
      </c>
      <c r="DF59" s="562"/>
      <c r="DG59" s="577">
        <v>1</v>
      </c>
      <c r="DH59" s="577" t="s">
        <v>828</v>
      </c>
      <c r="DI59" s="577"/>
      <c r="DJ59" s="577"/>
      <c r="DK59" s="577"/>
      <c r="DL59" s="577"/>
      <c r="DM59" s="577"/>
      <c r="DN59" s="654"/>
      <c r="DO59" s="599"/>
      <c r="DP59" s="599">
        <f t="shared" si="14"/>
        <v>0</v>
      </c>
      <c r="DQ59" s="600"/>
      <c r="DR59" s="600"/>
      <c r="DS59" s="577"/>
      <c r="DT59" s="577">
        <v>941</v>
      </c>
      <c r="DU59" s="562"/>
      <c r="DV59" s="562"/>
      <c r="DW59" s="625" t="s">
        <v>817</v>
      </c>
      <c r="DX59" s="626">
        <f>AVERAGE(DP55:DP62)</f>
        <v>0.29821428571428571</v>
      </c>
      <c r="DY59" s="607" t="s">
        <v>798</v>
      </c>
      <c r="DZ59" s="607" t="s">
        <v>546</v>
      </c>
    </row>
    <row r="60" spans="2:130" s="560" customFormat="1">
      <c r="C60" s="560">
        <v>0.8</v>
      </c>
      <c r="P60" s="561"/>
      <c r="Q60" s="562"/>
      <c r="R60" s="562">
        <v>0.88</v>
      </c>
      <c r="S60" s="562">
        <v>0.9</v>
      </c>
      <c r="T60" s="562"/>
      <c r="U60" s="562"/>
      <c r="V60" s="562"/>
      <c r="W60" s="562"/>
      <c r="X60" s="562"/>
      <c r="Y60" s="562"/>
      <c r="Z60" s="562"/>
      <c r="AA60" s="562"/>
      <c r="AB60" s="562"/>
      <c r="AC60" s="562"/>
      <c r="AD60" s="563"/>
      <c r="AE60" s="561"/>
      <c r="AF60" s="562">
        <v>6</v>
      </c>
      <c r="AG60" s="562"/>
      <c r="AH60" s="577"/>
      <c r="AI60" s="577"/>
      <c r="AJ60" s="577"/>
      <c r="AK60" s="577">
        <v>1</v>
      </c>
      <c r="AL60" s="577"/>
      <c r="AM60" s="577"/>
      <c r="AN60" s="562">
        <v>2.4</v>
      </c>
      <c r="AO60" s="562">
        <f>AN60+AN60</f>
        <v>4.8</v>
      </c>
      <c r="AP60" s="598">
        <v>0.140625</v>
      </c>
      <c r="AQ60" s="599">
        <v>4.25</v>
      </c>
      <c r="AR60" s="599">
        <f>AO60-AQ60</f>
        <v>0.54999999999999982</v>
      </c>
      <c r="AS60" s="600"/>
      <c r="AT60" s="600">
        <v>1</v>
      </c>
      <c r="AU60" s="577" t="s">
        <v>778</v>
      </c>
      <c r="AV60" s="562"/>
      <c r="AW60" s="562"/>
      <c r="AX60" s="562"/>
      <c r="AY60" s="562"/>
      <c r="AZ60" s="562"/>
      <c r="BA60" s="562"/>
      <c r="BB60" s="563"/>
      <c r="BD60" s="576">
        <v>10</v>
      </c>
      <c r="BF60" s="576">
        <v>7</v>
      </c>
      <c r="BG60" s="576" t="s">
        <v>793</v>
      </c>
      <c r="BH60" s="576"/>
      <c r="BI60" s="576">
        <v>1</v>
      </c>
      <c r="BJ60" s="576"/>
      <c r="BK60" s="576">
        <v>1</v>
      </c>
      <c r="BL60" s="576"/>
      <c r="BN60" s="576"/>
      <c r="BO60" s="611"/>
      <c r="BP60" s="611"/>
      <c r="BQ60" s="612"/>
      <c r="BR60" s="612"/>
      <c r="BS60" s="566"/>
      <c r="BT60" s="576"/>
      <c r="BY60" s="585" t="s">
        <v>810</v>
      </c>
      <c r="BZ60" s="585" t="s">
        <v>550</v>
      </c>
      <c r="CR60" s="560">
        <v>3.3</v>
      </c>
      <c r="CS60" s="560">
        <v>4</v>
      </c>
      <c r="DD60" s="561"/>
      <c r="DE60" s="577">
        <v>5</v>
      </c>
      <c r="DF60" s="562"/>
      <c r="DG60" s="577">
        <v>1.2</v>
      </c>
      <c r="DH60" s="577" t="s">
        <v>861</v>
      </c>
      <c r="DI60" s="577">
        <v>1</v>
      </c>
      <c r="DJ60" s="577"/>
      <c r="DK60" s="577"/>
      <c r="DL60" s="577">
        <v>2</v>
      </c>
      <c r="DM60" s="577">
        <f>DL60+DL60</f>
        <v>4</v>
      </c>
      <c r="DN60" s="598">
        <v>0.140625</v>
      </c>
      <c r="DO60" s="599">
        <v>3.2928571428571427</v>
      </c>
      <c r="DP60" s="599">
        <f t="shared" si="14"/>
        <v>0.7071428571428573</v>
      </c>
      <c r="DQ60" s="600"/>
      <c r="DR60" s="600">
        <v>1</v>
      </c>
      <c r="DS60" s="577" t="s">
        <v>778</v>
      </c>
      <c r="DT60" s="577">
        <v>940</v>
      </c>
      <c r="DU60" s="562"/>
      <c r="DV60" s="562"/>
      <c r="DW60" s="625" t="s">
        <v>818</v>
      </c>
      <c r="DX60" s="625">
        <f>STDEV(DP55:DP62)</f>
        <v>0.40677122315662662</v>
      </c>
      <c r="DY60" s="607" t="s">
        <v>800</v>
      </c>
      <c r="DZ60" s="607" t="s">
        <v>801</v>
      </c>
    </row>
    <row r="61" spans="2:130" s="560" customFormat="1">
      <c r="C61" s="560">
        <v>0.85</v>
      </c>
      <c r="P61" s="561"/>
      <c r="Q61" s="562"/>
      <c r="R61" s="562">
        <v>0.9</v>
      </c>
      <c r="S61" s="562">
        <v>0.95</v>
      </c>
      <c r="T61" s="562"/>
      <c r="U61" s="562"/>
      <c r="V61" s="562"/>
      <c r="W61" s="562"/>
      <c r="X61" s="562"/>
      <c r="Y61" s="562"/>
      <c r="Z61" s="562"/>
      <c r="AA61" s="562"/>
      <c r="AB61" s="562"/>
      <c r="AC61" s="562"/>
      <c r="AD61" s="563"/>
      <c r="AE61" s="561"/>
      <c r="AF61" s="562">
        <v>7</v>
      </c>
      <c r="AG61" s="562"/>
      <c r="AH61" s="577">
        <v>2.5</v>
      </c>
      <c r="AI61" s="577" t="s">
        <v>793</v>
      </c>
      <c r="AJ61" s="577"/>
      <c r="AK61" s="577">
        <v>1</v>
      </c>
      <c r="AL61" s="577"/>
      <c r="AM61" s="577">
        <v>1</v>
      </c>
      <c r="AN61" s="562">
        <v>2.9</v>
      </c>
      <c r="AO61" s="562">
        <f>AN61+AN61</f>
        <v>5.8</v>
      </c>
      <c r="AP61" s="598">
        <v>0.140625</v>
      </c>
      <c r="AQ61" s="599">
        <v>4.2416666666666671</v>
      </c>
      <c r="AR61" s="599">
        <f>AO61-AQ61</f>
        <v>1.5583333333333327</v>
      </c>
      <c r="AS61" s="657"/>
      <c r="AT61" s="657"/>
      <c r="AU61" s="577" t="s">
        <v>778</v>
      </c>
      <c r="AV61" s="577">
        <v>1585</v>
      </c>
      <c r="AW61" s="562" t="s">
        <v>862</v>
      </c>
      <c r="AX61" s="562"/>
      <c r="AY61" s="562"/>
      <c r="AZ61" s="562"/>
      <c r="BA61" s="562"/>
      <c r="BB61" s="563"/>
      <c r="BD61" s="576">
        <v>11</v>
      </c>
      <c r="BF61" s="576">
        <v>8</v>
      </c>
      <c r="BG61" s="576" t="s">
        <v>793</v>
      </c>
      <c r="BH61" s="576"/>
      <c r="BI61" s="576">
        <v>1</v>
      </c>
      <c r="BJ61" s="576"/>
      <c r="BK61" s="576">
        <v>1</v>
      </c>
      <c r="BL61" s="576"/>
      <c r="BN61" s="576"/>
      <c r="BO61" s="611"/>
      <c r="BP61" s="611"/>
      <c r="BQ61" s="612"/>
      <c r="BR61" s="612"/>
      <c r="BS61" s="566"/>
      <c r="BT61" s="576"/>
      <c r="BY61" s="585" t="s">
        <v>813</v>
      </c>
      <c r="BZ61" s="585" t="s">
        <v>552</v>
      </c>
      <c r="CR61" s="560">
        <v>1</v>
      </c>
      <c r="CS61" s="560">
        <v>1</v>
      </c>
      <c r="DD61" s="561"/>
      <c r="DE61" s="577">
        <v>5.5</v>
      </c>
      <c r="DF61" s="562"/>
      <c r="DG61" s="577">
        <v>0.8</v>
      </c>
      <c r="DH61" s="577" t="s">
        <v>828</v>
      </c>
      <c r="DI61" s="577"/>
      <c r="DJ61" s="577"/>
      <c r="DK61" s="577"/>
      <c r="DL61" s="577"/>
      <c r="DM61" s="577"/>
      <c r="DN61" s="654"/>
      <c r="DO61" s="599"/>
      <c r="DP61" s="599">
        <f t="shared" si="14"/>
        <v>0</v>
      </c>
      <c r="DQ61" s="600"/>
      <c r="DR61" s="600"/>
      <c r="DS61" s="577"/>
      <c r="DT61" s="577">
        <v>939</v>
      </c>
      <c r="DU61" s="562"/>
      <c r="DV61" s="562"/>
      <c r="DW61" s="562"/>
      <c r="DX61" s="562"/>
      <c r="DY61" s="607" t="s">
        <v>804</v>
      </c>
      <c r="DZ61" s="607" t="s">
        <v>805</v>
      </c>
    </row>
    <row r="62" spans="2:130" s="560" customFormat="1">
      <c r="C62" s="560">
        <v>0.9</v>
      </c>
      <c r="P62" s="561"/>
      <c r="Q62" s="562"/>
      <c r="R62" s="562">
        <v>0.95</v>
      </c>
      <c r="S62" s="562">
        <v>0.9</v>
      </c>
      <c r="T62" s="562"/>
      <c r="U62" s="562"/>
      <c r="V62" s="562"/>
      <c r="W62" s="562"/>
      <c r="X62" s="562"/>
      <c r="Y62" s="562"/>
      <c r="Z62" s="562"/>
      <c r="AA62" s="562"/>
      <c r="AB62" s="562"/>
      <c r="AC62" s="562"/>
      <c r="AD62" s="563"/>
      <c r="AE62" s="561"/>
      <c r="AF62" s="562">
        <v>8</v>
      </c>
      <c r="AG62" s="562"/>
      <c r="AH62" s="577"/>
      <c r="AI62" s="577"/>
      <c r="AJ62" s="577"/>
      <c r="AK62" s="577">
        <v>1</v>
      </c>
      <c r="AL62" s="577"/>
      <c r="AM62" s="577"/>
      <c r="AN62" s="562">
        <v>2.5</v>
      </c>
      <c r="AO62" s="562">
        <f>AN62+AN62</f>
        <v>5</v>
      </c>
      <c r="AP62" s="598">
        <v>0.140625</v>
      </c>
      <c r="AQ62" s="599">
        <v>4.2333333333333343</v>
      </c>
      <c r="AR62" s="599">
        <f>AO62-AQ62</f>
        <v>0.76666666666666572</v>
      </c>
      <c r="AS62" s="600"/>
      <c r="AT62" s="600">
        <v>1</v>
      </c>
      <c r="AU62" s="577" t="s">
        <v>778</v>
      </c>
      <c r="AV62" s="562"/>
      <c r="AW62" s="562"/>
      <c r="AX62" s="562"/>
      <c r="AY62" s="562"/>
      <c r="AZ62" s="562"/>
      <c r="BA62" s="562"/>
      <c r="BB62" s="563"/>
      <c r="BD62" s="576">
        <v>12</v>
      </c>
      <c r="BF62" s="576">
        <v>4.5999999999999996</v>
      </c>
      <c r="BG62" s="576" t="s">
        <v>793</v>
      </c>
      <c r="BH62" s="576"/>
      <c r="BI62" s="576">
        <v>1</v>
      </c>
      <c r="BJ62" s="576"/>
      <c r="BK62" s="576">
        <v>1</v>
      </c>
      <c r="BL62" s="576"/>
      <c r="BN62" s="576"/>
      <c r="BO62" s="611"/>
      <c r="BP62" s="611"/>
      <c r="BQ62" s="612"/>
      <c r="BR62" s="612"/>
      <c r="BS62" s="566"/>
      <c r="BT62" s="576"/>
      <c r="BY62" s="585" t="s">
        <v>815</v>
      </c>
      <c r="BZ62" s="585" t="s">
        <v>816</v>
      </c>
      <c r="CR62" s="560">
        <v>32</v>
      </c>
      <c r="CS62" s="560">
        <v>32</v>
      </c>
      <c r="DD62" s="561"/>
      <c r="DE62" s="577">
        <v>6</v>
      </c>
      <c r="DF62" s="562"/>
      <c r="DG62" s="577">
        <v>0.55000000000000004</v>
      </c>
      <c r="DH62" s="577" t="s">
        <v>861</v>
      </c>
      <c r="DI62" s="577">
        <v>1</v>
      </c>
      <c r="DJ62" s="577"/>
      <c r="DK62" s="577"/>
      <c r="DL62" s="577">
        <v>2</v>
      </c>
      <c r="DM62" s="577">
        <f>DL62+DL62</f>
        <v>4</v>
      </c>
      <c r="DN62" s="598">
        <v>0.140625</v>
      </c>
      <c r="DO62" s="599">
        <v>3.1500000000000004</v>
      </c>
      <c r="DP62" s="599">
        <f t="shared" si="14"/>
        <v>0.84999999999999964</v>
      </c>
      <c r="DQ62" s="600"/>
      <c r="DR62" s="600">
        <v>1</v>
      </c>
      <c r="DS62" s="577" t="s">
        <v>778</v>
      </c>
      <c r="DT62" s="577">
        <v>938</v>
      </c>
      <c r="DU62" s="562"/>
      <c r="DV62" s="562"/>
      <c r="DW62" s="562"/>
      <c r="DX62" s="562"/>
      <c r="DY62" s="607" t="s">
        <v>807</v>
      </c>
      <c r="DZ62" s="607" t="s">
        <v>808</v>
      </c>
    </row>
    <row r="63" spans="2:130" s="560" customFormat="1">
      <c r="C63" s="560">
        <v>0.8</v>
      </c>
      <c r="P63" s="561"/>
      <c r="Q63" s="562"/>
      <c r="R63" s="562">
        <v>1</v>
      </c>
      <c r="S63" s="562">
        <v>1.2</v>
      </c>
      <c r="T63" s="562"/>
      <c r="U63" s="562"/>
      <c r="V63" s="562"/>
      <c r="W63" s="562"/>
      <c r="X63" s="562"/>
      <c r="Y63" s="562"/>
      <c r="Z63" s="562"/>
      <c r="AA63" s="562"/>
      <c r="AB63" s="562"/>
      <c r="AC63" s="562"/>
      <c r="AD63" s="563"/>
      <c r="AE63" s="561"/>
      <c r="AF63" s="562">
        <v>9</v>
      </c>
      <c r="AG63" s="562"/>
      <c r="AH63" s="577">
        <v>0.2</v>
      </c>
      <c r="AI63" s="577" t="s">
        <v>778</v>
      </c>
      <c r="AJ63" s="577">
        <v>1</v>
      </c>
      <c r="AK63" s="577"/>
      <c r="AL63" s="577"/>
      <c r="AM63" s="577"/>
      <c r="AN63" s="562">
        <v>2.25</v>
      </c>
      <c r="AO63" s="562">
        <f>AN63+AN63</f>
        <v>4.5</v>
      </c>
      <c r="AP63" s="598">
        <v>0.140625</v>
      </c>
      <c r="AQ63" s="599">
        <v>4.2250000000000005</v>
      </c>
      <c r="AR63" s="599">
        <f>AO63-AQ63</f>
        <v>0.27499999999999947</v>
      </c>
      <c r="AS63" s="600"/>
      <c r="AT63" s="600">
        <v>1</v>
      </c>
      <c r="AU63" s="577" t="s">
        <v>778</v>
      </c>
      <c r="AV63" s="577">
        <v>1583</v>
      </c>
      <c r="AW63" s="562"/>
      <c r="AX63" s="562"/>
      <c r="AY63" s="562"/>
      <c r="AZ63" s="562"/>
      <c r="BA63" s="562"/>
      <c r="BB63" s="563"/>
      <c r="BD63" s="576">
        <v>13</v>
      </c>
      <c r="BF63" s="576">
        <v>10</v>
      </c>
      <c r="BG63" s="576" t="s">
        <v>793</v>
      </c>
      <c r="BH63" s="576"/>
      <c r="BI63" s="576">
        <v>1</v>
      </c>
      <c r="BJ63" s="576"/>
      <c r="BK63" s="576">
        <v>1</v>
      </c>
      <c r="BO63" s="605"/>
      <c r="BP63" s="605"/>
      <c r="BQ63" s="658"/>
      <c r="BR63" s="658"/>
      <c r="DD63" s="561"/>
      <c r="DE63" s="577">
        <v>6.5</v>
      </c>
      <c r="DF63" s="562"/>
      <c r="DG63" s="577">
        <v>10</v>
      </c>
      <c r="DH63" s="577" t="s">
        <v>863</v>
      </c>
      <c r="DI63" s="577"/>
      <c r="DJ63" s="577"/>
      <c r="DK63" s="577"/>
      <c r="DL63" s="577"/>
      <c r="DM63" s="577"/>
      <c r="DN63" s="654"/>
      <c r="DO63" s="647">
        <f>SUM(DO55:DO62)</f>
        <v>20.614285714285714</v>
      </c>
      <c r="DP63" s="636">
        <f>SUM(DP55:DP62)</f>
        <v>2.3857142857142857</v>
      </c>
      <c r="DQ63" s="600"/>
      <c r="DR63" s="600"/>
      <c r="DS63" s="577"/>
      <c r="DT63" s="577">
        <v>937</v>
      </c>
      <c r="DU63" s="562"/>
      <c r="DV63" s="562"/>
      <c r="DW63" s="562"/>
      <c r="DX63" s="562"/>
      <c r="DY63" s="607" t="s">
        <v>810</v>
      </c>
      <c r="DZ63" s="607" t="s">
        <v>550</v>
      </c>
    </row>
    <row r="64" spans="2:130" s="560" customFormat="1">
      <c r="C64" s="560">
        <v>0.8</v>
      </c>
      <c r="P64" s="561"/>
      <c r="Q64" s="562"/>
      <c r="R64" s="562">
        <v>0.95</v>
      </c>
      <c r="S64" s="562">
        <v>1.2</v>
      </c>
      <c r="T64" s="562"/>
      <c r="U64" s="562"/>
      <c r="V64" s="562"/>
      <c r="W64" s="562"/>
      <c r="X64" s="562"/>
      <c r="Y64" s="562"/>
      <c r="Z64" s="562"/>
      <c r="AA64" s="562"/>
      <c r="AB64" s="562"/>
      <c r="AC64" s="562"/>
      <c r="AD64" s="563"/>
      <c r="AE64" s="561"/>
      <c r="AF64" s="562" t="s">
        <v>778</v>
      </c>
      <c r="AG64" s="562"/>
      <c r="AH64" s="577">
        <v>0.1</v>
      </c>
      <c r="AI64" s="577" t="s">
        <v>777</v>
      </c>
      <c r="AJ64" s="577"/>
      <c r="AK64" s="577"/>
      <c r="AL64" s="577"/>
      <c r="AM64" s="577"/>
      <c r="AN64" s="562"/>
      <c r="AO64" s="562"/>
      <c r="AP64" s="659"/>
      <c r="AQ64" s="599"/>
      <c r="AR64" s="649"/>
      <c r="AS64" s="657"/>
      <c r="AT64" s="657"/>
      <c r="AU64" s="577"/>
      <c r="AV64" s="577">
        <v>1584</v>
      </c>
      <c r="AW64" s="562"/>
      <c r="AX64" s="562"/>
      <c r="AY64" s="562"/>
      <c r="AZ64" s="562"/>
      <c r="BA64" s="562"/>
      <c r="BB64" s="563"/>
      <c r="BD64" s="576">
        <v>14</v>
      </c>
      <c r="BF64" s="576">
        <v>4.4000000000000004</v>
      </c>
      <c r="BG64" s="576" t="s">
        <v>793</v>
      </c>
      <c r="BH64" s="576"/>
      <c r="BI64" s="576">
        <v>1</v>
      </c>
      <c r="BJ64" s="576"/>
      <c r="BK64" s="576">
        <v>1</v>
      </c>
      <c r="BO64" s="605"/>
      <c r="BP64" s="605"/>
      <c r="BQ64" s="658"/>
      <c r="BR64" s="658"/>
      <c r="DD64" s="561"/>
      <c r="DE64" s="577"/>
      <c r="DF64" s="562"/>
      <c r="DG64" s="632">
        <f>SUM(DG53:DG63)</f>
        <v>18.25</v>
      </c>
      <c r="DH64" s="632"/>
      <c r="DI64" s="632">
        <f>SUM(DI53:DI63)</f>
        <v>3</v>
      </c>
      <c r="DJ64" s="632">
        <f>SUM(DJ53:DJ63)</f>
        <v>3</v>
      </c>
      <c r="DK64" s="634">
        <f>SUM(DK53:DK63)</f>
        <v>1</v>
      </c>
      <c r="DL64" s="577"/>
      <c r="DM64" s="577"/>
      <c r="DN64" s="654"/>
      <c r="DO64" s="649"/>
      <c r="DP64" s="650">
        <f>+DP63/DO63</f>
        <v>0.11573111573111573</v>
      </c>
      <c r="DQ64" s="637">
        <f>SUM(DQ53:DQ63)</f>
        <v>1</v>
      </c>
      <c r="DR64" s="637">
        <f>SUM(DR53:DR63)</f>
        <v>5</v>
      </c>
      <c r="DS64" s="577"/>
      <c r="DT64" s="577"/>
      <c r="DU64" s="562"/>
      <c r="DV64" s="562"/>
      <c r="DW64" s="562"/>
      <c r="DX64" s="562"/>
      <c r="DY64" s="607" t="s">
        <v>813</v>
      </c>
      <c r="DZ64" s="607" t="s">
        <v>552</v>
      </c>
    </row>
    <row r="65" spans="2:130" s="560" customFormat="1">
      <c r="C65" s="560">
        <v>0.75</v>
      </c>
      <c r="P65" s="561"/>
      <c r="Q65" s="562"/>
      <c r="R65" s="562">
        <v>1.2</v>
      </c>
      <c r="S65" s="562">
        <v>1.3</v>
      </c>
      <c r="T65" s="562"/>
      <c r="U65" s="562"/>
      <c r="V65" s="562"/>
      <c r="W65" s="562"/>
      <c r="X65" s="562"/>
      <c r="Y65" s="562"/>
      <c r="Z65" s="562"/>
      <c r="AA65" s="562"/>
      <c r="AB65" s="562"/>
      <c r="AC65" s="562"/>
      <c r="AD65" s="563"/>
      <c r="AE65" s="561"/>
      <c r="AF65" s="562">
        <v>10</v>
      </c>
      <c r="AG65" s="562"/>
      <c r="AH65" s="577">
        <v>0.3</v>
      </c>
      <c r="AI65" s="577" t="s">
        <v>778</v>
      </c>
      <c r="AJ65" s="577">
        <v>1</v>
      </c>
      <c r="AK65" s="577"/>
      <c r="AL65" s="577"/>
      <c r="AM65" s="577"/>
      <c r="AN65" s="562">
        <v>2.2999999999999998</v>
      </c>
      <c r="AO65" s="562">
        <f>AN65+AN65</f>
        <v>4.5999999999999996</v>
      </c>
      <c r="AP65" s="598">
        <v>0.140625</v>
      </c>
      <c r="AQ65" s="599">
        <v>4.2083333333333339</v>
      </c>
      <c r="AR65" s="599">
        <f>AO65-AQ65</f>
        <v>0.39166666666666572</v>
      </c>
      <c r="AS65" s="600"/>
      <c r="AT65" s="600">
        <v>1</v>
      </c>
      <c r="AU65" s="577" t="s">
        <v>778</v>
      </c>
      <c r="AV65" s="577">
        <v>1580</v>
      </c>
      <c r="AW65" s="562"/>
      <c r="AX65" s="562"/>
      <c r="AY65" s="562"/>
      <c r="AZ65" s="562"/>
      <c r="BA65" s="562"/>
      <c r="BB65" s="563"/>
      <c r="BH65" s="640">
        <f>SUM(BH50:BH64)</f>
        <v>2</v>
      </c>
      <c r="BI65" s="640">
        <f>SUM(BI50:BI64)</f>
        <v>12</v>
      </c>
      <c r="BJ65" s="641">
        <f>SUM(BJ50:BJ64)</f>
        <v>3</v>
      </c>
      <c r="BK65" s="642">
        <f>SUM(BK50:BK64)</f>
        <v>9</v>
      </c>
      <c r="BO65" s="660"/>
      <c r="BP65" s="660"/>
      <c r="BQ65" s="661"/>
      <c r="BR65" s="661"/>
      <c r="DD65" s="567">
        <v>41102</v>
      </c>
      <c r="DE65" s="568" t="s">
        <v>725</v>
      </c>
      <c r="DF65" s="568"/>
      <c r="DG65" s="568" t="s">
        <v>726</v>
      </c>
      <c r="DH65" s="569" t="s">
        <v>727</v>
      </c>
      <c r="DI65" s="569"/>
      <c r="DJ65" s="569"/>
      <c r="DK65" s="569"/>
      <c r="DL65" s="569" t="s">
        <v>728</v>
      </c>
      <c r="DM65" s="569"/>
      <c r="DN65" s="569" t="s">
        <v>729</v>
      </c>
      <c r="DO65" s="651"/>
      <c r="DP65" s="599"/>
      <c r="DQ65" s="569" t="s">
        <v>730</v>
      </c>
      <c r="DR65" s="639"/>
      <c r="DS65" s="562"/>
      <c r="DT65" s="569" t="s">
        <v>731</v>
      </c>
      <c r="DU65" s="568"/>
      <c r="DV65" s="562"/>
      <c r="DW65" s="562"/>
      <c r="DX65" s="562"/>
      <c r="DY65" s="607" t="s">
        <v>815</v>
      </c>
      <c r="DZ65" s="607" t="s">
        <v>816</v>
      </c>
    </row>
    <row r="66" spans="2:130" s="560" customFormat="1">
      <c r="C66" s="560">
        <v>0.8</v>
      </c>
      <c r="P66" s="561"/>
      <c r="Q66" s="562"/>
      <c r="R66" s="562">
        <v>1.1000000000000001</v>
      </c>
      <c r="S66" s="562">
        <v>1</v>
      </c>
      <c r="T66" s="562"/>
      <c r="U66" s="562"/>
      <c r="V66" s="562"/>
      <c r="W66" s="562"/>
      <c r="X66" s="562"/>
      <c r="Y66" s="562"/>
      <c r="Z66" s="562"/>
      <c r="AA66" s="562"/>
      <c r="AB66" s="562"/>
      <c r="AC66" s="562"/>
      <c r="AD66" s="563"/>
      <c r="AE66" s="561"/>
      <c r="AF66" s="562" t="s">
        <v>778</v>
      </c>
      <c r="AG66" s="562"/>
      <c r="AH66" s="577">
        <v>0.1</v>
      </c>
      <c r="AI66" s="577" t="s">
        <v>777</v>
      </c>
      <c r="AJ66" s="577"/>
      <c r="AK66" s="577"/>
      <c r="AL66" s="577"/>
      <c r="AM66" s="577"/>
      <c r="AN66" s="562"/>
      <c r="AO66" s="562"/>
      <c r="AP66" s="659"/>
      <c r="AQ66" s="599"/>
      <c r="AR66" s="649"/>
      <c r="AS66" s="657"/>
      <c r="AT66" s="657"/>
      <c r="AU66" s="577"/>
      <c r="AV66" s="577">
        <v>1581</v>
      </c>
      <c r="AW66" s="562"/>
      <c r="AX66" s="562"/>
      <c r="AY66" s="562"/>
      <c r="AZ66" s="562"/>
      <c r="BA66" s="562"/>
      <c r="BB66" s="563"/>
      <c r="BC66" s="564">
        <v>41072</v>
      </c>
      <c r="BD66" s="565" t="s">
        <v>725</v>
      </c>
      <c r="BE66" s="565"/>
      <c r="BF66" s="565" t="s">
        <v>726</v>
      </c>
      <c r="BG66" s="566" t="s">
        <v>727</v>
      </c>
      <c r="BH66" s="566"/>
      <c r="BI66" s="566"/>
      <c r="BJ66" s="566"/>
      <c r="BK66" s="566"/>
      <c r="BL66" s="566" t="s">
        <v>728</v>
      </c>
      <c r="BM66" s="566"/>
      <c r="BN66" s="566" t="s">
        <v>729</v>
      </c>
      <c r="BO66" s="603"/>
      <c r="BP66" s="603"/>
      <c r="BQ66" s="604"/>
      <c r="BR66" s="604"/>
      <c r="BS66" s="566" t="s">
        <v>730</v>
      </c>
      <c r="BT66" s="566" t="s">
        <v>731</v>
      </c>
      <c r="BU66" s="565"/>
      <c r="DD66" s="561"/>
      <c r="DE66" s="568"/>
      <c r="DF66" s="568"/>
      <c r="DG66" s="568"/>
      <c r="DH66" s="577" t="s">
        <v>864</v>
      </c>
      <c r="DI66" s="577"/>
      <c r="DJ66" s="577"/>
      <c r="DK66" s="577"/>
      <c r="DL66" s="577" t="s">
        <v>865</v>
      </c>
      <c r="DM66" s="577"/>
      <c r="DN66" s="577">
        <v>34</v>
      </c>
      <c r="DO66" s="599"/>
      <c r="DP66" s="599"/>
      <c r="DQ66" s="577">
        <v>30</v>
      </c>
      <c r="DR66" s="600"/>
      <c r="DS66" s="562"/>
      <c r="DT66" s="577"/>
      <c r="DU66" s="568"/>
      <c r="DV66" s="562"/>
      <c r="DW66" s="562"/>
      <c r="DX66" s="562"/>
      <c r="DY66" s="562"/>
      <c r="DZ66" s="562"/>
    </row>
    <row r="67" spans="2:130" s="560" customFormat="1">
      <c r="C67" s="560">
        <v>0.75</v>
      </c>
      <c r="P67" s="561"/>
      <c r="Q67" s="562"/>
      <c r="R67" s="562">
        <v>1.1000000000000001</v>
      </c>
      <c r="S67" s="562">
        <v>1.1000000000000001</v>
      </c>
      <c r="T67" s="562"/>
      <c r="U67" s="562"/>
      <c r="V67" s="562"/>
      <c r="W67" s="562"/>
      <c r="X67" s="562"/>
      <c r="Y67" s="562"/>
      <c r="Z67" s="562"/>
      <c r="AA67" s="562"/>
      <c r="AB67" s="562"/>
      <c r="AC67" s="562"/>
      <c r="AD67" s="563"/>
      <c r="AE67" s="561"/>
      <c r="AF67" s="562" t="s">
        <v>856</v>
      </c>
      <c r="AG67" s="562"/>
      <c r="AH67" s="577">
        <v>0.1</v>
      </c>
      <c r="AI67" s="577"/>
      <c r="AJ67" s="577"/>
      <c r="AK67" s="577"/>
      <c r="AL67" s="577"/>
      <c r="AM67" s="577"/>
      <c r="AN67" s="562"/>
      <c r="AO67" s="562"/>
      <c r="AP67" s="659"/>
      <c r="AQ67" s="599"/>
      <c r="AR67" s="649"/>
      <c r="AS67" s="657"/>
      <c r="AT67" s="657"/>
      <c r="AU67" s="577"/>
      <c r="AV67" s="577"/>
      <c r="AW67" s="562"/>
      <c r="AX67" s="562"/>
      <c r="AY67" s="562"/>
      <c r="AZ67" s="562"/>
      <c r="BA67" s="562"/>
      <c r="BB67" s="563"/>
      <c r="BD67" s="565"/>
      <c r="BE67" s="565"/>
      <c r="BF67" s="565"/>
      <c r="BG67" s="576" t="s">
        <v>866</v>
      </c>
      <c r="BH67" s="576"/>
      <c r="BI67" s="576"/>
      <c r="BJ67" s="576"/>
      <c r="BK67" s="576"/>
      <c r="BL67" s="576" t="s">
        <v>867</v>
      </c>
      <c r="BM67" s="576"/>
      <c r="BN67" s="576">
        <v>43</v>
      </c>
      <c r="BO67" s="611"/>
      <c r="BP67" s="611"/>
      <c r="BQ67" s="612"/>
      <c r="BR67" s="612"/>
      <c r="BS67" s="576">
        <v>45</v>
      </c>
      <c r="BT67" s="622" t="s">
        <v>868</v>
      </c>
      <c r="BU67" s="565"/>
      <c r="DD67" s="561" t="s">
        <v>531</v>
      </c>
      <c r="DE67" s="583" t="s">
        <v>869</v>
      </c>
      <c r="DF67" s="578"/>
      <c r="DG67" s="569"/>
      <c r="DH67" s="568"/>
      <c r="DI67" s="568"/>
      <c r="DJ67" s="568"/>
      <c r="DK67" s="568"/>
      <c r="DL67" s="568"/>
      <c r="DM67" s="568"/>
      <c r="DN67" s="569"/>
      <c r="DO67" s="653" t="s">
        <v>415</v>
      </c>
      <c r="DP67" s="599"/>
      <c r="DQ67" s="583" t="s">
        <v>870</v>
      </c>
      <c r="DR67" s="639"/>
      <c r="DS67" s="569"/>
      <c r="DT67" s="577"/>
      <c r="DU67" s="569"/>
      <c r="DV67" s="562"/>
      <c r="DW67" s="562"/>
      <c r="DX67" s="562"/>
      <c r="DY67" s="562"/>
      <c r="DZ67" s="562"/>
    </row>
    <row r="68" spans="2:130" s="560" customFormat="1">
      <c r="C68" s="560">
        <v>0.75</v>
      </c>
      <c r="P68" s="561"/>
      <c r="Q68" s="562"/>
      <c r="R68" s="562">
        <v>1.5</v>
      </c>
      <c r="S68" s="562">
        <v>1.5</v>
      </c>
      <c r="T68" s="562"/>
      <c r="U68" s="562"/>
      <c r="V68" s="562"/>
      <c r="W68" s="562"/>
      <c r="X68" s="562"/>
      <c r="Y68" s="562"/>
      <c r="Z68" s="562"/>
      <c r="AA68" s="562"/>
      <c r="AB68" s="562"/>
      <c r="AC68" s="562"/>
      <c r="AD68" s="563"/>
      <c r="AE68" s="561"/>
      <c r="AF68" s="562">
        <v>11</v>
      </c>
      <c r="AG68" s="562"/>
      <c r="AH68" s="577">
        <v>0.5</v>
      </c>
      <c r="AI68" s="577" t="s">
        <v>778</v>
      </c>
      <c r="AJ68" s="577">
        <v>1</v>
      </c>
      <c r="AK68" s="577"/>
      <c r="AL68" s="577"/>
      <c r="AM68" s="577"/>
      <c r="AN68" s="562">
        <v>2.2000000000000002</v>
      </c>
      <c r="AO68" s="562">
        <f>AN68+AN68</f>
        <v>4.4000000000000004</v>
      </c>
      <c r="AP68" s="598">
        <v>0.140625</v>
      </c>
      <c r="AQ68" s="599">
        <v>4.1833333333333336</v>
      </c>
      <c r="AR68" s="599">
        <f>AO68-AQ68</f>
        <v>0.21666666666666679</v>
      </c>
      <c r="AS68" s="600"/>
      <c r="AT68" s="600">
        <v>1</v>
      </c>
      <c r="AU68" s="577" t="s">
        <v>778</v>
      </c>
      <c r="AV68" s="577">
        <v>1579</v>
      </c>
      <c r="AW68" s="562"/>
      <c r="AX68" s="562"/>
      <c r="AY68" s="562"/>
      <c r="AZ68" s="562"/>
      <c r="BA68" s="562"/>
      <c r="BB68" s="563"/>
      <c r="BC68" s="560" t="s">
        <v>492</v>
      </c>
      <c r="BD68" s="582" t="s">
        <v>871</v>
      </c>
      <c r="BE68" s="582"/>
      <c r="BF68" s="566"/>
      <c r="BG68" s="565"/>
      <c r="BH68" s="565"/>
      <c r="BI68" s="565"/>
      <c r="BJ68" s="565"/>
      <c r="BK68" s="565"/>
      <c r="BL68" s="565"/>
      <c r="BM68" s="565"/>
      <c r="BN68" s="566"/>
      <c r="BO68" s="603"/>
      <c r="BP68" s="581" t="s">
        <v>872</v>
      </c>
      <c r="BQ68" s="604"/>
      <c r="BR68" s="604"/>
      <c r="BS68" s="566"/>
      <c r="BT68" s="576"/>
      <c r="BU68" s="566"/>
      <c r="DD68" s="587"/>
      <c r="DE68" s="588" t="s">
        <v>755</v>
      </c>
      <c r="DF68" s="588" t="s">
        <v>756</v>
      </c>
      <c r="DG68" s="590" t="s">
        <v>757</v>
      </c>
      <c r="DH68" s="590" t="s">
        <v>758</v>
      </c>
      <c r="DI68" s="590" t="s">
        <v>765</v>
      </c>
      <c r="DJ68" s="590" t="s">
        <v>766</v>
      </c>
      <c r="DK68" s="592" t="s">
        <v>768</v>
      </c>
      <c r="DL68" s="588" t="s">
        <v>759</v>
      </c>
      <c r="DM68" s="588" t="s">
        <v>769</v>
      </c>
      <c r="DN68" s="588" t="s">
        <v>760</v>
      </c>
      <c r="DO68" s="596" t="s">
        <v>770</v>
      </c>
      <c r="DP68" s="596" t="s">
        <v>771</v>
      </c>
      <c r="DQ68" s="595" t="s">
        <v>772</v>
      </c>
      <c r="DR68" s="595" t="s">
        <v>773</v>
      </c>
      <c r="DS68" s="588" t="s">
        <v>761</v>
      </c>
      <c r="DT68" s="588" t="s">
        <v>762</v>
      </c>
      <c r="DU68" s="588" t="s">
        <v>763</v>
      </c>
      <c r="DV68" s="562"/>
      <c r="DW68" s="562"/>
      <c r="DX68" s="562"/>
      <c r="DY68" s="562"/>
      <c r="DZ68" s="562"/>
    </row>
    <row r="69" spans="2:130" s="560" customFormat="1">
      <c r="C69" s="560">
        <v>0.75</v>
      </c>
      <c r="P69" s="561"/>
      <c r="Q69" s="562"/>
      <c r="R69" s="562">
        <v>1.2</v>
      </c>
      <c r="S69" s="562">
        <v>1.2</v>
      </c>
      <c r="T69" s="562"/>
      <c r="U69" s="562"/>
      <c r="V69" s="562"/>
      <c r="W69" s="562"/>
      <c r="X69" s="562"/>
      <c r="Y69" s="562"/>
      <c r="Z69" s="562"/>
      <c r="AA69" s="562"/>
      <c r="AB69" s="562"/>
      <c r="AC69" s="562"/>
      <c r="AD69" s="563"/>
      <c r="AE69" s="561"/>
      <c r="AF69" s="562">
        <v>12</v>
      </c>
      <c r="AG69" s="562"/>
      <c r="AH69" s="577">
        <v>0.7</v>
      </c>
      <c r="AI69" s="577" t="s">
        <v>778</v>
      </c>
      <c r="AJ69" s="577">
        <v>1</v>
      </c>
      <c r="AK69" s="577"/>
      <c r="AL69" s="577"/>
      <c r="AM69" s="577"/>
      <c r="AN69" s="562">
        <v>2.25</v>
      </c>
      <c r="AO69" s="562">
        <f>AN69+AN69</f>
        <v>4.5</v>
      </c>
      <c r="AP69" s="598">
        <v>0.140625</v>
      </c>
      <c r="AQ69" s="599">
        <v>4.1750000000000007</v>
      </c>
      <c r="AR69" s="599">
        <f>AO69-AQ69</f>
        <v>0.32499999999999929</v>
      </c>
      <c r="AS69" s="600"/>
      <c r="AT69" s="600">
        <v>1</v>
      </c>
      <c r="AU69" s="577" t="s">
        <v>778</v>
      </c>
      <c r="AV69" s="577">
        <v>1577</v>
      </c>
      <c r="AW69" s="562"/>
      <c r="AX69" s="562"/>
      <c r="AY69" s="562"/>
      <c r="AZ69" s="562"/>
      <c r="BA69" s="562"/>
      <c r="BB69" s="563"/>
      <c r="BC69" s="585"/>
      <c r="BD69" s="586" t="s">
        <v>755</v>
      </c>
      <c r="BE69" s="586" t="s">
        <v>756</v>
      </c>
      <c r="BF69" s="615" t="s">
        <v>757</v>
      </c>
      <c r="BG69" s="615" t="s">
        <v>758</v>
      </c>
      <c r="BH69" s="615" t="s">
        <v>765</v>
      </c>
      <c r="BI69" s="615" t="s">
        <v>766</v>
      </c>
      <c r="BJ69" s="616" t="s">
        <v>767</v>
      </c>
      <c r="BK69" s="617" t="s">
        <v>768</v>
      </c>
      <c r="BL69" s="586" t="s">
        <v>759</v>
      </c>
      <c r="BM69" s="586" t="s">
        <v>769</v>
      </c>
      <c r="BN69" s="586" t="s">
        <v>760</v>
      </c>
      <c r="BO69" s="619" t="s">
        <v>770</v>
      </c>
      <c r="BP69" s="619" t="s">
        <v>771</v>
      </c>
      <c r="BQ69" s="620" t="s">
        <v>772</v>
      </c>
      <c r="BR69" s="620" t="s">
        <v>773</v>
      </c>
      <c r="BS69" s="586" t="s">
        <v>761</v>
      </c>
      <c r="BT69" s="586" t="s">
        <v>762</v>
      </c>
      <c r="BU69" s="586" t="s">
        <v>763</v>
      </c>
      <c r="BY69" s="586" t="s">
        <v>764</v>
      </c>
      <c r="BZ69" s="576"/>
      <c r="DD69" s="561"/>
      <c r="DE69" s="577">
        <v>1</v>
      </c>
      <c r="DF69" s="562"/>
      <c r="DG69" s="577"/>
      <c r="DH69" s="577"/>
      <c r="DI69" s="577"/>
      <c r="DJ69" s="577">
        <v>1</v>
      </c>
      <c r="DK69" s="577"/>
      <c r="DL69" s="577">
        <v>1.6</v>
      </c>
      <c r="DM69" s="577">
        <f t="shared" ref="DM69:DM74" si="15">DL69+DL69</f>
        <v>3.2</v>
      </c>
      <c r="DN69" s="577" t="s">
        <v>797</v>
      </c>
      <c r="DO69" s="599">
        <v>2.6</v>
      </c>
      <c r="DP69" s="599">
        <f t="shared" ref="DP69:DP74" si="16">+DM69-DO69</f>
        <v>0.60000000000000009</v>
      </c>
      <c r="DQ69" s="600">
        <v>1</v>
      </c>
      <c r="DR69" s="600"/>
      <c r="DS69" s="577" t="s">
        <v>778</v>
      </c>
      <c r="DT69" s="584"/>
      <c r="DU69" s="562"/>
      <c r="DV69" s="562"/>
      <c r="DW69" s="562"/>
      <c r="DX69" s="562"/>
      <c r="DY69" s="562"/>
      <c r="DZ69" s="562"/>
    </row>
    <row r="70" spans="2:130" s="560" customFormat="1">
      <c r="C70" s="560">
        <v>0.7</v>
      </c>
      <c r="P70" s="561"/>
      <c r="Q70" s="562"/>
      <c r="R70" s="562">
        <v>0.91</v>
      </c>
      <c r="S70" s="562">
        <v>0.95</v>
      </c>
      <c r="T70" s="562"/>
      <c r="U70" s="562"/>
      <c r="V70" s="562"/>
      <c r="W70" s="562"/>
      <c r="X70" s="562"/>
      <c r="Y70" s="562"/>
      <c r="Z70" s="562"/>
      <c r="AA70" s="562"/>
      <c r="AB70" s="562"/>
      <c r="AC70" s="562"/>
      <c r="AD70" s="563"/>
      <c r="AE70" s="561"/>
      <c r="AF70" s="562">
        <v>13</v>
      </c>
      <c r="AG70" s="562"/>
      <c r="AH70" s="577">
        <v>0.2</v>
      </c>
      <c r="AI70" s="577" t="s">
        <v>793</v>
      </c>
      <c r="AJ70" s="577"/>
      <c r="AK70" s="577">
        <v>1</v>
      </c>
      <c r="AL70" s="577"/>
      <c r="AM70" s="577">
        <v>1</v>
      </c>
      <c r="AN70" s="562">
        <v>2.2000000000000002</v>
      </c>
      <c r="AO70" s="562">
        <f>AN70+AN70</f>
        <v>4.4000000000000004</v>
      </c>
      <c r="AP70" s="598">
        <v>0.140625</v>
      </c>
      <c r="AQ70" s="599">
        <v>4.166666666666667</v>
      </c>
      <c r="AR70" s="599">
        <f>AO70-AQ70</f>
        <v>0.23333333333333339</v>
      </c>
      <c r="AS70" s="600"/>
      <c r="AT70" s="600">
        <v>1</v>
      </c>
      <c r="AU70" s="577" t="s">
        <v>778</v>
      </c>
      <c r="AV70" s="577">
        <v>1576</v>
      </c>
      <c r="AW70" s="562"/>
      <c r="AX70" s="562"/>
      <c r="AY70" s="562"/>
      <c r="AZ70" s="562"/>
      <c r="BA70" s="562"/>
      <c r="BB70" s="563"/>
      <c r="BD70" s="576">
        <v>1</v>
      </c>
      <c r="BF70" s="576"/>
      <c r="BI70" s="576">
        <v>1</v>
      </c>
      <c r="BJ70" s="576"/>
      <c r="BK70" s="576"/>
      <c r="BL70" s="576">
        <v>2</v>
      </c>
      <c r="BM70" s="576">
        <f t="shared" ref="BM70:BM101" si="17">BL70+BL70</f>
        <v>4</v>
      </c>
      <c r="BN70" s="662">
        <v>0.140625</v>
      </c>
      <c r="BO70" s="611">
        <v>3.75</v>
      </c>
      <c r="BP70" s="611">
        <f t="shared" ref="BP70:BP101" si="18">BM70-BO70</f>
        <v>0.25</v>
      </c>
      <c r="BQ70" s="612"/>
      <c r="BR70" s="612">
        <v>1</v>
      </c>
      <c r="BS70" s="566" t="s">
        <v>127</v>
      </c>
      <c r="BT70" s="622"/>
      <c r="BY70" s="576"/>
      <c r="BZ70" s="576"/>
      <c r="DD70" s="561"/>
      <c r="DE70" s="577">
        <v>2</v>
      </c>
      <c r="DF70" s="562"/>
      <c r="DG70" s="577"/>
      <c r="DH70" s="577"/>
      <c r="DI70" s="577"/>
      <c r="DJ70" s="577">
        <v>1</v>
      </c>
      <c r="DK70" s="577"/>
      <c r="DL70" s="577">
        <v>2.2999999999999998</v>
      </c>
      <c r="DM70" s="577">
        <f t="shared" si="15"/>
        <v>4.5999999999999996</v>
      </c>
      <c r="DN70" s="577" t="s">
        <v>796</v>
      </c>
      <c r="DO70" s="599">
        <v>3.2840000000000003</v>
      </c>
      <c r="DP70" s="599">
        <f t="shared" si="16"/>
        <v>1.3159999999999994</v>
      </c>
      <c r="DQ70" s="600">
        <v>1</v>
      </c>
      <c r="DR70" s="600"/>
      <c r="DS70" s="577" t="s">
        <v>778</v>
      </c>
      <c r="DT70" s="609"/>
      <c r="DU70" s="562"/>
      <c r="DV70" s="562"/>
      <c r="DW70" s="625" t="s">
        <v>806</v>
      </c>
      <c r="DX70" s="625">
        <f>COUNT(DP69:DP74)</f>
        <v>6</v>
      </c>
      <c r="DY70" s="562"/>
      <c r="DZ70" s="562"/>
    </row>
    <row r="71" spans="2:130" s="560" customFormat="1">
      <c r="C71" s="560">
        <v>0.8</v>
      </c>
      <c r="P71" s="561"/>
      <c r="Q71" s="562"/>
      <c r="R71" s="562">
        <v>1</v>
      </c>
      <c r="S71" s="562">
        <v>1.5</v>
      </c>
      <c r="T71" s="562"/>
      <c r="U71" s="562"/>
      <c r="V71" s="562"/>
      <c r="W71" s="562"/>
      <c r="X71" s="562"/>
      <c r="Y71" s="562"/>
      <c r="Z71" s="562"/>
      <c r="AA71" s="562"/>
      <c r="AB71" s="562"/>
      <c r="AC71" s="562"/>
      <c r="AD71" s="563"/>
      <c r="AE71" s="561"/>
      <c r="AF71" s="562">
        <v>14</v>
      </c>
      <c r="AG71" s="562"/>
      <c r="AH71" s="577"/>
      <c r="AI71" s="562"/>
      <c r="AJ71" s="562"/>
      <c r="AK71" s="577">
        <v>1</v>
      </c>
      <c r="AL71" s="577"/>
      <c r="AM71" s="577"/>
      <c r="AN71" s="562">
        <v>2.2000000000000002</v>
      </c>
      <c r="AO71" s="562">
        <f>AN71+AN71</f>
        <v>4.4000000000000004</v>
      </c>
      <c r="AP71" s="598">
        <v>0.140625</v>
      </c>
      <c r="AQ71" s="599">
        <v>4.1583333333333341</v>
      </c>
      <c r="AR71" s="599">
        <f>AO71-AQ71</f>
        <v>0.24166666666666625</v>
      </c>
      <c r="AS71" s="600"/>
      <c r="AT71" s="600">
        <v>1</v>
      </c>
      <c r="AU71" s="577" t="s">
        <v>778</v>
      </c>
      <c r="AV71" s="562"/>
      <c r="AW71" s="562"/>
      <c r="AX71" s="562"/>
      <c r="AY71" s="562"/>
      <c r="AZ71" s="562"/>
      <c r="BA71" s="562"/>
      <c r="BB71" s="563"/>
      <c r="BD71" s="576">
        <v>2</v>
      </c>
      <c r="BE71" s="576"/>
      <c r="BF71" s="576"/>
      <c r="BI71" s="576">
        <v>1</v>
      </c>
      <c r="BJ71" s="576"/>
      <c r="BK71" s="576"/>
      <c r="BL71" s="576">
        <v>2</v>
      </c>
      <c r="BM71" s="576">
        <f t="shared" si="17"/>
        <v>4</v>
      </c>
      <c r="BN71" s="662">
        <v>0.140625</v>
      </c>
      <c r="BO71" s="611">
        <v>3.7532258064516126</v>
      </c>
      <c r="BP71" s="611">
        <f t="shared" si="18"/>
        <v>0.24677419354838737</v>
      </c>
      <c r="BQ71" s="612"/>
      <c r="BR71" s="612">
        <v>1</v>
      </c>
      <c r="BS71" s="566" t="s">
        <v>127</v>
      </c>
      <c r="BT71" s="624"/>
      <c r="BY71" s="585" t="s">
        <v>780</v>
      </c>
      <c r="BZ71" s="585" t="s">
        <v>616</v>
      </c>
      <c r="DD71" s="561"/>
      <c r="DE71" s="577">
        <v>3</v>
      </c>
      <c r="DF71" s="562"/>
      <c r="DG71" s="577">
        <v>6.4</v>
      </c>
      <c r="DH71" s="577" t="s">
        <v>861</v>
      </c>
      <c r="DI71" s="577">
        <v>1</v>
      </c>
      <c r="DJ71" s="577"/>
      <c r="DK71" s="577"/>
      <c r="DL71" s="577">
        <v>1.9</v>
      </c>
      <c r="DM71" s="577">
        <f t="shared" si="15"/>
        <v>3.8</v>
      </c>
      <c r="DN71" s="577" t="s">
        <v>779</v>
      </c>
      <c r="DO71" s="599">
        <v>3.238</v>
      </c>
      <c r="DP71" s="599">
        <f t="shared" si="16"/>
        <v>0.56199999999999983</v>
      </c>
      <c r="DQ71" s="600"/>
      <c r="DR71" s="600">
        <v>1</v>
      </c>
      <c r="DS71" s="577" t="s">
        <v>778</v>
      </c>
      <c r="DT71" s="584">
        <v>945</v>
      </c>
      <c r="DU71" s="562"/>
      <c r="DV71" s="562"/>
      <c r="DW71" s="625" t="s">
        <v>812</v>
      </c>
      <c r="DX71" s="626">
        <f>SUM(DP69:DP74)</f>
        <v>4.84</v>
      </c>
      <c r="DY71" s="562"/>
      <c r="DZ71" s="562"/>
    </row>
    <row r="72" spans="2:130" s="560" customFormat="1">
      <c r="C72" s="560">
        <v>0.8</v>
      </c>
      <c r="P72" s="561"/>
      <c r="Q72" s="562"/>
      <c r="R72" s="562">
        <v>1.5</v>
      </c>
      <c r="S72" s="562">
        <v>0.8</v>
      </c>
      <c r="T72" s="562"/>
      <c r="U72" s="562"/>
      <c r="V72" s="562"/>
      <c r="W72" s="562"/>
      <c r="X72" s="562"/>
      <c r="Y72" s="562"/>
      <c r="Z72" s="562"/>
      <c r="AA72" s="562"/>
      <c r="AB72" s="562"/>
      <c r="AC72" s="562"/>
      <c r="AD72" s="563"/>
      <c r="AE72" s="561"/>
      <c r="AF72" s="562">
        <v>15</v>
      </c>
      <c r="AG72" s="562"/>
      <c r="AH72" s="577"/>
      <c r="AI72" s="562"/>
      <c r="AJ72" s="562"/>
      <c r="AK72" s="577">
        <v>1</v>
      </c>
      <c r="AL72" s="577"/>
      <c r="AM72" s="577"/>
      <c r="AN72" s="562">
        <v>2.5</v>
      </c>
      <c r="AO72" s="562">
        <f>AN72+AN72</f>
        <v>5</v>
      </c>
      <c r="AP72" s="598">
        <v>0.140625</v>
      </c>
      <c r="AQ72" s="599">
        <v>4.1500000000000004</v>
      </c>
      <c r="AR72" s="599">
        <f>AO72-AQ72</f>
        <v>0.84999999999999964</v>
      </c>
      <c r="AS72" s="600"/>
      <c r="AT72" s="600">
        <v>1</v>
      </c>
      <c r="AU72" s="577" t="s">
        <v>778</v>
      </c>
      <c r="AV72" s="562"/>
      <c r="AW72" s="562"/>
      <c r="AX72" s="562"/>
      <c r="AY72" s="562"/>
      <c r="AZ72" s="562"/>
      <c r="BA72" s="562"/>
      <c r="BB72" s="563"/>
      <c r="BD72" s="576">
        <v>3</v>
      </c>
      <c r="BE72" s="576"/>
      <c r="BI72" s="576">
        <v>1</v>
      </c>
      <c r="BJ72" s="576"/>
      <c r="BK72" s="576"/>
      <c r="BL72" s="576">
        <v>2</v>
      </c>
      <c r="BM72" s="576">
        <f t="shared" si="17"/>
        <v>4</v>
      </c>
      <c r="BN72" s="662">
        <v>0.140625</v>
      </c>
      <c r="BO72" s="611">
        <v>3.7564516129032257</v>
      </c>
      <c r="BP72" s="611">
        <f t="shared" si="18"/>
        <v>0.24354838709677429</v>
      </c>
      <c r="BQ72" s="612"/>
      <c r="BR72" s="612">
        <v>1</v>
      </c>
      <c r="BS72" s="566" t="s">
        <v>127</v>
      </c>
      <c r="BT72" s="622"/>
      <c r="BY72" s="585" t="s">
        <v>785</v>
      </c>
      <c r="BZ72" s="585" t="s">
        <v>542</v>
      </c>
      <c r="DD72" s="561"/>
      <c r="DE72" s="577">
        <v>4</v>
      </c>
      <c r="DF72" s="562"/>
      <c r="DG72" s="577"/>
      <c r="DH72" s="577"/>
      <c r="DI72" s="577"/>
      <c r="DJ72" s="577">
        <v>1</v>
      </c>
      <c r="DK72" s="577"/>
      <c r="DL72" s="577">
        <v>2.5</v>
      </c>
      <c r="DM72" s="577">
        <f t="shared" si="15"/>
        <v>5</v>
      </c>
      <c r="DN72" s="577" t="s">
        <v>796</v>
      </c>
      <c r="DO72" s="599">
        <v>3.1920000000000002</v>
      </c>
      <c r="DP72" s="599">
        <f t="shared" si="16"/>
        <v>1.8079999999999998</v>
      </c>
      <c r="DQ72" s="600">
        <v>1</v>
      </c>
      <c r="DR72" s="600"/>
      <c r="DS72" s="577" t="s">
        <v>778</v>
      </c>
      <c r="DT72" s="584"/>
      <c r="DU72" s="562"/>
      <c r="DV72" s="562"/>
      <c r="DW72" s="625" t="s">
        <v>811</v>
      </c>
      <c r="DX72" s="626">
        <f>MAX(DP69:DP74)</f>
        <v>1.8079999999999998</v>
      </c>
      <c r="DY72" s="562"/>
      <c r="DZ72" s="562"/>
    </row>
    <row r="73" spans="2:130" s="560" customFormat="1">
      <c r="C73" s="560">
        <v>0.75</v>
      </c>
      <c r="P73" s="561"/>
      <c r="Q73" s="562"/>
      <c r="R73" s="562">
        <v>1.1000000000000001</v>
      </c>
      <c r="S73" s="562">
        <v>0.95</v>
      </c>
      <c r="T73" s="562"/>
      <c r="U73" s="562"/>
      <c r="V73" s="562"/>
      <c r="W73" s="562"/>
      <c r="X73" s="562"/>
      <c r="Y73" s="562"/>
      <c r="Z73" s="562"/>
      <c r="AA73" s="562"/>
      <c r="AB73" s="562"/>
      <c r="AC73" s="562"/>
      <c r="AD73" s="563"/>
      <c r="AE73" s="561"/>
      <c r="AF73" s="562"/>
      <c r="AG73" s="562"/>
      <c r="AH73" s="562"/>
      <c r="AI73" s="562"/>
      <c r="AJ73" s="632">
        <f>SUM(AJ47:AJ72)</f>
        <v>7</v>
      </c>
      <c r="AK73" s="632">
        <f>SUM(AK47:AK72)</f>
        <v>8</v>
      </c>
      <c r="AL73" s="633"/>
      <c r="AM73" s="634">
        <f>SUM(AM47:AM72)</f>
        <v>9</v>
      </c>
      <c r="AN73" s="562"/>
      <c r="AO73" s="635">
        <f>SUM(AO47:AO72)</f>
        <v>70</v>
      </c>
      <c r="AP73" s="562"/>
      <c r="AQ73" s="636">
        <f>SUM(AQ47:AQ72)</f>
        <v>62.625</v>
      </c>
      <c r="AR73" s="636">
        <f>SUM(AR47:AR72)</f>
        <v>7.3749999999999956</v>
      </c>
      <c r="AS73" s="637">
        <f>SUM(AS47:AS72)</f>
        <v>1</v>
      </c>
      <c r="AT73" s="637">
        <f>SUM(AT47:AT72)</f>
        <v>13</v>
      </c>
      <c r="AU73" s="562"/>
      <c r="AV73" s="562"/>
      <c r="AW73" s="562"/>
      <c r="AX73" s="562"/>
      <c r="AY73" s="562"/>
      <c r="AZ73" s="562"/>
      <c r="BA73" s="562"/>
      <c r="BB73" s="563"/>
      <c r="BD73" s="576">
        <v>4</v>
      </c>
      <c r="BE73" s="576"/>
      <c r="BI73" s="576">
        <v>1</v>
      </c>
      <c r="BJ73" s="576"/>
      <c r="BK73" s="576"/>
      <c r="BL73" s="576">
        <v>2</v>
      </c>
      <c r="BM73" s="576">
        <f t="shared" si="17"/>
        <v>4</v>
      </c>
      <c r="BN73" s="662">
        <v>0.140625</v>
      </c>
      <c r="BO73" s="611">
        <v>3.7596774193548383</v>
      </c>
      <c r="BP73" s="611">
        <f t="shared" si="18"/>
        <v>0.24032258064516165</v>
      </c>
      <c r="BQ73" s="612"/>
      <c r="BR73" s="612">
        <v>1</v>
      </c>
      <c r="BS73" s="566" t="s">
        <v>127</v>
      </c>
      <c r="BT73" s="622"/>
      <c r="BY73" s="585" t="s">
        <v>789</v>
      </c>
      <c r="BZ73" s="585" t="s">
        <v>790</v>
      </c>
      <c r="DD73" s="561"/>
      <c r="DE73" s="577">
        <v>5</v>
      </c>
      <c r="DF73" s="562"/>
      <c r="DG73" s="577"/>
      <c r="DH73" s="577"/>
      <c r="DI73" s="577"/>
      <c r="DJ73" s="577">
        <v>1</v>
      </c>
      <c r="DK73" s="577"/>
      <c r="DL73" s="577">
        <v>1.9</v>
      </c>
      <c r="DM73" s="577">
        <f t="shared" si="15"/>
        <v>3.8</v>
      </c>
      <c r="DN73" s="577" t="s">
        <v>779</v>
      </c>
      <c r="DO73" s="599">
        <v>3.1459999999999999</v>
      </c>
      <c r="DP73" s="599">
        <f t="shared" si="16"/>
        <v>0.65399999999999991</v>
      </c>
      <c r="DQ73" s="600"/>
      <c r="DR73" s="600">
        <v>1</v>
      </c>
      <c r="DS73" s="577" t="s">
        <v>778</v>
      </c>
      <c r="DT73" s="584"/>
      <c r="DU73" s="562"/>
      <c r="DV73" s="562"/>
      <c r="DW73" s="625" t="s">
        <v>814</v>
      </c>
      <c r="DX73" s="626">
        <f>MIN(DP69:DP74)</f>
        <v>-0.10000000000000009</v>
      </c>
      <c r="DY73" s="562"/>
      <c r="DZ73" s="562"/>
    </row>
    <row r="74" spans="2:130" s="560" customFormat="1">
      <c r="C74" s="560">
        <v>0.7</v>
      </c>
      <c r="P74" s="561"/>
      <c r="Q74" s="562"/>
      <c r="R74" s="562">
        <v>0.23</v>
      </c>
      <c r="S74" s="562">
        <v>0.2</v>
      </c>
      <c r="T74" s="562"/>
      <c r="U74" s="562"/>
      <c r="V74" s="562"/>
      <c r="W74" s="562"/>
      <c r="X74" s="562"/>
      <c r="Y74" s="562"/>
      <c r="Z74" s="562"/>
      <c r="AA74" s="562"/>
      <c r="AB74" s="562"/>
      <c r="AC74" s="562"/>
      <c r="AD74" s="563"/>
      <c r="AE74" s="567">
        <v>41124</v>
      </c>
      <c r="AF74" s="568" t="s">
        <v>725</v>
      </c>
      <c r="AG74" s="568"/>
      <c r="AH74" s="568" t="s">
        <v>726</v>
      </c>
      <c r="AI74" s="569" t="s">
        <v>727</v>
      </c>
      <c r="AJ74" s="569"/>
      <c r="AK74" s="569"/>
      <c r="AL74" s="569"/>
      <c r="AM74" s="569"/>
      <c r="AN74" s="569" t="s">
        <v>728</v>
      </c>
      <c r="AO74" s="569"/>
      <c r="AP74" s="569" t="s">
        <v>729</v>
      </c>
      <c r="AQ74" s="569"/>
      <c r="AR74" s="638">
        <f>+AR73/AO73</f>
        <v>0.10535714285714279</v>
      </c>
      <c r="AS74" s="639"/>
      <c r="AT74" s="639"/>
      <c r="AU74" s="569" t="s">
        <v>730</v>
      </c>
      <c r="AV74" s="569" t="s">
        <v>731</v>
      </c>
      <c r="AW74" s="568"/>
      <c r="AX74" s="562"/>
      <c r="AY74" s="562"/>
      <c r="AZ74" s="562"/>
      <c r="BA74" s="562"/>
      <c r="BB74" s="563"/>
      <c r="BD74" s="576">
        <v>5</v>
      </c>
      <c r="BE74" s="576"/>
      <c r="BI74" s="576">
        <v>1</v>
      </c>
      <c r="BJ74" s="576"/>
      <c r="BK74" s="576"/>
      <c r="BL74" s="576">
        <v>2</v>
      </c>
      <c r="BM74" s="576">
        <f t="shared" si="17"/>
        <v>4</v>
      </c>
      <c r="BN74" s="662">
        <v>0.140625</v>
      </c>
      <c r="BO74" s="611">
        <v>3.7629032258064514</v>
      </c>
      <c r="BP74" s="611">
        <f t="shared" si="18"/>
        <v>0.23709677419354858</v>
      </c>
      <c r="BQ74" s="612"/>
      <c r="BR74" s="612">
        <v>1</v>
      </c>
      <c r="BS74" s="566" t="s">
        <v>127</v>
      </c>
      <c r="BT74" s="622"/>
      <c r="BY74" s="585" t="s">
        <v>791</v>
      </c>
      <c r="BZ74" s="585" t="s">
        <v>792</v>
      </c>
      <c r="DD74" s="561"/>
      <c r="DE74" s="577">
        <v>6</v>
      </c>
      <c r="DF74" s="562"/>
      <c r="DG74" s="577">
        <v>3.6</v>
      </c>
      <c r="DH74" s="577" t="s">
        <v>861</v>
      </c>
      <c r="DI74" s="577">
        <v>1</v>
      </c>
      <c r="DJ74" s="577"/>
      <c r="DK74" s="577"/>
      <c r="DL74" s="577">
        <v>1.5</v>
      </c>
      <c r="DM74" s="577">
        <f t="shared" si="15"/>
        <v>3</v>
      </c>
      <c r="DN74" s="577" t="s">
        <v>779</v>
      </c>
      <c r="DO74" s="599">
        <v>3.1</v>
      </c>
      <c r="DP74" s="599">
        <f t="shared" si="16"/>
        <v>-0.10000000000000009</v>
      </c>
      <c r="DQ74" s="600"/>
      <c r="DR74" s="600">
        <v>1</v>
      </c>
      <c r="DS74" s="577" t="s">
        <v>778</v>
      </c>
      <c r="DT74" s="577">
        <v>946</v>
      </c>
      <c r="DU74" s="562"/>
      <c r="DV74" s="562"/>
      <c r="DW74" s="625" t="s">
        <v>817</v>
      </c>
      <c r="DX74" s="626">
        <f>AVERAGE(DP69:DP74)</f>
        <v>0.80666666666666664</v>
      </c>
      <c r="DY74" s="562"/>
      <c r="DZ74" s="562"/>
    </row>
    <row r="75" spans="2:130" s="560" customFormat="1">
      <c r="C75" s="560">
        <v>0.7</v>
      </c>
      <c r="P75" s="561"/>
      <c r="Q75" s="562" t="s">
        <v>873</v>
      </c>
      <c r="R75" s="562"/>
      <c r="S75" s="562"/>
      <c r="T75" s="562"/>
      <c r="U75" s="562"/>
      <c r="V75" s="562"/>
      <c r="W75" s="562"/>
      <c r="X75" s="562"/>
      <c r="Y75" s="562"/>
      <c r="Z75" s="562"/>
      <c r="AA75" s="562"/>
      <c r="AB75" s="562"/>
      <c r="AC75" s="562"/>
      <c r="AD75" s="563"/>
      <c r="AE75" s="561"/>
      <c r="AF75" s="568"/>
      <c r="AG75" s="568"/>
      <c r="AH75" s="568"/>
      <c r="AI75" s="577" t="s">
        <v>874</v>
      </c>
      <c r="AJ75" s="577"/>
      <c r="AK75" s="577"/>
      <c r="AL75" s="577"/>
      <c r="AM75" s="577"/>
      <c r="AN75" s="577" t="s">
        <v>875</v>
      </c>
      <c r="AO75" s="577"/>
      <c r="AP75" s="577">
        <v>44</v>
      </c>
      <c r="AQ75" s="562"/>
      <c r="AR75" s="577"/>
      <c r="AS75" s="600"/>
      <c r="AT75" s="600"/>
      <c r="AU75" s="577">
        <v>42</v>
      </c>
      <c r="AV75" s="577"/>
      <c r="AW75" s="568"/>
      <c r="AX75" s="562"/>
      <c r="AY75" s="562"/>
      <c r="AZ75" s="562"/>
      <c r="BA75" s="562"/>
      <c r="BB75" s="563"/>
      <c r="BD75" s="576">
        <v>6</v>
      </c>
      <c r="BE75" s="576"/>
      <c r="BI75" s="576">
        <v>1</v>
      </c>
      <c r="BJ75" s="576"/>
      <c r="BK75" s="576"/>
      <c r="BL75" s="576">
        <v>1.8</v>
      </c>
      <c r="BM75" s="576">
        <f t="shared" si="17"/>
        <v>3.6</v>
      </c>
      <c r="BN75" s="662">
        <v>0.140625</v>
      </c>
      <c r="BO75" s="611">
        <v>3.7661290322580645</v>
      </c>
      <c r="BP75" s="611">
        <f t="shared" si="18"/>
        <v>-0.16612903225806441</v>
      </c>
      <c r="BQ75" s="612"/>
      <c r="BR75" s="612">
        <v>1</v>
      </c>
      <c r="BS75" s="566" t="s">
        <v>127</v>
      </c>
      <c r="BT75" s="576"/>
      <c r="BY75" s="585" t="s">
        <v>794</v>
      </c>
      <c r="BZ75" s="585" t="s">
        <v>795</v>
      </c>
      <c r="DD75" s="561"/>
      <c r="DE75" s="577"/>
      <c r="DF75" s="562"/>
      <c r="DG75" s="632">
        <f>SUM(DG69:DG74)</f>
        <v>10</v>
      </c>
      <c r="DH75" s="632"/>
      <c r="DI75" s="632">
        <f>SUM(DI69:DI74)</f>
        <v>2</v>
      </c>
      <c r="DJ75" s="632">
        <f>SUM(DJ69:DJ74)</f>
        <v>4</v>
      </c>
      <c r="DK75" s="634"/>
      <c r="DL75" s="577"/>
      <c r="DM75" s="577"/>
      <c r="DN75" s="606"/>
      <c r="DO75" s="647">
        <f>SUM(DO69:DO74)</f>
        <v>18.560000000000002</v>
      </c>
      <c r="DP75" s="636">
        <f>SUM(DP69:DP74)</f>
        <v>4.84</v>
      </c>
      <c r="DQ75" s="637">
        <f>SUM(DQ69:DQ74)</f>
        <v>3</v>
      </c>
      <c r="DR75" s="637">
        <f>SUM(DR69:DR74)</f>
        <v>3</v>
      </c>
      <c r="DS75" s="577"/>
      <c r="DT75" s="577"/>
      <c r="DU75" s="562"/>
      <c r="DV75" s="562"/>
      <c r="DW75" s="625" t="s">
        <v>818</v>
      </c>
      <c r="DX75" s="625">
        <f>STDEV(DP69:DP74)</f>
        <v>0.66483281106355319</v>
      </c>
      <c r="DY75" s="562"/>
      <c r="DZ75" s="562"/>
    </row>
    <row r="76" spans="2:130" s="560" customFormat="1">
      <c r="C76" s="560">
        <v>0.75</v>
      </c>
      <c r="P76" s="561"/>
      <c r="Q76" s="562"/>
      <c r="R76" s="562">
        <f>COUNT(R9:R74)</f>
        <v>63</v>
      </c>
      <c r="S76" s="562"/>
      <c r="T76" s="562"/>
      <c r="U76" s="562"/>
      <c r="V76" s="562"/>
      <c r="W76" s="562"/>
      <c r="X76" s="562"/>
      <c r="Y76" s="562"/>
      <c r="Z76" s="562"/>
      <c r="AA76" s="562"/>
      <c r="AB76" s="562"/>
      <c r="AC76" s="562"/>
      <c r="AD76" s="563"/>
      <c r="AE76" s="561" t="s">
        <v>516</v>
      </c>
      <c r="AF76" s="578" t="s">
        <v>876</v>
      </c>
      <c r="AG76" s="578"/>
      <c r="AH76" s="569"/>
      <c r="AI76" s="568"/>
      <c r="AJ76" s="568"/>
      <c r="AK76" s="568"/>
      <c r="AL76" s="568"/>
      <c r="AM76" s="568"/>
      <c r="AN76" s="568"/>
      <c r="AO76" s="568"/>
      <c r="AP76" s="569"/>
      <c r="AQ76" s="583" t="s">
        <v>877</v>
      </c>
      <c r="AR76" s="569"/>
      <c r="AS76" s="639"/>
      <c r="AT76" s="639"/>
      <c r="AU76" s="569"/>
      <c r="AV76" s="577"/>
      <c r="AW76" s="569"/>
      <c r="AX76" s="562"/>
      <c r="AY76" s="562"/>
      <c r="AZ76" s="562"/>
      <c r="BA76" s="562"/>
      <c r="BB76" s="563"/>
      <c r="BD76" s="576">
        <v>7</v>
      </c>
      <c r="BE76" s="576"/>
      <c r="BF76" s="576"/>
      <c r="BG76" s="576"/>
      <c r="BH76" s="576"/>
      <c r="BI76" s="576">
        <v>1</v>
      </c>
      <c r="BJ76" s="576"/>
      <c r="BK76" s="576"/>
      <c r="BL76" s="576">
        <v>2</v>
      </c>
      <c r="BM76" s="576">
        <f t="shared" si="17"/>
        <v>4</v>
      </c>
      <c r="BN76" s="662">
        <v>0.140625</v>
      </c>
      <c r="BO76" s="611">
        <v>3.7693548387096771</v>
      </c>
      <c r="BP76" s="611">
        <f t="shared" si="18"/>
        <v>0.23064516129032286</v>
      </c>
      <c r="BQ76" s="612"/>
      <c r="BR76" s="612">
        <v>1</v>
      </c>
      <c r="BS76" s="566" t="s">
        <v>127</v>
      </c>
      <c r="BT76" s="576"/>
      <c r="BY76" s="585" t="s">
        <v>798</v>
      </c>
      <c r="BZ76" s="585" t="s">
        <v>546</v>
      </c>
      <c r="DD76" s="567">
        <v>41102</v>
      </c>
      <c r="DE76" s="568" t="s">
        <v>725</v>
      </c>
      <c r="DF76" s="568"/>
      <c r="DG76" s="562" t="s">
        <v>832</v>
      </c>
      <c r="DH76" s="569" t="s">
        <v>727</v>
      </c>
      <c r="DI76" s="569"/>
      <c r="DJ76" s="569"/>
      <c r="DK76" s="569"/>
      <c r="DL76" s="569" t="s">
        <v>728</v>
      </c>
      <c r="DM76" s="569"/>
      <c r="DN76" s="577" t="s">
        <v>729</v>
      </c>
      <c r="DO76" s="649"/>
      <c r="DP76" s="650">
        <f>+DP75/DO75</f>
        <v>0.26077586206896547</v>
      </c>
      <c r="DQ76" s="569" t="s">
        <v>730</v>
      </c>
      <c r="DR76" s="639"/>
      <c r="DS76" s="562"/>
      <c r="DT76" s="569" t="s">
        <v>731</v>
      </c>
      <c r="DU76" s="568"/>
      <c r="DV76" s="562"/>
      <c r="DW76" s="562"/>
      <c r="DX76" s="562"/>
      <c r="DY76" s="562"/>
      <c r="DZ76" s="562"/>
    </row>
    <row r="77" spans="2:130" s="560" customFormat="1">
      <c r="C77" s="560">
        <v>0.75</v>
      </c>
      <c r="P77" s="567">
        <v>41101</v>
      </c>
      <c r="Q77" s="568" t="s">
        <v>725</v>
      </c>
      <c r="R77" s="568"/>
      <c r="S77" s="568" t="s">
        <v>726</v>
      </c>
      <c r="T77" s="569" t="s">
        <v>727</v>
      </c>
      <c r="U77" s="569" t="s">
        <v>728</v>
      </c>
      <c r="V77" s="569" t="s">
        <v>729</v>
      </c>
      <c r="W77" s="569" t="s">
        <v>730</v>
      </c>
      <c r="X77" s="569" t="s">
        <v>731</v>
      </c>
      <c r="Y77" s="568"/>
      <c r="Z77" s="562"/>
      <c r="AA77" s="562"/>
      <c r="AB77" s="562"/>
      <c r="AC77" s="562"/>
      <c r="AD77" s="563"/>
      <c r="AE77" s="587"/>
      <c r="AF77" s="588" t="s">
        <v>755</v>
      </c>
      <c r="AG77" s="588" t="s">
        <v>756</v>
      </c>
      <c r="AH77" s="590" t="s">
        <v>757</v>
      </c>
      <c r="AI77" s="590" t="s">
        <v>758</v>
      </c>
      <c r="AJ77" s="590" t="s">
        <v>765</v>
      </c>
      <c r="AK77" s="590" t="s">
        <v>766</v>
      </c>
      <c r="AL77" s="591" t="s">
        <v>767</v>
      </c>
      <c r="AM77" s="592" t="s">
        <v>768</v>
      </c>
      <c r="AN77" s="588" t="s">
        <v>759</v>
      </c>
      <c r="AO77" s="593" t="s">
        <v>769</v>
      </c>
      <c r="AP77" s="588" t="s">
        <v>760</v>
      </c>
      <c r="AQ77" s="663" t="s">
        <v>770</v>
      </c>
      <c r="AR77" s="663" t="s">
        <v>771</v>
      </c>
      <c r="AS77" s="595" t="s">
        <v>772</v>
      </c>
      <c r="AT77" s="595" t="s">
        <v>773</v>
      </c>
      <c r="AU77" s="588" t="s">
        <v>761</v>
      </c>
      <c r="AV77" s="588" t="s">
        <v>762</v>
      </c>
      <c r="AW77" s="588" t="s">
        <v>763</v>
      </c>
      <c r="AX77" s="562"/>
      <c r="AY77" s="562"/>
      <c r="AZ77" s="562"/>
      <c r="BA77" s="588" t="s">
        <v>764</v>
      </c>
      <c r="BB77" s="589"/>
      <c r="BD77" s="576">
        <v>8</v>
      </c>
      <c r="BE77" s="576"/>
      <c r="BF77" s="576"/>
      <c r="BG77" s="576"/>
      <c r="BH77" s="576"/>
      <c r="BI77" s="576">
        <v>1</v>
      </c>
      <c r="BJ77" s="576"/>
      <c r="BK77" s="576"/>
      <c r="BL77" s="576">
        <v>2</v>
      </c>
      <c r="BM77" s="576">
        <f t="shared" si="17"/>
        <v>4</v>
      </c>
      <c r="BN77" s="662">
        <v>0.140625</v>
      </c>
      <c r="BO77" s="611">
        <v>3.7725806451612902</v>
      </c>
      <c r="BP77" s="611">
        <f t="shared" si="18"/>
        <v>0.22741935483870979</v>
      </c>
      <c r="BQ77" s="612"/>
      <c r="BR77" s="612">
        <v>1</v>
      </c>
      <c r="BS77" s="566" t="s">
        <v>127</v>
      </c>
      <c r="BT77" s="576"/>
      <c r="BY77" s="585" t="s">
        <v>800</v>
      </c>
      <c r="BZ77" s="585" t="s">
        <v>801</v>
      </c>
      <c r="DD77" s="561"/>
      <c r="DE77" s="568"/>
      <c r="DF77" s="568"/>
      <c r="DG77" s="568"/>
      <c r="DH77" s="577" t="s">
        <v>878</v>
      </c>
      <c r="DI77" s="577"/>
      <c r="DJ77" s="577"/>
      <c r="DK77" s="577"/>
      <c r="DL77" s="577" t="s">
        <v>879</v>
      </c>
      <c r="DM77" s="577"/>
      <c r="DN77" s="577">
        <v>35</v>
      </c>
      <c r="DO77" s="599"/>
      <c r="DP77" s="599"/>
      <c r="DQ77" s="577">
        <v>25</v>
      </c>
      <c r="DR77" s="600"/>
      <c r="DS77" s="562"/>
      <c r="DT77" s="577">
        <v>2961</v>
      </c>
      <c r="DU77" s="568"/>
      <c r="DV77" s="562"/>
      <c r="DW77" s="562"/>
      <c r="DX77" s="562"/>
      <c r="DY77" s="562"/>
      <c r="DZ77" s="562"/>
    </row>
    <row r="78" spans="2:130" s="560" customFormat="1">
      <c r="B78" s="560" t="s">
        <v>799</v>
      </c>
      <c r="P78" s="561"/>
      <c r="Q78" s="568"/>
      <c r="R78" s="568"/>
      <c r="S78" s="568"/>
      <c r="T78" s="569" t="s">
        <v>880</v>
      </c>
      <c r="U78" s="569" t="s">
        <v>881</v>
      </c>
      <c r="V78" s="577"/>
      <c r="W78" s="577"/>
      <c r="X78" s="569"/>
      <c r="Y78" s="578" t="s">
        <v>882</v>
      </c>
      <c r="Z78" s="562"/>
      <c r="AA78" s="562"/>
      <c r="AB78" s="562"/>
      <c r="AC78" s="562"/>
      <c r="AD78" s="563"/>
      <c r="AE78" s="561"/>
      <c r="AF78" s="568">
        <v>0.5</v>
      </c>
      <c r="AG78" s="562"/>
      <c r="AH78" s="577">
        <v>0.5</v>
      </c>
      <c r="AI78" s="577" t="s">
        <v>793</v>
      </c>
      <c r="AJ78" s="577"/>
      <c r="AK78" s="577"/>
      <c r="AL78" s="577"/>
      <c r="AM78" s="577">
        <v>1</v>
      </c>
      <c r="AN78" s="562"/>
      <c r="AO78" s="562"/>
      <c r="AP78" s="598"/>
      <c r="AQ78" s="599"/>
      <c r="AR78" s="599"/>
      <c r="AS78" s="600"/>
      <c r="AT78" s="600"/>
      <c r="AU78" s="577"/>
      <c r="AV78" s="584">
        <v>1641</v>
      </c>
      <c r="AW78" s="562"/>
      <c r="AX78" s="562"/>
      <c r="AY78" s="562"/>
      <c r="AZ78" s="562"/>
      <c r="BA78" s="577"/>
      <c r="BB78" s="589"/>
      <c r="BD78" s="576">
        <v>9</v>
      </c>
      <c r="BE78" s="576"/>
      <c r="BF78" s="576"/>
      <c r="BG78" s="576"/>
      <c r="BH78" s="576"/>
      <c r="BI78" s="576">
        <v>1</v>
      </c>
      <c r="BJ78" s="576"/>
      <c r="BK78" s="576"/>
      <c r="BL78" s="576">
        <v>2</v>
      </c>
      <c r="BM78" s="576">
        <f t="shared" si="17"/>
        <v>4</v>
      </c>
      <c r="BN78" s="662">
        <v>0.140625</v>
      </c>
      <c r="BO78" s="611">
        <v>3.7758064516129033</v>
      </c>
      <c r="BP78" s="611">
        <f t="shared" si="18"/>
        <v>0.22419354838709671</v>
      </c>
      <c r="BQ78" s="612"/>
      <c r="BR78" s="612">
        <v>1</v>
      </c>
      <c r="BS78" s="566" t="s">
        <v>127</v>
      </c>
      <c r="BT78" s="576"/>
      <c r="BV78" s="627" t="s">
        <v>806</v>
      </c>
      <c r="BW78" s="627">
        <f>COUNT(BP70:BP101)</f>
        <v>32</v>
      </c>
      <c r="BY78" s="585" t="s">
        <v>804</v>
      </c>
      <c r="BZ78" s="585" t="s">
        <v>805</v>
      </c>
      <c r="DD78" s="561" t="s">
        <v>532</v>
      </c>
      <c r="DE78" s="583" t="s">
        <v>883</v>
      </c>
      <c r="DF78" s="578"/>
      <c r="DG78" s="569"/>
      <c r="DH78" s="568"/>
      <c r="DI78" s="568"/>
      <c r="DJ78" s="568"/>
      <c r="DK78" s="568"/>
      <c r="DL78" s="568"/>
      <c r="DM78" s="568"/>
      <c r="DN78" s="569"/>
      <c r="DO78" s="653" t="s">
        <v>884</v>
      </c>
      <c r="DP78" s="599"/>
      <c r="DQ78" s="583" t="s">
        <v>885</v>
      </c>
      <c r="DR78" s="639"/>
      <c r="DS78" s="569"/>
      <c r="DT78" s="577"/>
      <c r="DU78" s="569"/>
      <c r="DV78" s="562"/>
      <c r="DW78" s="562"/>
      <c r="DX78" s="562"/>
      <c r="DY78" s="562"/>
      <c r="DZ78" s="562"/>
    </row>
    <row r="79" spans="2:130" s="560" customFormat="1">
      <c r="C79" s="560">
        <v>1</v>
      </c>
      <c r="P79" s="561" t="s">
        <v>576</v>
      </c>
      <c r="Q79" s="578" t="s">
        <v>886</v>
      </c>
      <c r="R79" s="578"/>
      <c r="S79" s="569" t="s">
        <v>887</v>
      </c>
      <c r="T79" s="568"/>
      <c r="U79" s="568"/>
      <c r="V79" s="569"/>
      <c r="W79" s="569"/>
      <c r="X79" s="569"/>
      <c r="Y79" s="569"/>
      <c r="Z79" s="562"/>
      <c r="AA79" s="562"/>
      <c r="AB79" s="562"/>
      <c r="AC79" s="562"/>
      <c r="AD79" s="563"/>
      <c r="AE79" s="561"/>
      <c r="AF79" s="568">
        <v>1</v>
      </c>
      <c r="AG79" s="562"/>
      <c r="AH79" s="569">
        <v>0.1</v>
      </c>
      <c r="AI79" s="577" t="s">
        <v>777</v>
      </c>
      <c r="AJ79" s="577">
        <v>1</v>
      </c>
      <c r="AK79" s="577"/>
      <c r="AL79" s="577"/>
      <c r="AM79" s="577"/>
      <c r="AN79" s="562">
        <v>2.5</v>
      </c>
      <c r="AO79" s="562">
        <f t="shared" ref="AO79:AO108" si="19">AN79+AN79</f>
        <v>5</v>
      </c>
      <c r="AP79" s="598">
        <v>0.15625</v>
      </c>
      <c r="AQ79" s="599">
        <v>3.55</v>
      </c>
      <c r="AR79" s="599">
        <f t="shared" ref="AR79:AR108" si="20">AO79-AQ79</f>
        <v>1.4500000000000002</v>
      </c>
      <c r="AS79" s="600">
        <v>1</v>
      </c>
      <c r="AT79" s="600"/>
      <c r="AU79" s="577" t="s">
        <v>778</v>
      </c>
      <c r="AV79" s="609">
        <v>1643</v>
      </c>
      <c r="AW79" s="562"/>
      <c r="AX79" s="562"/>
      <c r="AY79" s="562"/>
      <c r="AZ79" s="562"/>
      <c r="BA79" s="607" t="s">
        <v>780</v>
      </c>
      <c r="BB79" s="608" t="s">
        <v>616</v>
      </c>
      <c r="BD79" s="576">
        <v>10</v>
      </c>
      <c r="BE79" s="576"/>
      <c r="BF79" s="576"/>
      <c r="BG79" s="576"/>
      <c r="BH79" s="576"/>
      <c r="BI79" s="576">
        <v>1</v>
      </c>
      <c r="BJ79" s="576"/>
      <c r="BK79" s="576"/>
      <c r="BL79" s="576">
        <v>2</v>
      </c>
      <c r="BM79" s="576">
        <f t="shared" si="17"/>
        <v>4</v>
      </c>
      <c r="BN79" s="662">
        <v>0.140625</v>
      </c>
      <c r="BO79" s="611">
        <v>3.7790322580645159</v>
      </c>
      <c r="BP79" s="611">
        <f t="shared" si="18"/>
        <v>0.22096774193548407</v>
      </c>
      <c r="BQ79" s="612"/>
      <c r="BR79" s="612">
        <v>1</v>
      </c>
      <c r="BS79" s="566" t="s">
        <v>127</v>
      </c>
      <c r="BT79" s="576"/>
      <c r="BV79" s="627" t="s">
        <v>812</v>
      </c>
      <c r="BW79" s="628">
        <f>SUM(BP70:BP101)</f>
        <v>7.6000000000000032</v>
      </c>
      <c r="BY79" s="585" t="s">
        <v>807</v>
      </c>
      <c r="BZ79" s="585" t="s">
        <v>808</v>
      </c>
      <c r="DD79" s="587"/>
      <c r="DE79" s="588" t="s">
        <v>755</v>
      </c>
      <c r="DF79" s="588" t="s">
        <v>756</v>
      </c>
      <c r="DG79" s="590" t="s">
        <v>757</v>
      </c>
      <c r="DH79" s="590" t="s">
        <v>758</v>
      </c>
      <c r="DI79" s="590" t="s">
        <v>765</v>
      </c>
      <c r="DJ79" s="590" t="s">
        <v>766</v>
      </c>
      <c r="DK79" s="592" t="s">
        <v>768</v>
      </c>
      <c r="DL79" s="588" t="s">
        <v>759</v>
      </c>
      <c r="DM79" s="588" t="s">
        <v>769</v>
      </c>
      <c r="DN79" s="588" t="s">
        <v>760</v>
      </c>
      <c r="DO79" s="596" t="s">
        <v>770</v>
      </c>
      <c r="DP79" s="596" t="s">
        <v>771</v>
      </c>
      <c r="DQ79" s="595" t="s">
        <v>772</v>
      </c>
      <c r="DR79" s="595" t="s">
        <v>773</v>
      </c>
      <c r="DS79" s="588" t="s">
        <v>761</v>
      </c>
      <c r="DT79" s="588" t="s">
        <v>762</v>
      </c>
      <c r="DU79" s="588" t="s">
        <v>763</v>
      </c>
      <c r="DV79" s="562"/>
      <c r="DW79" s="562"/>
      <c r="DX79" s="562"/>
      <c r="DY79" s="562"/>
      <c r="DZ79" s="562"/>
    </row>
    <row r="80" spans="2:130" s="560" customFormat="1">
      <c r="C80" s="560">
        <v>0.7</v>
      </c>
      <c r="P80" s="587"/>
      <c r="Q80" s="588" t="s">
        <v>755</v>
      </c>
      <c r="R80" s="588" t="s">
        <v>756</v>
      </c>
      <c r="S80" s="588" t="s">
        <v>757</v>
      </c>
      <c r="T80" s="588" t="s">
        <v>758</v>
      </c>
      <c r="U80" s="588" t="s">
        <v>759</v>
      </c>
      <c r="V80" s="588" t="s">
        <v>760</v>
      </c>
      <c r="W80" s="588" t="s">
        <v>761</v>
      </c>
      <c r="X80" s="588" t="s">
        <v>762</v>
      </c>
      <c r="Y80" s="588" t="s">
        <v>763</v>
      </c>
      <c r="Z80" s="562"/>
      <c r="AA80" s="562"/>
      <c r="AB80" s="562"/>
      <c r="AC80" s="588" t="s">
        <v>764</v>
      </c>
      <c r="AD80" s="589"/>
      <c r="AE80" s="561"/>
      <c r="AF80" s="568">
        <v>2</v>
      </c>
      <c r="AG80" s="562"/>
      <c r="AH80" s="577">
        <v>0.1</v>
      </c>
      <c r="AI80" s="577" t="s">
        <v>793</v>
      </c>
      <c r="AJ80" s="577"/>
      <c r="AK80" s="577">
        <v>1</v>
      </c>
      <c r="AL80" s="577"/>
      <c r="AM80" s="577">
        <v>1</v>
      </c>
      <c r="AN80" s="562">
        <v>2.2000000000000002</v>
      </c>
      <c r="AO80" s="562">
        <f t="shared" si="19"/>
        <v>4.4000000000000004</v>
      </c>
      <c r="AP80" s="598">
        <v>0.140625</v>
      </c>
      <c r="AQ80" s="599">
        <v>3.5489655172413794</v>
      </c>
      <c r="AR80" s="599">
        <f t="shared" si="20"/>
        <v>0.85103448275862092</v>
      </c>
      <c r="AS80" s="600"/>
      <c r="AT80" s="600">
        <v>1</v>
      </c>
      <c r="AU80" s="577" t="s">
        <v>778</v>
      </c>
      <c r="AV80" s="584">
        <v>1644</v>
      </c>
      <c r="AW80" s="562"/>
      <c r="AX80" s="562"/>
      <c r="AY80" s="562"/>
      <c r="AZ80" s="562"/>
      <c r="BA80" s="607" t="s">
        <v>785</v>
      </c>
      <c r="BB80" s="608" t="s">
        <v>542</v>
      </c>
      <c r="BD80" s="576">
        <v>11</v>
      </c>
      <c r="BE80" s="576"/>
      <c r="BF80" s="576"/>
      <c r="BG80" s="576"/>
      <c r="BH80" s="576"/>
      <c r="BI80" s="576">
        <v>1</v>
      </c>
      <c r="BJ80" s="576"/>
      <c r="BK80" s="576"/>
      <c r="BL80" s="576">
        <v>2</v>
      </c>
      <c r="BM80" s="576">
        <f t="shared" si="17"/>
        <v>4</v>
      </c>
      <c r="BN80" s="662">
        <v>0.140625</v>
      </c>
      <c r="BO80" s="611">
        <v>3.782258064516129</v>
      </c>
      <c r="BP80" s="611">
        <f t="shared" si="18"/>
        <v>0.217741935483871</v>
      </c>
      <c r="BQ80" s="612"/>
      <c r="BR80" s="612">
        <v>1</v>
      </c>
      <c r="BS80" s="566" t="s">
        <v>127</v>
      </c>
      <c r="BT80" s="576"/>
      <c r="BV80" s="627" t="s">
        <v>811</v>
      </c>
      <c r="BW80" s="628">
        <f>MAX(BP70:BP101)</f>
        <v>1.1919354838709677</v>
      </c>
      <c r="BY80" s="585" t="s">
        <v>810</v>
      </c>
      <c r="BZ80" s="585" t="s">
        <v>550</v>
      </c>
      <c r="DD80" s="561"/>
      <c r="DE80" s="577">
        <v>1</v>
      </c>
      <c r="DF80" s="562"/>
      <c r="DG80" s="577"/>
      <c r="DH80" s="577"/>
      <c r="DI80" s="577"/>
      <c r="DJ80" s="577">
        <v>1</v>
      </c>
      <c r="DK80" s="577"/>
      <c r="DL80" s="577">
        <v>1.7</v>
      </c>
      <c r="DM80" s="577">
        <f t="shared" ref="DM80:DM94" si="21">DL80+DL80</f>
        <v>3.4</v>
      </c>
      <c r="DN80" s="577" t="s">
        <v>779</v>
      </c>
      <c r="DO80" s="599">
        <v>3.38</v>
      </c>
      <c r="DP80" s="599">
        <f t="shared" ref="DP80:DP96" si="22">+DM80-DO80</f>
        <v>2.0000000000000018E-2</v>
      </c>
      <c r="DQ80" s="600"/>
      <c r="DR80" s="600">
        <v>1</v>
      </c>
      <c r="DS80" s="577" t="s">
        <v>888</v>
      </c>
      <c r="DT80" s="584"/>
      <c r="DU80" s="577"/>
      <c r="DV80" s="562"/>
      <c r="DW80" s="562"/>
      <c r="DX80" s="562"/>
      <c r="DY80" s="562"/>
      <c r="DZ80" s="562"/>
    </row>
    <row r="81" spans="1:129" s="560" customFormat="1">
      <c r="C81" s="560">
        <v>0.8</v>
      </c>
      <c r="P81" s="561"/>
      <c r="Q81" s="568" t="s">
        <v>776</v>
      </c>
      <c r="R81" s="562">
        <v>0.45</v>
      </c>
      <c r="S81" s="562"/>
      <c r="T81" s="562"/>
      <c r="U81" s="562"/>
      <c r="V81" s="562"/>
      <c r="W81" s="562"/>
      <c r="X81" s="562"/>
      <c r="Y81" s="562"/>
      <c r="Z81" s="562"/>
      <c r="AA81" s="562"/>
      <c r="AB81" s="562"/>
      <c r="AC81" s="577"/>
      <c r="AD81" s="589"/>
      <c r="AE81" s="561"/>
      <c r="AF81" s="568">
        <v>3</v>
      </c>
      <c r="AG81" s="562"/>
      <c r="AH81" s="577">
        <v>0.1</v>
      </c>
      <c r="AI81" s="577" t="s">
        <v>777</v>
      </c>
      <c r="AJ81" s="577">
        <v>1</v>
      </c>
      <c r="AK81" s="577"/>
      <c r="AL81" s="577"/>
      <c r="AM81" s="577"/>
      <c r="AN81" s="562">
        <v>2.5</v>
      </c>
      <c r="AO81" s="562">
        <f t="shared" si="19"/>
        <v>5</v>
      </c>
      <c r="AP81" s="598">
        <v>0.140625</v>
      </c>
      <c r="AQ81" s="599">
        <v>3.5479310344827586</v>
      </c>
      <c r="AR81" s="599">
        <f t="shared" si="20"/>
        <v>1.4520689655172414</v>
      </c>
      <c r="AS81" s="600"/>
      <c r="AT81" s="600">
        <v>1</v>
      </c>
      <c r="AU81" s="577" t="s">
        <v>778</v>
      </c>
      <c r="AV81" s="584">
        <v>1645</v>
      </c>
      <c r="AW81" s="562"/>
      <c r="AX81" s="562"/>
      <c r="AY81" s="562"/>
      <c r="AZ81" s="562"/>
      <c r="BA81" s="607" t="s">
        <v>789</v>
      </c>
      <c r="BB81" s="608" t="s">
        <v>790</v>
      </c>
      <c r="BD81" s="576">
        <v>12</v>
      </c>
      <c r="BE81" s="576"/>
      <c r="BF81" s="576">
        <v>0.3</v>
      </c>
      <c r="BG81" s="576" t="s">
        <v>127</v>
      </c>
      <c r="BH81" s="576"/>
      <c r="BI81" s="576">
        <v>1</v>
      </c>
      <c r="BJ81" s="576"/>
      <c r="BK81" s="576"/>
      <c r="BL81" s="576">
        <v>2</v>
      </c>
      <c r="BM81" s="576">
        <f t="shared" si="17"/>
        <v>4</v>
      </c>
      <c r="BN81" s="662">
        <v>0.140625</v>
      </c>
      <c r="BO81" s="611">
        <v>3.7854838709677416</v>
      </c>
      <c r="BP81" s="611">
        <f t="shared" si="18"/>
        <v>0.21451612903225836</v>
      </c>
      <c r="BQ81" s="612"/>
      <c r="BR81" s="612">
        <v>1</v>
      </c>
      <c r="BS81" s="566" t="s">
        <v>127</v>
      </c>
      <c r="BT81" s="576"/>
      <c r="BV81" s="627" t="s">
        <v>814</v>
      </c>
      <c r="BW81" s="628">
        <f>MIN(BP70:BP101)</f>
        <v>-0.16612903225806441</v>
      </c>
      <c r="BY81" s="585" t="s">
        <v>813</v>
      </c>
      <c r="BZ81" s="585" t="s">
        <v>552</v>
      </c>
      <c r="DD81" s="561"/>
      <c r="DE81" s="577">
        <v>2</v>
      </c>
      <c r="DF81" s="562"/>
      <c r="DG81" s="577"/>
      <c r="DH81" s="577"/>
      <c r="DI81" s="577"/>
      <c r="DJ81" s="577">
        <v>1</v>
      </c>
      <c r="DK81" s="577"/>
      <c r="DL81" s="577">
        <v>1.6</v>
      </c>
      <c r="DM81" s="577">
        <f t="shared" si="21"/>
        <v>3.2</v>
      </c>
      <c r="DN81" s="577" t="s">
        <v>779</v>
      </c>
      <c r="DO81" s="599">
        <v>3.3312499999999998</v>
      </c>
      <c r="DP81" s="599">
        <f t="shared" si="22"/>
        <v>-0.13124999999999964</v>
      </c>
      <c r="DQ81" s="600"/>
      <c r="DR81" s="600">
        <v>1</v>
      </c>
      <c r="DS81" s="577" t="s">
        <v>778</v>
      </c>
      <c r="DT81" s="609"/>
      <c r="DU81" s="577"/>
      <c r="DV81" s="562"/>
      <c r="DW81" s="562"/>
      <c r="DX81" s="562"/>
      <c r="DY81" s="562"/>
    </row>
    <row r="82" spans="1:129" s="560" customFormat="1">
      <c r="C82" s="560">
        <v>0.9</v>
      </c>
      <c r="P82" s="561"/>
      <c r="Q82" s="562"/>
      <c r="R82" s="562">
        <v>0.4</v>
      </c>
      <c r="S82" s="562"/>
      <c r="T82" s="562"/>
      <c r="U82" s="562"/>
      <c r="V82" s="562"/>
      <c r="W82" s="562"/>
      <c r="X82" s="562"/>
      <c r="Y82" s="562"/>
      <c r="Z82" s="562"/>
      <c r="AA82" s="562"/>
      <c r="AB82" s="562"/>
      <c r="AC82" s="607" t="s">
        <v>780</v>
      </c>
      <c r="AD82" s="608" t="s">
        <v>616</v>
      </c>
      <c r="AE82" s="561"/>
      <c r="AF82" s="568">
        <v>4</v>
      </c>
      <c r="AG82" s="562"/>
      <c r="AH82" s="577"/>
      <c r="AI82" s="577"/>
      <c r="AJ82" s="577"/>
      <c r="AK82" s="577">
        <v>1</v>
      </c>
      <c r="AL82" s="577"/>
      <c r="AM82" s="577"/>
      <c r="AN82" s="562">
        <v>2.6</v>
      </c>
      <c r="AO82" s="562">
        <f t="shared" si="19"/>
        <v>5.2</v>
      </c>
      <c r="AP82" s="598">
        <v>0.140625</v>
      </c>
      <c r="AQ82" s="599">
        <v>3.5468965517241378</v>
      </c>
      <c r="AR82" s="599">
        <f t="shared" si="20"/>
        <v>1.6531034482758624</v>
      </c>
      <c r="AS82" s="600"/>
      <c r="AT82" s="600">
        <v>1</v>
      </c>
      <c r="AU82" s="577" t="s">
        <v>778</v>
      </c>
      <c r="AV82" s="584"/>
      <c r="AW82" s="562"/>
      <c r="AX82" s="562"/>
      <c r="AY82" s="562"/>
      <c r="AZ82" s="562"/>
      <c r="BA82" s="607" t="s">
        <v>791</v>
      </c>
      <c r="BB82" s="608" t="s">
        <v>792</v>
      </c>
      <c r="BD82" s="576">
        <v>13</v>
      </c>
      <c r="BE82" s="576"/>
      <c r="BF82" s="576"/>
      <c r="BG82" s="576"/>
      <c r="BH82" s="576"/>
      <c r="BI82" s="576">
        <v>1</v>
      </c>
      <c r="BJ82" s="576"/>
      <c r="BK82" s="576"/>
      <c r="BL82" s="576">
        <v>2</v>
      </c>
      <c r="BM82" s="576">
        <f t="shared" si="17"/>
        <v>4</v>
      </c>
      <c r="BN82" s="662">
        <v>0.140625</v>
      </c>
      <c r="BO82" s="611">
        <v>3.7887096774193547</v>
      </c>
      <c r="BP82" s="611">
        <f t="shared" si="18"/>
        <v>0.21129032258064528</v>
      </c>
      <c r="BQ82" s="612"/>
      <c r="BR82" s="612">
        <v>1</v>
      </c>
      <c r="BS82" s="566" t="s">
        <v>127</v>
      </c>
      <c r="BT82" s="576"/>
      <c r="BV82" s="627" t="s">
        <v>817</v>
      </c>
      <c r="BW82" s="628">
        <f>AVERAGE(BP70:BP101)</f>
        <v>0.2375000000000001</v>
      </c>
      <c r="BY82" s="585" t="s">
        <v>815</v>
      </c>
      <c r="BZ82" s="585" t="s">
        <v>816</v>
      </c>
      <c r="DD82" s="561"/>
      <c r="DE82" s="577">
        <v>3</v>
      </c>
      <c r="DF82" s="562"/>
      <c r="DG82" s="577"/>
      <c r="DH82" s="577"/>
      <c r="DI82" s="577"/>
      <c r="DJ82" s="577">
        <v>1</v>
      </c>
      <c r="DK82" s="577"/>
      <c r="DL82" s="577">
        <v>1.2</v>
      </c>
      <c r="DM82" s="577">
        <f t="shared" si="21"/>
        <v>2.4</v>
      </c>
      <c r="DN82" s="577" t="s">
        <v>797</v>
      </c>
      <c r="DO82" s="599">
        <v>2.5499999999999998</v>
      </c>
      <c r="DP82" s="599">
        <f t="shared" si="22"/>
        <v>-0.14999999999999991</v>
      </c>
      <c r="DQ82" s="600">
        <v>1</v>
      </c>
      <c r="DR82" s="600"/>
      <c r="DS82" s="577" t="s">
        <v>778</v>
      </c>
      <c r="DT82" s="584"/>
      <c r="DU82" s="577"/>
      <c r="DV82" s="562"/>
      <c r="DW82" s="562"/>
      <c r="DX82" s="562"/>
      <c r="DY82" s="562"/>
    </row>
    <row r="83" spans="1:129" s="560" customFormat="1">
      <c r="C83" s="560">
        <v>1</v>
      </c>
      <c r="P83" s="561"/>
      <c r="Q83" s="562"/>
      <c r="R83" s="562">
        <v>0.45</v>
      </c>
      <c r="S83" s="562"/>
      <c r="T83" s="562"/>
      <c r="U83" s="562"/>
      <c r="V83" s="562"/>
      <c r="W83" s="562"/>
      <c r="X83" s="562"/>
      <c r="Y83" s="562"/>
      <c r="Z83" s="562"/>
      <c r="AA83" s="562"/>
      <c r="AB83" s="562"/>
      <c r="AC83" s="607" t="s">
        <v>785</v>
      </c>
      <c r="AD83" s="608" t="s">
        <v>542</v>
      </c>
      <c r="AE83" s="561"/>
      <c r="AF83" s="568">
        <v>5</v>
      </c>
      <c r="AG83" s="562"/>
      <c r="AH83" s="577">
        <v>0.3</v>
      </c>
      <c r="AI83" s="577" t="s">
        <v>793</v>
      </c>
      <c r="AJ83" s="577"/>
      <c r="AK83" s="577">
        <v>1</v>
      </c>
      <c r="AL83" s="577"/>
      <c r="AM83" s="577">
        <v>1</v>
      </c>
      <c r="AN83" s="562">
        <v>2.5499999999999998</v>
      </c>
      <c r="AO83" s="562">
        <f t="shared" si="19"/>
        <v>5.0999999999999996</v>
      </c>
      <c r="AP83" s="598">
        <v>0.140625</v>
      </c>
      <c r="AQ83" s="599">
        <v>3.5458620689655174</v>
      </c>
      <c r="AR83" s="599">
        <f t="shared" si="20"/>
        <v>1.5541379310344823</v>
      </c>
      <c r="AS83" s="600"/>
      <c r="AT83" s="600">
        <v>1</v>
      </c>
      <c r="AU83" s="577" t="s">
        <v>778</v>
      </c>
      <c r="AV83" s="577">
        <v>1646</v>
      </c>
      <c r="AW83" s="562"/>
      <c r="AX83" s="562"/>
      <c r="AY83" s="562"/>
      <c r="AZ83" s="562"/>
      <c r="BA83" s="607" t="s">
        <v>794</v>
      </c>
      <c r="BB83" s="608" t="s">
        <v>795</v>
      </c>
      <c r="BD83" s="576">
        <v>14</v>
      </c>
      <c r="BF83" s="576"/>
      <c r="BG83" s="576"/>
      <c r="BH83" s="576"/>
      <c r="BI83" s="576">
        <v>1</v>
      </c>
      <c r="BJ83" s="576"/>
      <c r="BK83" s="576"/>
      <c r="BL83" s="576">
        <v>2</v>
      </c>
      <c r="BM83" s="576">
        <f t="shared" si="17"/>
        <v>4</v>
      </c>
      <c r="BN83" s="662">
        <v>0.140625</v>
      </c>
      <c r="BO83" s="611">
        <v>3.7919354838709678</v>
      </c>
      <c r="BP83" s="611">
        <f t="shared" si="18"/>
        <v>0.20806451612903221</v>
      </c>
      <c r="BQ83" s="612"/>
      <c r="BR83" s="612">
        <v>1</v>
      </c>
      <c r="BS83" s="566" t="s">
        <v>127</v>
      </c>
      <c r="BV83" s="627" t="s">
        <v>818</v>
      </c>
      <c r="BW83" s="627" t="e">
        <f ca="1">_xlfn.STDEV.S(BP70:BP101)</f>
        <v>#NAME?</v>
      </c>
      <c r="DD83" s="561"/>
      <c r="DE83" s="577">
        <v>4</v>
      </c>
      <c r="DF83" s="562"/>
      <c r="DG83" s="577"/>
      <c r="DH83" s="577"/>
      <c r="DI83" s="577"/>
      <c r="DJ83" s="577">
        <v>1</v>
      </c>
      <c r="DK83" s="577"/>
      <c r="DL83" s="577">
        <v>1.5</v>
      </c>
      <c r="DM83" s="577">
        <f t="shared" si="21"/>
        <v>3</v>
      </c>
      <c r="DN83" s="577" t="s">
        <v>779</v>
      </c>
      <c r="DO83" s="599">
        <v>3.2337499999999997</v>
      </c>
      <c r="DP83" s="599">
        <f t="shared" si="22"/>
        <v>-0.23374999999999968</v>
      </c>
      <c r="DQ83" s="600"/>
      <c r="DR83" s="600">
        <v>1</v>
      </c>
      <c r="DS83" s="577" t="s">
        <v>778</v>
      </c>
      <c r="DT83" s="584"/>
      <c r="DU83" s="577"/>
      <c r="DV83" s="562"/>
      <c r="DW83" s="562"/>
      <c r="DX83" s="562"/>
      <c r="DY83" s="562"/>
    </row>
    <row r="84" spans="1:129" s="560" customFormat="1">
      <c r="C84" s="560">
        <v>0.95</v>
      </c>
      <c r="P84" s="561"/>
      <c r="Q84" s="562"/>
      <c r="R84" s="562">
        <v>0.44</v>
      </c>
      <c r="S84" s="562"/>
      <c r="T84" s="562"/>
      <c r="U84" s="562"/>
      <c r="V84" s="562"/>
      <c r="W84" s="562"/>
      <c r="X84" s="562"/>
      <c r="Y84" s="562"/>
      <c r="Z84" s="562"/>
      <c r="AA84" s="562"/>
      <c r="AB84" s="562"/>
      <c r="AC84" s="607" t="s">
        <v>789</v>
      </c>
      <c r="AD84" s="608" t="s">
        <v>790</v>
      </c>
      <c r="AE84" s="561"/>
      <c r="AF84" s="568">
        <v>6</v>
      </c>
      <c r="AG84" s="562"/>
      <c r="AH84" s="577"/>
      <c r="AI84" s="577"/>
      <c r="AJ84" s="577"/>
      <c r="AK84" s="577">
        <v>1</v>
      </c>
      <c r="AL84" s="577"/>
      <c r="AM84" s="577"/>
      <c r="AN84" s="562">
        <v>2.5</v>
      </c>
      <c r="AO84" s="562">
        <f t="shared" si="19"/>
        <v>5</v>
      </c>
      <c r="AP84" s="598">
        <v>0.140625</v>
      </c>
      <c r="AQ84" s="599">
        <v>3.5448275862068965</v>
      </c>
      <c r="AR84" s="599">
        <f t="shared" si="20"/>
        <v>1.4551724137931035</v>
      </c>
      <c r="AS84" s="600"/>
      <c r="AT84" s="600">
        <v>1</v>
      </c>
      <c r="AU84" s="577" t="s">
        <v>778</v>
      </c>
      <c r="AV84" s="577"/>
      <c r="AW84" s="562"/>
      <c r="AX84" s="562"/>
      <c r="AY84" s="562"/>
      <c r="AZ84" s="562"/>
      <c r="BA84" s="607" t="s">
        <v>798</v>
      </c>
      <c r="BB84" s="608" t="s">
        <v>546</v>
      </c>
      <c r="BD84" s="576">
        <v>15</v>
      </c>
      <c r="BF84" s="576"/>
      <c r="BG84" s="576"/>
      <c r="BH84" s="576"/>
      <c r="BI84" s="576">
        <v>1</v>
      </c>
      <c r="BJ84" s="576"/>
      <c r="BK84" s="576"/>
      <c r="BL84" s="576">
        <v>2</v>
      </c>
      <c r="BM84" s="576">
        <f t="shared" si="17"/>
        <v>4</v>
      </c>
      <c r="BN84" s="662">
        <v>0.140625</v>
      </c>
      <c r="BO84" s="611">
        <v>3.7951612903225804</v>
      </c>
      <c r="BP84" s="611">
        <f t="shared" si="18"/>
        <v>0.20483870967741957</v>
      </c>
      <c r="BQ84" s="612"/>
      <c r="BR84" s="612">
        <v>1</v>
      </c>
      <c r="BS84" s="566" t="s">
        <v>127</v>
      </c>
      <c r="DD84" s="561"/>
      <c r="DE84" s="577">
        <v>5</v>
      </c>
      <c r="DF84" s="562"/>
      <c r="DG84" s="577"/>
      <c r="DH84" s="577"/>
      <c r="DI84" s="577"/>
      <c r="DJ84" s="577">
        <v>1</v>
      </c>
      <c r="DK84" s="577"/>
      <c r="DL84" s="577">
        <v>1.8</v>
      </c>
      <c r="DM84" s="577">
        <f t="shared" si="21"/>
        <v>3.6</v>
      </c>
      <c r="DN84" s="577" t="s">
        <v>779</v>
      </c>
      <c r="DO84" s="599">
        <v>3.1850000000000001</v>
      </c>
      <c r="DP84" s="599">
        <f t="shared" si="22"/>
        <v>0.41500000000000004</v>
      </c>
      <c r="DQ84" s="600"/>
      <c r="DR84" s="600">
        <v>1</v>
      </c>
      <c r="DS84" s="577" t="s">
        <v>778</v>
      </c>
      <c r="DT84" s="584"/>
      <c r="DU84" s="577"/>
      <c r="DV84" s="562"/>
      <c r="DW84" s="625" t="s">
        <v>806</v>
      </c>
      <c r="DX84" s="625">
        <f>COUNT(DP80:DP96)</f>
        <v>17</v>
      </c>
      <c r="DY84" s="562"/>
    </row>
    <row r="85" spans="1:129" s="560" customFormat="1">
      <c r="C85" s="560">
        <v>1</v>
      </c>
      <c r="P85" s="561"/>
      <c r="Q85" s="562"/>
      <c r="R85" s="562">
        <v>0.4</v>
      </c>
      <c r="S85" s="562"/>
      <c r="T85" s="562"/>
      <c r="U85" s="562"/>
      <c r="V85" s="562"/>
      <c r="W85" s="562"/>
      <c r="X85" s="562"/>
      <c r="Y85" s="562"/>
      <c r="Z85" s="562"/>
      <c r="AA85" s="562"/>
      <c r="AB85" s="562"/>
      <c r="AC85" s="607" t="s">
        <v>791</v>
      </c>
      <c r="AD85" s="608" t="s">
        <v>792</v>
      </c>
      <c r="AE85" s="561"/>
      <c r="AF85" s="568">
        <v>7</v>
      </c>
      <c r="AG85" s="562"/>
      <c r="AH85" s="577">
        <v>0.1</v>
      </c>
      <c r="AI85" s="577" t="s">
        <v>793</v>
      </c>
      <c r="AJ85" s="577"/>
      <c r="AK85" s="577">
        <v>1</v>
      </c>
      <c r="AL85" s="577"/>
      <c r="AM85" s="577">
        <v>1</v>
      </c>
      <c r="AN85" s="562">
        <v>2.5</v>
      </c>
      <c r="AO85" s="562">
        <f t="shared" si="19"/>
        <v>5</v>
      </c>
      <c r="AP85" s="598">
        <v>0.140625</v>
      </c>
      <c r="AQ85" s="599">
        <v>3.5437931034482757</v>
      </c>
      <c r="AR85" s="599">
        <f t="shared" si="20"/>
        <v>1.4562068965517243</v>
      </c>
      <c r="AS85" s="600"/>
      <c r="AT85" s="600">
        <v>1</v>
      </c>
      <c r="AU85" s="577" t="s">
        <v>778</v>
      </c>
      <c r="AV85" s="577">
        <v>1647</v>
      </c>
      <c r="AW85" s="562"/>
      <c r="AX85" s="562"/>
      <c r="AY85" s="562"/>
      <c r="AZ85" s="562"/>
      <c r="BA85" s="607" t="s">
        <v>800</v>
      </c>
      <c r="BB85" s="608" t="s">
        <v>801</v>
      </c>
      <c r="BD85" s="576">
        <v>16</v>
      </c>
      <c r="BF85" s="576"/>
      <c r="BG85" s="576"/>
      <c r="BH85" s="576"/>
      <c r="BI85" s="576">
        <v>1</v>
      </c>
      <c r="BJ85" s="576"/>
      <c r="BK85" s="576"/>
      <c r="BL85" s="576">
        <v>2</v>
      </c>
      <c r="BM85" s="576">
        <f t="shared" si="17"/>
        <v>4</v>
      </c>
      <c r="BN85" s="662">
        <v>0.140625</v>
      </c>
      <c r="BO85" s="611">
        <v>3.7983870967741935</v>
      </c>
      <c r="BP85" s="611">
        <f t="shared" si="18"/>
        <v>0.20161290322580649</v>
      </c>
      <c r="BQ85" s="612"/>
      <c r="BR85" s="612">
        <v>1</v>
      </c>
      <c r="BS85" s="566" t="s">
        <v>127</v>
      </c>
      <c r="DD85" s="561"/>
      <c r="DE85" s="577">
        <v>6</v>
      </c>
      <c r="DF85" s="562"/>
      <c r="DG85" s="577"/>
      <c r="DH85" s="577"/>
      <c r="DI85" s="577"/>
      <c r="DJ85" s="577">
        <v>1</v>
      </c>
      <c r="DK85" s="577"/>
      <c r="DL85" s="577">
        <v>1.45</v>
      </c>
      <c r="DM85" s="577">
        <f t="shared" si="21"/>
        <v>2.9</v>
      </c>
      <c r="DN85" s="577" t="s">
        <v>797</v>
      </c>
      <c r="DO85" s="599">
        <v>2.5</v>
      </c>
      <c r="DP85" s="599">
        <f t="shared" si="22"/>
        <v>0.39999999999999991</v>
      </c>
      <c r="DQ85" s="600">
        <v>1</v>
      </c>
      <c r="DR85" s="600"/>
      <c r="DS85" s="577" t="s">
        <v>778</v>
      </c>
      <c r="DT85" s="577"/>
      <c r="DU85" s="577"/>
      <c r="DV85" s="562"/>
      <c r="DW85" s="625" t="s">
        <v>812</v>
      </c>
      <c r="DX85" s="626">
        <f>SUM(DP80:DP96)</f>
        <v>5.3162500000000019</v>
      </c>
      <c r="DY85" s="562"/>
    </row>
    <row r="86" spans="1:129" s="560" customFormat="1">
      <c r="C86" s="560">
        <v>1</v>
      </c>
      <c r="P86" s="561"/>
      <c r="Q86" s="562"/>
      <c r="R86" s="562">
        <v>0.45</v>
      </c>
      <c r="S86" s="562"/>
      <c r="T86" s="562"/>
      <c r="U86" s="562"/>
      <c r="V86" s="562"/>
      <c r="W86" s="562"/>
      <c r="X86" s="562"/>
      <c r="Y86" s="562"/>
      <c r="Z86" s="562"/>
      <c r="AA86" s="562"/>
      <c r="AB86" s="562"/>
      <c r="AC86" s="607" t="s">
        <v>794</v>
      </c>
      <c r="AD86" s="608" t="s">
        <v>795</v>
      </c>
      <c r="AE86" s="561"/>
      <c r="AF86" s="568">
        <v>8</v>
      </c>
      <c r="AG86" s="562"/>
      <c r="AH86" s="577"/>
      <c r="AI86" s="577"/>
      <c r="AJ86" s="577"/>
      <c r="AK86" s="577">
        <v>1</v>
      </c>
      <c r="AL86" s="577"/>
      <c r="AM86" s="577"/>
      <c r="AN86" s="562">
        <v>2.5</v>
      </c>
      <c r="AO86" s="562">
        <f t="shared" si="19"/>
        <v>5</v>
      </c>
      <c r="AP86" s="598">
        <v>0.140625</v>
      </c>
      <c r="AQ86" s="599">
        <v>3.5427586206896553</v>
      </c>
      <c r="AR86" s="599">
        <f t="shared" si="20"/>
        <v>1.4572413793103447</v>
      </c>
      <c r="AS86" s="600"/>
      <c r="AT86" s="600">
        <v>1</v>
      </c>
      <c r="AU86" s="577" t="s">
        <v>778</v>
      </c>
      <c r="AV86" s="577"/>
      <c r="AW86" s="562"/>
      <c r="AX86" s="562"/>
      <c r="AY86" s="562"/>
      <c r="AZ86" s="562"/>
      <c r="BA86" s="607" t="s">
        <v>804</v>
      </c>
      <c r="BB86" s="608" t="s">
        <v>805</v>
      </c>
      <c r="BD86" s="576">
        <v>17</v>
      </c>
      <c r="BF86" s="576"/>
      <c r="BG86" s="576"/>
      <c r="BH86" s="576"/>
      <c r="BI86" s="576">
        <v>1</v>
      </c>
      <c r="BJ86" s="576"/>
      <c r="BK86" s="576"/>
      <c r="BL86" s="576">
        <v>2</v>
      </c>
      <c r="BM86" s="576">
        <f t="shared" si="17"/>
        <v>4</v>
      </c>
      <c r="BN86" s="662">
        <v>0.140625</v>
      </c>
      <c r="BO86" s="611">
        <v>3.8016129032258061</v>
      </c>
      <c r="BP86" s="611">
        <f t="shared" si="18"/>
        <v>0.19838709677419386</v>
      </c>
      <c r="BQ86" s="612"/>
      <c r="BR86" s="612">
        <v>1</v>
      </c>
      <c r="BS86" s="566" t="s">
        <v>127</v>
      </c>
      <c r="DD86" s="561"/>
      <c r="DE86" s="577">
        <v>7</v>
      </c>
      <c r="DF86" s="562"/>
      <c r="DG86" s="577"/>
      <c r="DH86" s="577"/>
      <c r="DI86" s="577"/>
      <c r="DJ86" s="577">
        <v>1</v>
      </c>
      <c r="DK86" s="577"/>
      <c r="DL86" s="577">
        <v>1.7</v>
      </c>
      <c r="DM86" s="577">
        <f t="shared" si="21"/>
        <v>3.4</v>
      </c>
      <c r="DN86" s="577" t="s">
        <v>779</v>
      </c>
      <c r="DO86" s="599">
        <v>3.0874999999999999</v>
      </c>
      <c r="DP86" s="599">
        <f t="shared" si="22"/>
        <v>0.3125</v>
      </c>
      <c r="DQ86" s="600"/>
      <c r="DR86" s="600">
        <v>1</v>
      </c>
      <c r="DS86" s="577" t="s">
        <v>778</v>
      </c>
      <c r="DT86" s="577"/>
      <c r="DU86" s="577"/>
      <c r="DV86" s="562"/>
      <c r="DW86" s="625" t="s">
        <v>811</v>
      </c>
      <c r="DX86" s="626">
        <f>MAX(DP80:DP96)</f>
        <v>2.0049999999999999</v>
      </c>
      <c r="DY86" s="562"/>
    </row>
    <row r="87" spans="1:129" s="560" customFormat="1">
      <c r="C87" s="560">
        <v>1.1000000000000001</v>
      </c>
      <c r="P87" s="561"/>
      <c r="Q87" s="562"/>
      <c r="R87" s="562">
        <v>0.45</v>
      </c>
      <c r="S87" s="562"/>
      <c r="T87" s="562"/>
      <c r="U87" s="562"/>
      <c r="V87" s="562"/>
      <c r="W87" s="562"/>
      <c r="X87" s="562"/>
      <c r="Y87" s="562"/>
      <c r="Z87" s="562"/>
      <c r="AA87" s="562"/>
      <c r="AB87" s="562"/>
      <c r="AC87" s="607" t="s">
        <v>798</v>
      </c>
      <c r="AD87" s="608" t="s">
        <v>546</v>
      </c>
      <c r="AE87" s="561"/>
      <c r="AF87" s="568">
        <v>9</v>
      </c>
      <c r="AG87" s="562"/>
      <c r="AH87" s="577"/>
      <c r="AI87" s="577"/>
      <c r="AJ87" s="577"/>
      <c r="AK87" s="577">
        <v>1</v>
      </c>
      <c r="AL87" s="577"/>
      <c r="AM87" s="577"/>
      <c r="AN87" s="562">
        <v>2.5</v>
      </c>
      <c r="AO87" s="562">
        <f t="shared" si="19"/>
        <v>5</v>
      </c>
      <c r="AP87" s="598">
        <v>0.140625</v>
      </c>
      <c r="AQ87" s="599">
        <v>3.5417241379310345</v>
      </c>
      <c r="AR87" s="599">
        <f t="shared" si="20"/>
        <v>1.4582758620689655</v>
      </c>
      <c r="AS87" s="600"/>
      <c r="AT87" s="600">
        <v>1</v>
      </c>
      <c r="AU87" s="577" t="s">
        <v>778</v>
      </c>
      <c r="AV87" s="577"/>
      <c r="AW87" s="562"/>
      <c r="AX87" s="625" t="s">
        <v>806</v>
      </c>
      <c r="AY87" s="562">
        <f>COUNT(AR79:AR108)</f>
        <v>30</v>
      </c>
      <c r="AZ87" s="562"/>
      <c r="BA87" s="607" t="s">
        <v>807</v>
      </c>
      <c r="BB87" s="608" t="s">
        <v>808</v>
      </c>
      <c r="BD87" s="576">
        <v>18</v>
      </c>
      <c r="BF87" s="576"/>
      <c r="BG87" s="576"/>
      <c r="BH87" s="576"/>
      <c r="BI87" s="576">
        <v>1</v>
      </c>
      <c r="BJ87" s="576"/>
      <c r="BK87" s="576"/>
      <c r="BL87" s="576">
        <v>2</v>
      </c>
      <c r="BM87" s="576">
        <f t="shared" si="17"/>
        <v>4</v>
      </c>
      <c r="BN87" s="662">
        <v>0.140625</v>
      </c>
      <c r="BO87" s="611">
        <v>3.8048387096774192</v>
      </c>
      <c r="BP87" s="611">
        <f t="shared" si="18"/>
        <v>0.19516129032258078</v>
      </c>
      <c r="BQ87" s="612"/>
      <c r="BR87" s="612">
        <v>1</v>
      </c>
      <c r="BS87" s="566" t="s">
        <v>127</v>
      </c>
      <c r="DD87" s="561"/>
      <c r="DE87" s="577">
        <v>8</v>
      </c>
      <c r="DF87" s="562"/>
      <c r="DG87" s="577">
        <v>1.2</v>
      </c>
      <c r="DH87" s="577" t="s">
        <v>127</v>
      </c>
      <c r="DI87" s="577">
        <v>1</v>
      </c>
      <c r="DJ87" s="577"/>
      <c r="DK87" s="577"/>
      <c r="DL87" s="577">
        <v>1.3</v>
      </c>
      <c r="DM87" s="577">
        <f t="shared" si="21"/>
        <v>2.6</v>
      </c>
      <c r="DN87" s="577" t="s">
        <v>797</v>
      </c>
      <c r="DO87" s="599">
        <v>2.4</v>
      </c>
      <c r="DP87" s="599">
        <f t="shared" si="22"/>
        <v>0.20000000000000018</v>
      </c>
      <c r="DQ87" s="600">
        <v>1</v>
      </c>
      <c r="DR87" s="600"/>
      <c r="DS87" s="577" t="s">
        <v>778</v>
      </c>
      <c r="DT87" s="577">
        <v>2958</v>
      </c>
      <c r="DU87" s="577" t="s">
        <v>889</v>
      </c>
      <c r="DV87" s="562"/>
      <c r="DW87" s="625" t="s">
        <v>814</v>
      </c>
      <c r="DX87" s="626">
        <f>MIN(DP80:DP96)</f>
        <v>-0.49749999999999961</v>
      </c>
      <c r="DY87" s="562"/>
    </row>
    <row r="88" spans="1:129" s="560" customFormat="1">
      <c r="C88" s="560">
        <v>1.1499999999999999</v>
      </c>
      <c r="P88" s="561"/>
      <c r="Q88" s="562"/>
      <c r="R88" s="562">
        <v>0.45</v>
      </c>
      <c r="S88" s="562"/>
      <c r="T88" s="562"/>
      <c r="U88" s="562"/>
      <c r="V88" s="562"/>
      <c r="W88" s="562"/>
      <c r="X88" s="562"/>
      <c r="Y88" s="562"/>
      <c r="Z88" s="562"/>
      <c r="AA88" s="562"/>
      <c r="AB88" s="562"/>
      <c r="AC88" s="607" t="s">
        <v>800</v>
      </c>
      <c r="AD88" s="608" t="s">
        <v>801</v>
      </c>
      <c r="AE88" s="561"/>
      <c r="AF88" s="568">
        <v>10</v>
      </c>
      <c r="AG88" s="562"/>
      <c r="AH88" s="577">
        <v>0.1</v>
      </c>
      <c r="AI88" s="577" t="s">
        <v>793</v>
      </c>
      <c r="AJ88" s="577"/>
      <c r="AK88" s="577">
        <v>1</v>
      </c>
      <c r="AL88" s="577"/>
      <c r="AM88" s="577">
        <v>1</v>
      </c>
      <c r="AN88" s="562">
        <v>2.5</v>
      </c>
      <c r="AO88" s="562">
        <f t="shared" si="19"/>
        <v>5</v>
      </c>
      <c r="AP88" s="598">
        <v>0.140625</v>
      </c>
      <c r="AQ88" s="599">
        <v>3.5406896551724136</v>
      </c>
      <c r="AR88" s="599">
        <f t="shared" si="20"/>
        <v>1.4593103448275864</v>
      </c>
      <c r="AS88" s="600"/>
      <c r="AT88" s="600">
        <v>1</v>
      </c>
      <c r="AU88" s="577" t="s">
        <v>778</v>
      </c>
      <c r="AV88" s="577">
        <v>1648</v>
      </c>
      <c r="AW88" s="562"/>
      <c r="AX88" s="625" t="s">
        <v>809</v>
      </c>
      <c r="AY88" s="649">
        <f>SUM(AR79:AR108)</f>
        <v>43.09103448275863</v>
      </c>
      <c r="AZ88" s="562"/>
      <c r="BA88" s="607" t="s">
        <v>810</v>
      </c>
      <c r="BB88" s="608" t="s">
        <v>550</v>
      </c>
      <c r="BD88" s="576">
        <v>19</v>
      </c>
      <c r="BF88" s="576"/>
      <c r="BG88" s="576"/>
      <c r="BH88" s="576"/>
      <c r="BI88" s="576">
        <v>1</v>
      </c>
      <c r="BJ88" s="576"/>
      <c r="BK88" s="576"/>
      <c r="BL88" s="576">
        <v>2.5</v>
      </c>
      <c r="BM88" s="576">
        <f t="shared" si="17"/>
        <v>5</v>
      </c>
      <c r="BN88" s="662">
        <v>0.140625</v>
      </c>
      <c r="BO88" s="611">
        <v>3.8080645161290323</v>
      </c>
      <c r="BP88" s="611">
        <f t="shared" si="18"/>
        <v>1.1919354838709677</v>
      </c>
      <c r="BQ88" s="612"/>
      <c r="BR88" s="612">
        <v>1</v>
      </c>
      <c r="BS88" s="566" t="s">
        <v>127</v>
      </c>
      <c r="DD88" s="561"/>
      <c r="DE88" s="577">
        <v>9</v>
      </c>
      <c r="DF88" s="562"/>
      <c r="DG88" s="577"/>
      <c r="DH88" s="577"/>
      <c r="DI88" s="577"/>
      <c r="DJ88" s="577">
        <v>1</v>
      </c>
      <c r="DK88" s="577"/>
      <c r="DL88" s="577">
        <v>1.45</v>
      </c>
      <c r="DM88" s="577">
        <f t="shared" si="21"/>
        <v>2.9</v>
      </c>
      <c r="DN88" s="577"/>
      <c r="DO88" s="599">
        <v>2.9899999999999998</v>
      </c>
      <c r="DP88" s="599">
        <f t="shared" si="22"/>
        <v>-8.9999999999999858E-2</v>
      </c>
      <c r="DQ88" s="600">
        <v>1</v>
      </c>
      <c r="DR88" s="600"/>
      <c r="DS88" s="577" t="s">
        <v>888</v>
      </c>
      <c r="DT88" s="577"/>
      <c r="DU88" s="577" t="s">
        <v>890</v>
      </c>
      <c r="DV88" s="562"/>
      <c r="DW88" s="625" t="s">
        <v>817</v>
      </c>
      <c r="DX88" s="626">
        <f>AVERAGE(DP80:DP96)</f>
        <v>0.31272058823529425</v>
      </c>
      <c r="DY88" s="562"/>
    </row>
    <row r="89" spans="1:129" s="560" customFormat="1">
      <c r="C89" s="560">
        <v>1.25</v>
      </c>
      <c r="P89" s="561"/>
      <c r="Q89" s="562"/>
      <c r="R89" s="562">
        <v>0.4</v>
      </c>
      <c r="S89" s="562"/>
      <c r="T89" s="562"/>
      <c r="U89" s="562"/>
      <c r="V89" s="562"/>
      <c r="W89" s="562"/>
      <c r="X89" s="562"/>
      <c r="Y89" s="562"/>
      <c r="Z89" s="562"/>
      <c r="AA89" s="562"/>
      <c r="AB89" s="562"/>
      <c r="AC89" s="607" t="s">
        <v>804</v>
      </c>
      <c r="AD89" s="608" t="s">
        <v>805</v>
      </c>
      <c r="AE89" s="561"/>
      <c r="AF89" s="568">
        <v>11</v>
      </c>
      <c r="AG89" s="562"/>
      <c r="AH89" s="577"/>
      <c r="AI89" s="577"/>
      <c r="AJ89" s="577"/>
      <c r="AK89" s="577">
        <v>1</v>
      </c>
      <c r="AL89" s="577"/>
      <c r="AM89" s="577"/>
      <c r="AN89" s="562">
        <v>2.5</v>
      </c>
      <c r="AO89" s="562">
        <f t="shared" si="19"/>
        <v>5</v>
      </c>
      <c r="AP89" s="598">
        <v>0.140625</v>
      </c>
      <c r="AQ89" s="599">
        <v>3.5396551724137932</v>
      </c>
      <c r="AR89" s="599">
        <f t="shared" si="20"/>
        <v>1.4603448275862068</v>
      </c>
      <c r="AS89" s="600"/>
      <c r="AT89" s="600">
        <v>1</v>
      </c>
      <c r="AU89" s="577" t="s">
        <v>778</v>
      </c>
      <c r="AV89" s="577"/>
      <c r="AW89" s="562"/>
      <c r="AX89" s="625" t="s">
        <v>811</v>
      </c>
      <c r="AY89" s="649">
        <f>MAX(AR79:AR108)</f>
        <v>1.6531034482758624</v>
      </c>
      <c r="AZ89" s="562"/>
      <c r="BA89" s="607" t="s">
        <v>813</v>
      </c>
      <c r="BB89" s="608" t="s">
        <v>552</v>
      </c>
      <c r="BD89" s="576">
        <v>20</v>
      </c>
      <c r="BF89" s="576"/>
      <c r="BG89" s="576"/>
      <c r="BH89" s="576"/>
      <c r="BI89" s="576">
        <v>1</v>
      </c>
      <c r="BJ89" s="576"/>
      <c r="BK89" s="576"/>
      <c r="BL89" s="576">
        <v>2</v>
      </c>
      <c r="BM89" s="576">
        <f t="shared" si="17"/>
        <v>4</v>
      </c>
      <c r="BN89" s="662">
        <v>0.140625</v>
      </c>
      <c r="BO89" s="611">
        <v>3.8112903225806449</v>
      </c>
      <c r="BP89" s="611">
        <f t="shared" si="18"/>
        <v>0.18870967741935507</v>
      </c>
      <c r="BQ89" s="612"/>
      <c r="BR89" s="612">
        <v>1</v>
      </c>
      <c r="BS89" s="566" t="s">
        <v>127</v>
      </c>
      <c r="DD89" s="561"/>
      <c r="DE89" s="577">
        <v>10</v>
      </c>
      <c r="DF89" s="562"/>
      <c r="DG89" s="577"/>
      <c r="DH89" s="577"/>
      <c r="DI89" s="577"/>
      <c r="DJ89" s="577">
        <v>1</v>
      </c>
      <c r="DK89" s="577"/>
      <c r="DL89" s="577">
        <v>1.5</v>
      </c>
      <c r="DM89" s="577">
        <f t="shared" si="21"/>
        <v>3</v>
      </c>
      <c r="DN89" s="577" t="s">
        <v>779</v>
      </c>
      <c r="DO89" s="599">
        <v>2.9412499999999997</v>
      </c>
      <c r="DP89" s="599">
        <f t="shared" si="22"/>
        <v>5.8750000000000302E-2</v>
      </c>
      <c r="DQ89" s="600"/>
      <c r="DR89" s="600">
        <v>1</v>
      </c>
      <c r="DS89" s="577" t="s">
        <v>778</v>
      </c>
      <c r="DT89" s="577"/>
      <c r="DU89" s="577"/>
      <c r="DV89" s="562"/>
      <c r="DW89" s="625" t="s">
        <v>818</v>
      </c>
      <c r="DX89" s="625">
        <f>STDEV(DP80:DP96)</f>
        <v>0.58627985586525333</v>
      </c>
      <c r="DY89" s="562"/>
    </row>
    <row r="90" spans="1:129" s="560" customFormat="1">
      <c r="C90" s="560">
        <f>COUNT(C39:C89)</f>
        <v>49</v>
      </c>
      <c r="P90" s="561"/>
      <c r="Q90" s="562"/>
      <c r="R90" s="562">
        <v>0.44</v>
      </c>
      <c r="S90" s="562"/>
      <c r="T90" s="562"/>
      <c r="U90" s="562"/>
      <c r="V90" s="562"/>
      <c r="W90" s="562"/>
      <c r="X90" s="562"/>
      <c r="Y90" s="562"/>
      <c r="Z90" s="562"/>
      <c r="AA90" s="562"/>
      <c r="AB90" s="562"/>
      <c r="AC90" s="607" t="s">
        <v>807</v>
      </c>
      <c r="AD90" s="608" t="s">
        <v>808</v>
      </c>
      <c r="AE90" s="561"/>
      <c r="AF90" s="568">
        <v>12</v>
      </c>
      <c r="AG90" s="562"/>
      <c r="AH90" s="577">
        <v>0.25</v>
      </c>
      <c r="AI90" s="577" t="s">
        <v>793</v>
      </c>
      <c r="AJ90" s="577"/>
      <c r="AK90" s="577">
        <v>1</v>
      </c>
      <c r="AL90" s="577"/>
      <c r="AM90" s="577">
        <v>1</v>
      </c>
      <c r="AN90" s="562">
        <v>2.5</v>
      </c>
      <c r="AO90" s="562">
        <f t="shared" si="19"/>
        <v>5</v>
      </c>
      <c r="AP90" s="598">
        <v>0.140625</v>
      </c>
      <c r="AQ90" s="599">
        <v>3.5386206896551724</v>
      </c>
      <c r="AR90" s="599">
        <f t="shared" si="20"/>
        <v>1.4613793103448276</v>
      </c>
      <c r="AS90" s="600"/>
      <c r="AT90" s="600">
        <v>1</v>
      </c>
      <c r="AU90" s="577" t="s">
        <v>778</v>
      </c>
      <c r="AV90" s="577">
        <v>1649</v>
      </c>
      <c r="AW90" s="562"/>
      <c r="AX90" s="625" t="s">
        <v>814</v>
      </c>
      <c r="AY90" s="649">
        <f>MIN(AR79:AR108)</f>
        <v>0.85103448275862092</v>
      </c>
      <c r="AZ90" s="562"/>
      <c r="BA90" s="607" t="s">
        <v>815</v>
      </c>
      <c r="BB90" s="608" t="s">
        <v>816</v>
      </c>
      <c r="BD90" s="576">
        <v>21</v>
      </c>
      <c r="BF90" s="576"/>
      <c r="BG90" s="576"/>
      <c r="BH90" s="576"/>
      <c r="BI90" s="576">
        <v>1</v>
      </c>
      <c r="BJ90" s="576"/>
      <c r="BK90" s="576"/>
      <c r="BL90" s="576">
        <v>2</v>
      </c>
      <c r="BM90" s="576">
        <f t="shared" si="17"/>
        <v>4</v>
      </c>
      <c r="BN90" s="662">
        <v>0.140625</v>
      </c>
      <c r="BO90" s="611">
        <v>3.814516129032258</v>
      </c>
      <c r="BP90" s="611">
        <f t="shared" si="18"/>
        <v>0.18548387096774199</v>
      </c>
      <c r="BQ90" s="612"/>
      <c r="BR90" s="612">
        <v>1</v>
      </c>
      <c r="BS90" s="566" t="s">
        <v>127</v>
      </c>
      <c r="DD90" s="561"/>
      <c r="DE90" s="577">
        <v>11</v>
      </c>
      <c r="DF90" s="562"/>
      <c r="DG90" s="577"/>
      <c r="DH90" s="577"/>
      <c r="DI90" s="577"/>
      <c r="DJ90" s="577">
        <v>1</v>
      </c>
      <c r="DK90" s="577"/>
      <c r="DL90" s="577">
        <v>1.9</v>
      </c>
      <c r="DM90" s="577">
        <f t="shared" si="21"/>
        <v>3.8</v>
      </c>
      <c r="DN90" s="577" t="s">
        <v>779</v>
      </c>
      <c r="DO90" s="599">
        <v>2.8925000000000001</v>
      </c>
      <c r="DP90" s="599">
        <f t="shared" si="22"/>
        <v>0.90749999999999975</v>
      </c>
      <c r="DQ90" s="600"/>
      <c r="DR90" s="600">
        <v>1</v>
      </c>
      <c r="DS90" s="577" t="s">
        <v>778</v>
      </c>
      <c r="DT90" s="577"/>
      <c r="DU90" s="577"/>
      <c r="DV90" s="562"/>
      <c r="DW90" s="562"/>
      <c r="DX90" s="562"/>
      <c r="DY90" s="562"/>
    </row>
    <row r="91" spans="1:129" s="560" customFormat="1">
      <c r="A91" s="564">
        <v>41129</v>
      </c>
      <c r="B91" s="565" t="s">
        <v>725</v>
      </c>
      <c r="C91" s="565"/>
      <c r="D91" s="565" t="s">
        <v>891</v>
      </c>
      <c r="E91" s="566" t="s">
        <v>727</v>
      </c>
      <c r="F91" s="566" t="s">
        <v>728</v>
      </c>
      <c r="G91" s="566" t="s">
        <v>729</v>
      </c>
      <c r="H91" s="566" t="s">
        <v>730</v>
      </c>
      <c r="I91" s="566" t="s">
        <v>731</v>
      </c>
      <c r="J91" s="565"/>
      <c r="P91" s="561"/>
      <c r="Q91" s="562"/>
      <c r="R91" s="562">
        <v>0.45</v>
      </c>
      <c r="S91" s="562"/>
      <c r="T91" s="562"/>
      <c r="U91" s="562"/>
      <c r="V91" s="562"/>
      <c r="W91" s="562"/>
      <c r="X91" s="562"/>
      <c r="Y91" s="562"/>
      <c r="Z91" s="562"/>
      <c r="AA91" s="562"/>
      <c r="AB91" s="562"/>
      <c r="AC91" s="607" t="s">
        <v>810</v>
      </c>
      <c r="AD91" s="608" t="s">
        <v>550</v>
      </c>
      <c r="AE91" s="561"/>
      <c r="AF91" s="568">
        <v>13</v>
      </c>
      <c r="AG91" s="562"/>
      <c r="AH91" s="577"/>
      <c r="AI91" s="577"/>
      <c r="AJ91" s="577"/>
      <c r="AK91" s="577">
        <v>1</v>
      </c>
      <c r="AL91" s="577"/>
      <c r="AM91" s="577"/>
      <c r="AN91" s="562">
        <v>2.4500000000000002</v>
      </c>
      <c r="AO91" s="562">
        <f t="shared" si="19"/>
        <v>4.9000000000000004</v>
      </c>
      <c r="AP91" s="598">
        <v>0.140625</v>
      </c>
      <c r="AQ91" s="599">
        <v>3.5375862068965516</v>
      </c>
      <c r="AR91" s="599">
        <f t="shared" si="20"/>
        <v>1.3624137931034488</v>
      </c>
      <c r="AS91" s="600"/>
      <c r="AT91" s="600">
        <v>1</v>
      </c>
      <c r="AU91" s="577" t="s">
        <v>778</v>
      </c>
      <c r="AV91" s="577"/>
      <c r="AW91" s="562"/>
      <c r="AX91" s="625" t="s">
        <v>817</v>
      </c>
      <c r="AY91" s="649">
        <f>AVERAGE(AR79:AR108)</f>
        <v>1.4363678160919544</v>
      </c>
      <c r="AZ91" s="562"/>
      <c r="BA91" s="562"/>
      <c r="BB91" s="563"/>
      <c r="BD91" s="576">
        <v>22</v>
      </c>
      <c r="BF91" s="576"/>
      <c r="BG91" s="576"/>
      <c r="BH91" s="576"/>
      <c r="BI91" s="576">
        <v>1</v>
      </c>
      <c r="BJ91" s="576"/>
      <c r="BK91" s="576"/>
      <c r="BL91" s="576">
        <v>2</v>
      </c>
      <c r="BM91" s="576">
        <f t="shared" si="17"/>
        <v>4</v>
      </c>
      <c r="BN91" s="662">
        <v>0.140625</v>
      </c>
      <c r="BO91" s="611">
        <v>3.8177419354838711</v>
      </c>
      <c r="BP91" s="611">
        <f t="shared" si="18"/>
        <v>0.18225806451612891</v>
      </c>
      <c r="BQ91" s="612"/>
      <c r="BR91" s="612">
        <v>1</v>
      </c>
      <c r="BS91" s="566" t="s">
        <v>127</v>
      </c>
      <c r="DD91" s="561"/>
      <c r="DE91" s="577">
        <v>12</v>
      </c>
      <c r="DF91" s="562"/>
      <c r="DG91" s="577"/>
      <c r="DH91" s="577"/>
      <c r="DI91" s="577"/>
      <c r="DJ91" s="577">
        <v>1</v>
      </c>
      <c r="DK91" s="577"/>
      <c r="DL91" s="577">
        <v>1.4</v>
      </c>
      <c r="DM91" s="577">
        <f t="shared" si="21"/>
        <v>2.8</v>
      </c>
      <c r="DN91" s="577" t="s">
        <v>797</v>
      </c>
      <c r="DO91" s="599">
        <v>2.2200000000000002</v>
      </c>
      <c r="DP91" s="599">
        <f t="shared" si="22"/>
        <v>0.57999999999999963</v>
      </c>
      <c r="DQ91" s="600">
        <v>1</v>
      </c>
      <c r="DR91" s="600"/>
      <c r="DS91" s="577" t="s">
        <v>778</v>
      </c>
      <c r="DT91" s="577"/>
      <c r="DU91" s="577"/>
      <c r="DV91" s="562"/>
      <c r="DW91" s="562"/>
      <c r="DX91" s="562"/>
      <c r="DY91" s="562"/>
    </row>
    <row r="92" spans="1:129" s="560" customFormat="1" ht="15.75" thickBot="1">
      <c r="B92" s="565"/>
      <c r="C92" s="565"/>
      <c r="D92" s="565"/>
      <c r="E92" s="566" t="s">
        <v>833</v>
      </c>
      <c r="F92" s="566" t="s">
        <v>834</v>
      </c>
      <c r="G92" s="576"/>
      <c r="H92" s="576"/>
      <c r="I92" s="566" t="s">
        <v>835</v>
      </c>
      <c r="J92" s="565"/>
      <c r="P92" s="561"/>
      <c r="Q92" s="562"/>
      <c r="R92" s="562">
        <v>0.4</v>
      </c>
      <c r="S92" s="562"/>
      <c r="T92" s="562"/>
      <c r="U92" s="562"/>
      <c r="V92" s="562"/>
      <c r="W92" s="562"/>
      <c r="X92" s="562"/>
      <c r="Y92" s="562"/>
      <c r="Z92" s="562"/>
      <c r="AA92" s="562"/>
      <c r="AB92" s="562"/>
      <c r="AC92" s="607" t="s">
        <v>813</v>
      </c>
      <c r="AD92" s="608" t="s">
        <v>552</v>
      </c>
      <c r="AE92" s="561"/>
      <c r="AF92" s="568">
        <v>14</v>
      </c>
      <c r="AG92" s="562"/>
      <c r="AH92" s="577"/>
      <c r="AI92" s="577"/>
      <c r="AJ92" s="577"/>
      <c r="AK92" s="577">
        <v>1</v>
      </c>
      <c r="AL92" s="577"/>
      <c r="AM92" s="577"/>
      <c r="AN92" s="562">
        <v>2.5</v>
      </c>
      <c r="AO92" s="562">
        <f t="shared" si="19"/>
        <v>5</v>
      </c>
      <c r="AP92" s="598">
        <v>0.140625</v>
      </c>
      <c r="AQ92" s="599">
        <v>3.5365517241379312</v>
      </c>
      <c r="AR92" s="599">
        <f t="shared" si="20"/>
        <v>1.4634482758620688</v>
      </c>
      <c r="AS92" s="600"/>
      <c r="AT92" s="600">
        <v>1</v>
      </c>
      <c r="AU92" s="577" t="s">
        <v>778</v>
      </c>
      <c r="AV92" s="577"/>
      <c r="AW92" s="562"/>
      <c r="AX92" s="625" t="s">
        <v>818</v>
      </c>
      <c r="AY92" s="625">
        <f>STDEV(AR79:AR108)</f>
        <v>0.12377048714915934</v>
      </c>
      <c r="AZ92" s="562"/>
      <c r="BA92" s="562"/>
      <c r="BB92" s="563"/>
      <c r="BD92" s="576">
        <v>23</v>
      </c>
      <c r="BF92" s="576">
        <v>0.4</v>
      </c>
      <c r="BG92" s="576" t="s">
        <v>127</v>
      </c>
      <c r="BH92" s="576"/>
      <c r="BI92" s="576">
        <v>1</v>
      </c>
      <c r="BJ92" s="576"/>
      <c r="BK92" s="576"/>
      <c r="BL92" s="576">
        <v>2.1</v>
      </c>
      <c r="BM92" s="576">
        <f t="shared" si="17"/>
        <v>4.2</v>
      </c>
      <c r="BN92" s="662">
        <v>0.140625</v>
      </c>
      <c r="BO92" s="611">
        <v>3.8209677419354837</v>
      </c>
      <c r="BP92" s="611">
        <f t="shared" si="18"/>
        <v>0.37903225806451646</v>
      </c>
      <c r="BQ92" s="612"/>
      <c r="BR92" s="612">
        <v>1</v>
      </c>
      <c r="BS92" s="566" t="s">
        <v>127</v>
      </c>
      <c r="DD92" s="561"/>
      <c r="DE92" s="577">
        <v>13</v>
      </c>
      <c r="DF92" s="562"/>
      <c r="DG92" s="577">
        <v>0.5</v>
      </c>
      <c r="DH92" s="577" t="s">
        <v>778</v>
      </c>
      <c r="DI92" s="577">
        <v>1</v>
      </c>
      <c r="DJ92" s="577"/>
      <c r="DK92" s="577"/>
      <c r="DL92" s="577">
        <v>2.4</v>
      </c>
      <c r="DM92" s="577">
        <f t="shared" si="21"/>
        <v>4.8</v>
      </c>
      <c r="DN92" s="577" t="s">
        <v>796</v>
      </c>
      <c r="DO92" s="599">
        <v>2.7949999999999999</v>
      </c>
      <c r="DP92" s="599">
        <f t="shared" si="22"/>
        <v>2.0049999999999999</v>
      </c>
      <c r="DQ92" s="600">
        <v>1</v>
      </c>
      <c r="DR92" s="600"/>
      <c r="DS92" s="577" t="s">
        <v>778</v>
      </c>
      <c r="DT92" s="577">
        <v>2959</v>
      </c>
      <c r="DU92" s="577"/>
      <c r="DV92" s="562"/>
      <c r="DW92" s="562"/>
      <c r="DX92" s="562"/>
      <c r="DY92" s="562"/>
    </row>
    <row r="93" spans="1:129" s="560" customFormat="1" ht="15.75" thickBot="1">
      <c r="A93" s="560" t="s">
        <v>569</v>
      </c>
      <c r="B93" s="582" t="s">
        <v>838</v>
      </c>
      <c r="C93" s="582"/>
      <c r="D93" s="566"/>
      <c r="E93" s="565"/>
      <c r="F93" s="565"/>
      <c r="G93" s="582" t="s">
        <v>839</v>
      </c>
      <c r="H93" s="566"/>
      <c r="I93" s="566"/>
      <c r="J93" s="566"/>
      <c r="P93" s="561"/>
      <c r="Q93" s="562"/>
      <c r="R93" s="562">
        <v>0.42</v>
      </c>
      <c r="S93" s="562"/>
      <c r="T93" s="562"/>
      <c r="U93" s="562"/>
      <c r="V93" s="562"/>
      <c r="W93" s="562"/>
      <c r="X93" s="562"/>
      <c r="Y93" s="562"/>
      <c r="Z93" s="562"/>
      <c r="AA93" s="562"/>
      <c r="AB93" s="562"/>
      <c r="AC93" s="607" t="s">
        <v>815</v>
      </c>
      <c r="AD93" s="608" t="s">
        <v>816</v>
      </c>
      <c r="AE93" s="561"/>
      <c r="AF93" s="568">
        <v>15</v>
      </c>
      <c r="AG93" s="562"/>
      <c r="AH93" s="577"/>
      <c r="AI93" s="577"/>
      <c r="AJ93" s="577"/>
      <c r="AK93" s="577">
        <v>1</v>
      </c>
      <c r="AL93" s="577"/>
      <c r="AM93" s="577"/>
      <c r="AN93" s="562">
        <v>2.5</v>
      </c>
      <c r="AO93" s="562">
        <f t="shared" si="19"/>
        <v>5</v>
      </c>
      <c r="AP93" s="598">
        <v>0.140625</v>
      </c>
      <c r="AQ93" s="599">
        <v>3.5355172413793103</v>
      </c>
      <c r="AR93" s="599">
        <f t="shared" si="20"/>
        <v>1.4644827586206897</v>
      </c>
      <c r="AS93" s="600"/>
      <c r="AT93" s="600">
        <v>1</v>
      </c>
      <c r="AU93" s="577" t="s">
        <v>778</v>
      </c>
      <c r="AV93" s="577"/>
      <c r="AW93" s="562"/>
      <c r="AX93" s="562"/>
      <c r="AY93" s="562"/>
      <c r="AZ93" s="562"/>
      <c r="BA93" s="562"/>
      <c r="BB93" s="563"/>
      <c r="BD93" s="576">
        <v>24</v>
      </c>
      <c r="BF93" s="576"/>
      <c r="BG93" s="576"/>
      <c r="BH93" s="576"/>
      <c r="BI93" s="576">
        <v>1</v>
      </c>
      <c r="BJ93" s="576"/>
      <c r="BK93" s="576"/>
      <c r="BL93" s="576">
        <v>2</v>
      </c>
      <c r="BM93" s="576">
        <f t="shared" si="17"/>
        <v>4</v>
      </c>
      <c r="BN93" s="662">
        <v>0.140625</v>
      </c>
      <c r="BO93" s="611">
        <v>3.8241935483870968</v>
      </c>
      <c r="BP93" s="611">
        <f t="shared" si="18"/>
        <v>0.1758064516129032</v>
      </c>
      <c r="BQ93" s="612"/>
      <c r="BR93" s="612">
        <v>1</v>
      </c>
      <c r="BS93" s="566" t="s">
        <v>127</v>
      </c>
      <c r="DD93" s="561"/>
      <c r="DE93" s="577">
        <v>14</v>
      </c>
      <c r="DF93" s="562"/>
      <c r="DG93" s="577"/>
      <c r="DH93" s="577"/>
      <c r="DI93" s="577"/>
      <c r="DJ93" s="577">
        <v>1</v>
      </c>
      <c r="DK93" s="577"/>
      <c r="DL93" s="577">
        <v>1.45</v>
      </c>
      <c r="DM93" s="577">
        <f t="shared" si="21"/>
        <v>2.9</v>
      </c>
      <c r="DN93" s="577" t="s">
        <v>797</v>
      </c>
      <c r="DO93" s="599">
        <v>2.1800000000000002</v>
      </c>
      <c r="DP93" s="599">
        <f t="shared" si="22"/>
        <v>0.71999999999999975</v>
      </c>
      <c r="DQ93" s="600">
        <v>1</v>
      </c>
      <c r="DR93" s="600"/>
      <c r="DS93" s="577" t="s">
        <v>778</v>
      </c>
      <c r="DT93" s="577"/>
      <c r="DU93" s="577"/>
      <c r="DV93" s="664">
        <v>0.39</v>
      </c>
      <c r="DW93" s="665">
        <v>0.59</v>
      </c>
      <c r="DX93" s="665">
        <v>14.1</v>
      </c>
      <c r="DY93" s="665">
        <v>12.51</v>
      </c>
    </row>
    <row r="94" spans="1:129" s="560" customFormat="1" ht="15.75" thickBot="1">
      <c r="A94" s="585"/>
      <c r="B94" s="586" t="s">
        <v>755</v>
      </c>
      <c r="C94" s="586" t="s">
        <v>756</v>
      </c>
      <c r="D94" s="586" t="s">
        <v>757</v>
      </c>
      <c r="E94" s="586" t="s">
        <v>758</v>
      </c>
      <c r="F94" s="586" t="s">
        <v>759</v>
      </c>
      <c r="G94" s="586" t="s">
        <v>760</v>
      </c>
      <c r="H94" s="586" t="s">
        <v>761</v>
      </c>
      <c r="I94" s="586" t="s">
        <v>762</v>
      </c>
      <c r="J94" s="586" t="s">
        <v>763</v>
      </c>
      <c r="N94" s="586" t="s">
        <v>764</v>
      </c>
      <c r="O94" s="576"/>
      <c r="P94" s="561"/>
      <c r="Q94" s="562"/>
      <c r="R94" s="562">
        <v>0.45</v>
      </c>
      <c r="S94" s="562"/>
      <c r="T94" s="562"/>
      <c r="U94" s="562"/>
      <c r="V94" s="562"/>
      <c r="W94" s="562"/>
      <c r="X94" s="562"/>
      <c r="Y94" s="562"/>
      <c r="Z94" s="562"/>
      <c r="AA94" s="562"/>
      <c r="AB94" s="562"/>
      <c r="AC94" s="562"/>
      <c r="AD94" s="563"/>
      <c r="AE94" s="561"/>
      <c r="AF94" s="568">
        <v>16</v>
      </c>
      <c r="AG94" s="562"/>
      <c r="AH94" s="577"/>
      <c r="AI94" s="577"/>
      <c r="AJ94" s="577"/>
      <c r="AK94" s="577">
        <v>1</v>
      </c>
      <c r="AL94" s="577"/>
      <c r="AM94" s="577"/>
      <c r="AN94" s="562">
        <v>2.5</v>
      </c>
      <c r="AO94" s="562">
        <f t="shared" si="19"/>
        <v>5</v>
      </c>
      <c r="AP94" s="598">
        <v>0.140625</v>
      </c>
      <c r="AQ94" s="599">
        <v>3.5344827586206899</v>
      </c>
      <c r="AR94" s="599">
        <f t="shared" si="20"/>
        <v>1.4655172413793101</v>
      </c>
      <c r="AS94" s="600"/>
      <c r="AT94" s="600">
        <v>1</v>
      </c>
      <c r="AU94" s="577" t="s">
        <v>778</v>
      </c>
      <c r="AV94" s="577"/>
      <c r="AW94" s="562"/>
      <c r="AX94" s="562"/>
      <c r="AY94" s="562"/>
      <c r="AZ94" s="562"/>
      <c r="BA94" s="562"/>
      <c r="BB94" s="563"/>
      <c r="BD94" s="576">
        <v>25</v>
      </c>
      <c r="BF94" s="576"/>
      <c r="BG94" s="576"/>
      <c r="BH94" s="576"/>
      <c r="BI94" s="576">
        <v>1</v>
      </c>
      <c r="BJ94" s="576"/>
      <c r="BK94" s="576"/>
      <c r="BL94" s="576">
        <v>2</v>
      </c>
      <c r="BM94" s="576">
        <f t="shared" si="17"/>
        <v>4</v>
      </c>
      <c r="BN94" s="662">
        <v>0.140625</v>
      </c>
      <c r="BO94" s="611">
        <v>3.8274193548387094</v>
      </c>
      <c r="BP94" s="611">
        <f t="shared" si="18"/>
        <v>0.17258064516129057</v>
      </c>
      <c r="BQ94" s="612"/>
      <c r="BR94" s="612">
        <v>1</v>
      </c>
      <c r="BS94" s="566" t="s">
        <v>127</v>
      </c>
      <c r="DD94" s="561"/>
      <c r="DE94" s="577">
        <v>15</v>
      </c>
      <c r="DF94" s="562"/>
      <c r="DG94" s="577"/>
      <c r="DH94" s="577"/>
      <c r="DI94" s="577"/>
      <c r="DJ94" s="577">
        <v>1</v>
      </c>
      <c r="DK94" s="577"/>
      <c r="DL94" s="577">
        <v>1.1000000000000001</v>
      </c>
      <c r="DM94" s="577">
        <f t="shared" si="21"/>
        <v>2.2000000000000002</v>
      </c>
      <c r="DN94" s="577" t="s">
        <v>779</v>
      </c>
      <c r="DO94" s="599">
        <v>2.6974999999999998</v>
      </c>
      <c r="DP94" s="599">
        <f t="shared" si="22"/>
        <v>-0.49749999999999961</v>
      </c>
      <c r="DQ94" s="600"/>
      <c r="DR94" s="600">
        <v>1</v>
      </c>
      <c r="DS94" s="577" t="s">
        <v>778</v>
      </c>
      <c r="DT94" s="577"/>
      <c r="DU94" s="577"/>
      <c r="DV94" s="666">
        <v>0.3</v>
      </c>
      <c r="DW94" s="667">
        <v>0.41</v>
      </c>
      <c r="DX94" s="667">
        <v>2.39</v>
      </c>
      <c r="DY94" s="667">
        <v>11.57</v>
      </c>
    </row>
    <row r="95" spans="1:129" s="560" customFormat="1" ht="15.75" thickBot="1">
      <c r="B95" s="560">
        <v>1</v>
      </c>
      <c r="D95" s="560">
        <v>1</v>
      </c>
      <c r="E95" s="560" t="s">
        <v>778</v>
      </c>
      <c r="I95" s="560">
        <v>2401</v>
      </c>
      <c r="N95" s="576"/>
      <c r="O95" s="576"/>
      <c r="P95" s="561"/>
      <c r="Q95" s="562"/>
      <c r="R95" s="562">
        <v>0.46</v>
      </c>
      <c r="S95" s="562"/>
      <c r="T95" s="562"/>
      <c r="U95" s="562"/>
      <c r="V95" s="562"/>
      <c r="W95" s="562"/>
      <c r="X95" s="562"/>
      <c r="Y95" s="562"/>
      <c r="Z95" s="562"/>
      <c r="AA95" s="562"/>
      <c r="AB95" s="562"/>
      <c r="AC95" s="562"/>
      <c r="AD95" s="563"/>
      <c r="AE95" s="561"/>
      <c r="AF95" s="568">
        <v>17</v>
      </c>
      <c r="AG95" s="562"/>
      <c r="AH95" s="577">
        <v>0.1</v>
      </c>
      <c r="AI95" s="577" t="s">
        <v>777</v>
      </c>
      <c r="AJ95" s="577">
        <v>1</v>
      </c>
      <c r="AK95" s="577"/>
      <c r="AL95" s="577"/>
      <c r="AM95" s="577"/>
      <c r="AN95" s="562">
        <v>2.4500000000000002</v>
      </c>
      <c r="AO95" s="562">
        <f t="shared" si="19"/>
        <v>4.9000000000000004</v>
      </c>
      <c r="AP95" s="598">
        <v>0.140625</v>
      </c>
      <c r="AQ95" s="599">
        <v>3.5334482758620691</v>
      </c>
      <c r="AR95" s="599">
        <f t="shared" si="20"/>
        <v>1.3665517241379312</v>
      </c>
      <c r="AS95" s="600"/>
      <c r="AT95" s="600">
        <v>1</v>
      </c>
      <c r="AU95" s="577" t="s">
        <v>778</v>
      </c>
      <c r="AV95" s="577">
        <v>1650</v>
      </c>
      <c r="AW95" s="562"/>
      <c r="AX95" s="562"/>
      <c r="AY95" s="562"/>
      <c r="AZ95" s="562"/>
      <c r="BA95" s="562"/>
      <c r="BB95" s="563"/>
      <c r="BD95" s="576">
        <v>26</v>
      </c>
      <c r="BF95" s="576">
        <v>0.2</v>
      </c>
      <c r="BG95" s="576" t="s">
        <v>127</v>
      </c>
      <c r="BH95" s="576"/>
      <c r="BI95" s="576">
        <v>1</v>
      </c>
      <c r="BJ95" s="576"/>
      <c r="BK95" s="576"/>
      <c r="BL95" s="576">
        <v>2</v>
      </c>
      <c r="BM95" s="576">
        <f t="shared" si="17"/>
        <v>4</v>
      </c>
      <c r="BN95" s="662">
        <v>0.140625</v>
      </c>
      <c r="BO95" s="611">
        <v>3.8306451612903225</v>
      </c>
      <c r="BP95" s="611">
        <f t="shared" si="18"/>
        <v>0.16935483870967749</v>
      </c>
      <c r="BQ95" s="612"/>
      <c r="BR95" s="612">
        <v>1</v>
      </c>
      <c r="BS95" s="566" t="s">
        <v>127</v>
      </c>
      <c r="DD95" s="561"/>
      <c r="DE95" s="577">
        <v>15.5</v>
      </c>
      <c r="DF95" s="562"/>
      <c r="DG95" s="577">
        <v>0.2</v>
      </c>
      <c r="DH95" s="577" t="s">
        <v>793</v>
      </c>
      <c r="DI95" s="577"/>
      <c r="DJ95" s="577"/>
      <c r="DK95" s="577">
        <v>1</v>
      </c>
      <c r="DL95" s="577"/>
      <c r="DM95" s="577"/>
      <c r="DN95" s="577"/>
      <c r="DO95" s="599"/>
      <c r="DP95" s="599">
        <f t="shared" si="22"/>
        <v>0</v>
      </c>
      <c r="DQ95" s="600"/>
      <c r="DR95" s="600"/>
      <c r="DS95" s="577"/>
      <c r="DT95" s="577">
        <v>2960</v>
      </c>
      <c r="DU95" s="577"/>
      <c r="DV95" s="666">
        <v>0.81</v>
      </c>
      <c r="DW95" s="667">
        <v>0.66</v>
      </c>
      <c r="DX95" s="667">
        <v>4.84</v>
      </c>
      <c r="DY95" s="667">
        <v>26.08</v>
      </c>
    </row>
    <row r="96" spans="1:129" s="560" customFormat="1" ht="15.75" thickBot="1">
      <c r="B96" s="560">
        <v>2</v>
      </c>
      <c r="D96" s="560">
        <v>0.5</v>
      </c>
      <c r="E96" s="560" t="s">
        <v>778</v>
      </c>
      <c r="I96" s="560">
        <v>2400</v>
      </c>
      <c r="N96" s="585" t="s">
        <v>780</v>
      </c>
      <c r="O96" s="585" t="s">
        <v>616</v>
      </c>
      <c r="P96" s="561"/>
      <c r="Q96" s="562"/>
      <c r="R96" s="562">
        <v>0.45</v>
      </c>
      <c r="S96" s="562"/>
      <c r="T96" s="562"/>
      <c r="U96" s="562"/>
      <c r="V96" s="562"/>
      <c r="W96" s="562"/>
      <c r="X96" s="562"/>
      <c r="Y96" s="562"/>
      <c r="Z96" s="562"/>
      <c r="AA96" s="562"/>
      <c r="AB96" s="562"/>
      <c r="AC96" s="562"/>
      <c r="AD96" s="563"/>
      <c r="AE96" s="561"/>
      <c r="AF96" s="568">
        <v>18</v>
      </c>
      <c r="AG96" s="562"/>
      <c r="AH96" s="577"/>
      <c r="AI96" s="577"/>
      <c r="AJ96" s="577"/>
      <c r="AK96" s="577">
        <v>1</v>
      </c>
      <c r="AL96" s="577"/>
      <c r="AM96" s="577"/>
      <c r="AN96" s="562">
        <v>2.4500000000000002</v>
      </c>
      <c r="AO96" s="562">
        <f t="shared" si="19"/>
        <v>4.9000000000000004</v>
      </c>
      <c r="AP96" s="598">
        <v>0.140625</v>
      </c>
      <c r="AQ96" s="599">
        <v>3.5324137931034483</v>
      </c>
      <c r="AR96" s="599">
        <f t="shared" si="20"/>
        <v>1.3675862068965521</v>
      </c>
      <c r="AS96" s="600"/>
      <c r="AT96" s="600">
        <v>1</v>
      </c>
      <c r="AU96" s="577" t="s">
        <v>778</v>
      </c>
      <c r="AV96" s="577"/>
      <c r="AW96" s="562"/>
      <c r="AX96" s="562"/>
      <c r="AY96" s="562"/>
      <c r="AZ96" s="562"/>
      <c r="BA96" s="562"/>
      <c r="BB96" s="563"/>
      <c r="BD96" s="576">
        <v>27</v>
      </c>
      <c r="BI96" s="576">
        <v>1</v>
      </c>
      <c r="BJ96" s="576"/>
      <c r="BK96" s="576"/>
      <c r="BL96" s="576">
        <v>2</v>
      </c>
      <c r="BM96" s="576">
        <f t="shared" si="17"/>
        <v>4</v>
      </c>
      <c r="BN96" s="662">
        <v>0.140625</v>
      </c>
      <c r="BO96" s="611">
        <v>3.8338709677419356</v>
      </c>
      <c r="BP96" s="611">
        <f t="shared" si="18"/>
        <v>0.16612903225806441</v>
      </c>
      <c r="BQ96" s="612"/>
      <c r="BR96" s="612">
        <v>1</v>
      </c>
      <c r="BS96" s="566" t="s">
        <v>127</v>
      </c>
      <c r="DD96" s="561"/>
      <c r="DE96" s="577">
        <v>16</v>
      </c>
      <c r="DF96" s="562"/>
      <c r="DG96" s="577"/>
      <c r="DH96" s="577"/>
      <c r="DI96" s="577"/>
      <c r="DJ96" s="577">
        <v>1</v>
      </c>
      <c r="DK96" s="577"/>
      <c r="DL96" s="577">
        <v>1.7</v>
      </c>
      <c r="DM96" s="577">
        <f>DL96+DL96</f>
        <v>3.4</v>
      </c>
      <c r="DN96" s="577" t="s">
        <v>779</v>
      </c>
      <c r="DO96" s="599">
        <v>2.5999999999999996</v>
      </c>
      <c r="DP96" s="599">
        <f t="shared" si="22"/>
        <v>0.80000000000000027</v>
      </c>
      <c r="DQ96" s="600"/>
      <c r="DR96" s="600">
        <v>1</v>
      </c>
      <c r="DS96" s="577" t="s">
        <v>778</v>
      </c>
      <c r="DT96" s="577"/>
      <c r="DU96" s="577"/>
      <c r="DV96" s="666">
        <v>0.31</v>
      </c>
      <c r="DW96" s="667">
        <v>0.59</v>
      </c>
      <c r="DX96" s="667">
        <v>5.32</v>
      </c>
      <c r="DY96" s="667">
        <v>11.82</v>
      </c>
    </row>
    <row r="97" spans="1:129" s="560" customFormat="1">
      <c r="B97" s="560">
        <v>22</v>
      </c>
      <c r="D97" s="560">
        <v>0.25</v>
      </c>
      <c r="E97" s="560" t="s">
        <v>778</v>
      </c>
      <c r="I97" s="560">
        <v>2403</v>
      </c>
      <c r="N97" s="585" t="s">
        <v>785</v>
      </c>
      <c r="O97" s="585" t="s">
        <v>542</v>
      </c>
      <c r="P97" s="561"/>
      <c r="Q97" s="562"/>
      <c r="R97" s="562">
        <v>0.4</v>
      </c>
      <c r="S97" s="562"/>
      <c r="T97" s="562"/>
      <c r="U97" s="562"/>
      <c r="V97" s="562"/>
      <c r="W97" s="562"/>
      <c r="X97" s="562"/>
      <c r="Y97" s="562"/>
      <c r="Z97" s="562"/>
      <c r="AA97" s="562"/>
      <c r="AB97" s="562"/>
      <c r="AC97" s="562"/>
      <c r="AD97" s="563"/>
      <c r="AE97" s="561"/>
      <c r="AF97" s="562">
        <v>19</v>
      </c>
      <c r="AG97" s="562"/>
      <c r="AH97" s="577"/>
      <c r="AI97" s="577"/>
      <c r="AJ97" s="577"/>
      <c r="AK97" s="577">
        <v>1</v>
      </c>
      <c r="AL97" s="577"/>
      <c r="AM97" s="577"/>
      <c r="AN97" s="562">
        <v>2.4500000000000002</v>
      </c>
      <c r="AO97" s="562">
        <f t="shared" si="19"/>
        <v>4.9000000000000004</v>
      </c>
      <c r="AP97" s="598">
        <v>0.140625</v>
      </c>
      <c r="AQ97" s="599">
        <v>3.5313793103448279</v>
      </c>
      <c r="AR97" s="599">
        <f t="shared" si="20"/>
        <v>1.3686206896551725</v>
      </c>
      <c r="AS97" s="600"/>
      <c r="AT97" s="600">
        <v>1</v>
      </c>
      <c r="AU97" s="577" t="s">
        <v>778</v>
      </c>
      <c r="AV97" s="577"/>
      <c r="AW97" s="562"/>
      <c r="AX97" s="562"/>
      <c r="AY97" s="562"/>
      <c r="AZ97" s="562"/>
      <c r="BA97" s="562"/>
      <c r="BB97" s="563"/>
      <c r="BD97" s="576">
        <v>28</v>
      </c>
      <c r="BI97" s="576">
        <v>1</v>
      </c>
      <c r="BJ97" s="576"/>
      <c r="BK97" s="576"/>
      <c r="BL97" s="576">
        <v>2</v>
      </c>
      <c r="BM97" s="576">
        <f t="shared" si="17"/>
        <v>4</v>
      </c>
      <c r="BN97" s="662">
        <v>0.140625</v>
      </c>
      <c r="BO97" s="611">
        <v>3.8370967741935482</v>
      </c>
      <c r="BP97" s="611">
        <f t="shared" si="18"/>
        <v>0.16290322580645178</v>
      </c>
      <c r="BQ97" s="612"/>
      <c r="BR97" s="612">
        <v>1</v>
      </c>
      <c r="BS97" s="566" t="s">
        <v>127</v>
      </c>
      <c r="DD97" s="561"/>
      <c r="DE97" s="562"/>
      <c r="DF97" s="562"/>
      <c r="DG97" s="632">
        <f>SUM(DG80:DG96)</f>
        <v>1.9</v>
      </c>
      <c r="DH97" s="632"/>
      <c r="DI97" s="632">
        <f>SUM(DI80:DI96)</f>
        <v>2</v>
      </c>
      <c r="DJ97" s="632">
        <f>SUM(DJ80:DJ96)</f>
        <v>14</v>
      </c>
      <c r="DK97" s="634">
        <f>SUM(DK80:DK96)</f>
        <v>1</v>
      </c>
      <c r="DL97" s="577"/>
      <c r="DM97" s="577"/>
      <c r="DN97" s="577"/>
      <c r="DO97" s="647">
        <f>SUM(DO80:DO96)</f>
        <v>44.983749999999993</v>
      </c>
      <c r="DP97" s="636">
        <f>SUM(DP80:DP96)</f>
        <v>5.3162500000000019</v>
      </c>
      <c r="DQ97" s="637">
        <f>SUM(DQ80:DQ96)</f>
        <v>7</v>
      </c>
      <c r="DR97" s="637">
        <f>SUM(DR80:DR96)</f>
        <v>9</v>
      </c>
      <c r="DS97" s="577"/>
      <c r="DT97" s="577"/>
      <c r="DU97" s="577"/>
      <c r="DV97" s="562">
        <f>AVERAGE(DV93:DV96)</f>
        <v>0.45250000000000001</v>
      </c>
      <c r="DW97" s="562">
        <f>AVERAGE(DW93:DW96)</f>
        <v>0.5625</v>
      </c>
      <c r="DX97" s="562">
        <f>AVERAGE(DX93:DX96)</f>
        <v>6.6624999999999996</v>
      </c>
      <c r="DY97" s="562">
        <f>AVERAGE(DY93:DY96)</f>
        <v>15.494999999999999</v>
      </c>
    </row>
    <row r="98" spans="1:129" s="560" customFormat="1">
      <c r="N98" s="585" t="s">
        <v>789</v>
      </c>
      <c r="O98" s="585" t="s">
        <v>790</v>
      </c>
      <c r="P98" s="561"/>
      <c r="Q98" s="562"/>
      <c r="R98" s="562">
        <v>0.5</v>
      </c>
      <c r="S98" s="562"/>
      <c r="T98" s="562"/>
      <c r="U98" s="562"/>
      <c r="V98" s="562"/>
      <c r="W98" s="562"/>
      <c r="X98" s="562"/>
      <c r="Y98" s="562"/>
      <c r="Z98" s="562"/>
      <c r="AA98" s="562"/>
      <c r="AB98" s="562"/>
      <c r="AC98" s="562"/>
      <c r="AD98" s="563"/>
      <c r="AE98" s="561"/>
      <c r="AF98" s="562">
        <v>20</v>
      </c>
      <c r="AG98" s="562"/>
      <c r="AH98" s="577"/>
      <c r="AI98" s="577"/>
      <c r="AJ98" s="577"/>
      <c r="AK98" s="577">
        <v>1</v>
      </c>
      <c r="AL98" s="577"/>
      <c r="AM98" s="577"/>
      <c r="AN98" s="562">
        <v>2.5</v>
      </c>
      <c r="AO98" s="562">
        <f t="shared" si="19"/>
        <v>5</v>
      </c>
      <c r="AP98" s="598">
        <v>0.140625</v>
      </c>
      <c r="AQ98" s="599">
        <v>3.530344827586207</v>
      </c>
      <c r="AR98" s="599">
        <f t="shared" si="20"/>
        <v>1.469655172413793</v>
      </c>
      <c r="AS98" s="600"/>
      <c r="AT98" s="600">
        <v>1</v>
      </c>
      <c r="AU98" s="577" t="s">
        <v>778</v>
      </c>
      <c r="AV98" s="577"/>
      <c r="AW98" s="562"/>
      <c r="AX98" s="562"/>
      <c r="AY98" s="562"/>
      <c r="AZ98" s="562"/>
      <c r="BA98" s="562"/>
      <c r="BB98" s="563"/>
      <c r="BD98" s="576">
        <v>29</v>
      </c>
      <c r="BI98" s="576">
        <v>1</v>
      </c>
      <c r="BJ98" s="576"/>
      <c r="BK98" s="576"/>
      <c r="BL98" s="576">
        <v>2.1</v>
      </c>
      <c r="BM98" s="576">
        <f t="shared" si="17"/>
        <v>4.2</v>
      </c>
      <c r="BN98" s="662">
        <v>0.140625</v>
      </c>
      <c r="BO98" s="611">
        <v>3.8403225806451613</v>
      </c>
      <c r="BP98" s="611">
        <f t="shared" si="18"/>
        <v>0.35967741935483888</v>
      </c>
      <c r="BQ98" s="612"/>
      <c r="BR98" s="612">
        <v>1</v>
      </c>
      <c r="BS98" s="566" t="s">
        <v>127</v>
      </c>
      <c r="DD98" s="567">
        <v>41102</v>
      </c>
      <c r="DE98" s="568" t="s">
        <v>725</v>
      </c>
      <c r="DF98" s="568"/>
      <c r="DG98" s="562" t="s">
        <v>891</v>
      </c>
      <c r="DH98" s="569" t="s">
        <v>727</v>
      </c>
      <c r="DI98" s="569"/>
      <c r="DJ98" s="569"/>
      <c r="DK98" s="569"/>
      <c r="DL98" s="569" t="s">
        <v>728</v>
      </c>
      <c r="DM98" s="569"/>
      <c r="DN98" s="569" t="s">
        <v>729</v>
      </c>
      <c r="DO98" s="649"/>
      <c r="DP98" s="650">
        <f>+DP97/DO97</f>
        <v>0.11818156556534309</v>
      </c>
      <c r="DQ98" s="639"/>
      <c r="DR98" s="639"/>
      <c r="DS98" s="569" t="s">
        <v>730</v>
      </c>
      <c r="DT98" s="569" t="s">
        <v>731</v>
      </c>
      <c r="DU98" s="568"/>
      <c r="DV98" s="562"/>
      <c r="DW98" s="562"/>
      <c r="DX98" s="562"/>
      <c r="DY98" s="562"/>
    </row>
    <row r="99" spans="1:129" s="560" customFormat="1">
      <c r="N99" s="585" t="s">
        <v>791</v>
      </c>
      <c r="O99" s="585" t="s">
        <v>792</v>
      </c>
      <c r="P99" s="561"/>
      <c r="Q99" s="562"/>
      <c r="R99" s="562">
        <v>0.4</v>
      </c>
      <c r="S99" s="562"/>
      <c r="T99" s="562"/>
      <c r="U99" s="562"/>
      <c r="V99" s="562"/>
      <c r="W99" s="562"/>
      <c r="X99" s="562"/>
      <c r="Y99" s="562"/>
      <c r="Z99" s="562"/>
      <c r="AA99" s="562"/>
      <c r="AB99" s="562"/>
      <c r="AC99" s="562"/>
      <c r="AD99" s="563"/>
      <c r="AE99" s="561"/>
      <c r="AF99" s="562">
        <v>21</v>
      </c>
      <c r="AG99" s="562"/>
      <c r="AH99" s="577"/>
      <c r="AI99" s="577"/>
      <c r="AJ99" s="577"/>
      <c r="AK99" s="577">
        <v>1</v>
      </c>
      <c r="AL99" s="577"/>
      <c r="AM99" s="577"/>
      <c r="AN99" s="562">
        <v>2.5</v>
      </c>
      <c r="AO99" s="562">
        <f t="shared" si="19"/>
        <v>5</v>
      </c>
      <c r="AP99" s="598">
        <v>0.140625</v>
      </c>
      <c r="AQ99" s="599">
        <v>3.5293103448275862</v>
      </c>
      <c r="AR99" s="599">
        <f t="shared" si="20"/>
        <v>1.4706896551724138</v>
      </c>
      <c r="AS99" s="600"/>
      <c r="AT99" s="600">
        <v>1</v>
      </c>
      <c r="AU99" s="577" t="s">
        <v>778</v>
      </c>
      <c r="AV99" s="577"/>
      <c r="AW99" s="562"/>
      <c r="AX99" s="562"/>
      <c r="AY99" s="562"/>
      <c r="AZ99" s="562"/>
      <c r="BA99" s="562"/>
      <c r="BB99" s="563"/>
      <c r="BD99" s="576">
        <v>30</v>
      </c>
      <c r="BI99" s="576">
        <v>1</v>
      </c>
      <c r="BJ99" s="576"/>
      <c r="BK99" s="576"/>
      <c r="BL99" s="576">
        <v>2</v>
      </c>
      <c r="BM99" s="576">
        <f t="shared" si="17"/>
        <v>4</v>
      </c>
      <c r="BN99" s="662">
        <v>0.140625</v>
      </c>
      <c r="BO99" s="611">
        <v>3.8435483870967739</v>
      </c>
      <c r="BP99" s="611">
        <f t="shared" si="18"/>
        <v>0.15645161290322607</v>
      </c>
      <c r="BQ99" s="612"/>
      <c r="BR99" s="612">
        <v>1</v>
      </c>
      <c r="BS99" s="566" t="s">
        <v>127</v>
      </c>
      <c r="DD99" s="561"/>
      <c r="DE99" s="568"/>
      <c r="DF99" s="568"/>
      <c r="DG99" s="568"/>
      <c r="DH99" s="577" t="s">
        <v>878</v>
      </c>
      <c r="DI99" s="577"/>
      <c r="DJ99" s="577"/>
      <c r="DK99" s="577"/>
      <c r="DL99" s="577" t="s">
        <v>879</v>
      </c>
      <c r="DM99" s="577"/>
      <c r="DN99" s="577">
        <v>35</v>
      </c>
      <c r="DO99" s="599"/>
      <c r="DP99" s="599"/>
      <c r="DQ99" s="600"/>
      <c r="DR99" s="600"/>
      <c r="DS99" s="577">
        <v>25</v>
      </c>
      <c r="DT99" s="577"/>
      <c r="DU99" s="568"/>
      <c r="DV99" s="562"/>
      <c r="DW99" s="562"/>
      <c r="DX99" s="562"/>
      <c r="DY99" s="562"/>
    </row>
    <row r="100" spans="1:129" s="560" customFormat="1">
      <c r="N100" s="585" t="s">
        <v>794</v>
      </c>
      <c r="O100" s="585" t="s">
        <v>795</v>
      </c>
      <c r="P100" s="561"/>
      <c r="Q100" s="562"/>
      <c r="R100" s="562">
        <v>0.46</v>
      </c>
      <c r="S100" s="562"/>
      <c r="T100" s="562"/>
      <c r="U100" s="562"/>
      <c r="V100" s="562"/>
      <c r="W100" s="562"/>
      <c r="X100" s="562"/>
      <c r="Y100" s="562"/>
      <c r="Z100" s="562"/>
      <c r="AA100" s="562"/>
      <c r="AB100" s="562"/>
      <c r="AC100" s="562"/>
      <c r="AD100" s="563"/>
      <c r="AE100" s="561"/>
      <c r="AF100" s="562">
        <v>22</v>
      </c>
      <c r="AG100" s="562"/>
      <c r="AH100" s="577">
        <v>0.7</v>
      </c>
      <c r="AI100" s="577" t="s">
        <v>892</v>
      </c>
      <c r="AJ100" s="577"/>
      <c r="AK100" s="577">
        <v>1</v>
      </c>
      <c r="AL100" s="577"/>
      <c r="AM100" s="577"/>
      <c r="AN100" s="562">
        <v>2.5</v>
      </c>
      <c r="AO100" s="562">
        <f t="shared" si="19"/>
        <v>5</v>
      </c>
      <c r="AP100" s="598">
        <v>0.140625</v>
      </c>
      <c r="AQ100" s="599">
        <v>3.5282758620689658</v>
      </c>
      <c r="AR100" s="599">
        <f t="shared" si="20"/>
        <v>1.4717241379310342</v>
      </c>
      <c r="AS100" s="600"/>
      <c r="AT100" s="600">
        <v>1</v>
      </c>
      <c r="AU100" s="577" t="s">
        <v>778</v>
      </c>
      <c r="AV100" s="577">
        <v>1651</v>
      </c>
      <c r="AW100" s="562"/>
      <c r="AX100" s="562"/>
      <c r="AY100" s="562"/>
      <c r="AZ100" s="562"/>
      <c r="BA100" s="562"/>
      <c r="BB100" s="563"/>
      <c r="BD100" s="576">
        <v>31</v>
      </c>
      <c r="BI100" s="576">
        <v>1</v>
      </c>
      <c r="BJ100" s="576"/>
      <c r="BK100" s="576"/>
      <c r="BL100" s="576">
        <v>2.1</v>
      </c>
      <c r="BM100" s="576">
        <f t="shared" si="17"/>
        <v>4.2</v>
      </c>
      <c r="BN100" s="662">
        <v>0.140625</v>
      </c>
      <c r="BO100" s="611">
        <v>3.846774193548387</v>
      </c>
      <c r="BP100" s="611">
        <f t="shared" si="18"/>
        <v>0.35322580645161317</v>
      </c>
      <c r="BQ100" s="612"/>
      <c r="BR100" s="612">
        <v>1</v>
      </c>
      <c r="BS100" s="566" t="s">
        <v>127</v>
      </c>
      <c r="DD100" s="561"/>
      <c r="DE100" s="583" t="s">
        <v>893</v>
      </c>
      <c r="DF100" s="583" t="s">
        <v>894</v>
      </c>
      <c r="DG100" s="569"/>
      <c r="DH100" s="568"/>
      <c r="DI100" s="568"/>
      <c r="DJ100" s="568"/>
      <c r="DK100" s="568"/>
      <c r="DL100" s="568"/>
      <c r="DM100" s="568"/>
      <c r="DN100" s="569"/>
      <c r="DO100" s="651"/>
      <c r="DP100" s="599"/>
      <c r="DQ100" s="583" t="s">
        <v>885</v>
      </c>
      <c r="DR100" s="639"/>
      <c r="DS100" s="569"/>
      <c r="DT100" s="577"/>
      <c r="DU100" s="569"/>
      <c r="DV100" s="562"/>
      <c r="DW100" s="562"/>
      <c r="DX100" s="562"/>
      <c r="DY100" s="562"/>
    </row>
    <row r="101" spans="1:129" s="560" customFormat="1">
      <c r="N101" s="585" t="s">
        <v>798</v>
      </c>
      <c r="O101" s="585" t="s">
        <v>546</v>
      </c>
      <c r="P101" s="561"/>
      <c r="Q101" s="562"/>
      <c r="R101" s="562">
        <f>+(R100+R102)/2</f>
        <v>0.45500000000000002</v>
      </c>
      <c r="S101" s="562"/>
      <c r="T101" s="562"/>
      <c r="U101" s="562"/>
      <c r="V101" s="562"/>
      <c r="W101" s="562"/>
      <c r="X101" s="562"/>
      <c r="Y101" s="562"/>
      <c r="Z101" s="562"/>
      <c r="AA101" s="562"/>
      <c r="AB101" s="562"/>
      <c r="AC101" s="562"/>
      <c r="AD101" s="563"/>
      <c r="AE101" s="561"/>
      <c r="AF101" s="562">
        <v>23</v>
      </c>
      <c r="AG101" s="562"/>
      <c r="AH101" s="577">
        <v>0.4</v>
      </c>
      <c r="AI101" s="577" t="s">
        <v>793</v>
      </c>
      <c r="AJ101" s="577"/>
      <c r="AK101" s="577">
        <v>1</v>
      </c>
      <c r="AL101" s="577"/>
      <c r="AM101" s="577">
        <v>1</v>
      </c>
      <c r="AN101" s="562">
        <v>2.5</v>
      </c>
      <c r="AO101" s="562">
        <f t="shared" si="19"/>
        <v>5</v>
      </c>
      <c r="AP101" s="598">
        <v>0.140625</v>
      </c>
      <c r="AQ101" s="599">
        <v>3.527241379310345</v>
      </c>
      <c r="AR101" s="599">
        <f t="shared" si="20"/>
        <v>1.472758620689655</v>
      </c>
      <c r="AS101" s="600"/>
      <c r="AT101" s="600">
        <v>1</v>
      </c>
      <c r="AU101" s="577" t="s">
        <v>778</v>
      </c>
      <c r="AV101" s="577">
        <v>1652</v>
      </c>
      <c r="AW101" s="562"/>
      <c r="AX101" s="562"/>
      <c r="AY101" s="562"/>
      <c r="AZ101" s="562"/>
      <c r="BA101" s="562"/>
      <c r="BB101" s="563"/>
      <c r="BD101" s="576">
        <v>32</v>
      </c>
      <c r="BI101" s="576">
        <v>1</v>
      </c>
      <c r="BJ101" s="576"/>
      <c r="BK101" s="576"/>
      <c r="BL101" s="576">
        <v>2</v>
      </c>
      <c r="BM101" s="576">
        <f t="shared" si="17"/>
        <v>4</v>
      </c>
      <c r="BN101" s="662">
        <v>0.140625</v>
      </c>
      <c r="BO101" s="611">
        <v>3.85</v>
      </c>
      <c r="BP101" s="611">
        <f t="shared" si="18"/>
        <v>0.14999999999999991</v>
      </c>
      <c r="BQ101" s="612"/>
      <c r="BR101" s="612">
        <v>1</v>
      </c>
      <c r="BS101" s="566" t="s">
        <v>127</v>
      </c>
      <c r="DD101" s="587"/>
      <c r="DE101" s="588" t="s">
        <v>755</v>
      </c>
      <c r="DF101" s="588" t="s">
        <v>756</v>
      </c>
      <c r="DG101" s="590" t="s">
        <v>757</v>
      </c>
      <c r="DH101" s="590" t="s">
        <v>758</v>
      </c>
      <c r="DI101" s="590" t="s">
        <v>765</v>
      </c>
      <c r="DJ101" s="590" t="s">
        <v>766</v>
      </c>
      <c r="DK101" s="592" t="s">
        <v>768</v>
      </c>
      <c r="DL101" s="588" t="s">
        <v>759</v>
      </c>
      <c r="DM101" s="588" t="s">
        <v>769</v>
      </c>
      <c r="DN101" s="588" t="s">
        <v>760</v>
      </c>
      <c r="DO101" s="668"/>
      <c r="DP101" s="599"/>
      <c r="DQ101" s="669"/>
      <c r="DR101" s="669"/>
      <c r="DS101" s="588" t="s">
        <v>761</v>
      </c>
      <c r="DT101" s="588" t="s">
        <v>762</v>
      </c>
      <c r="DU101" s="588" t="s">
        <v>763</v>
      </c>
      <c r="DV101" s="562"/>
      <c r="DW101" s="562"/>
      <c r="DX101" s="562"/>
      <c r="DY101" s="562"/>
    </row>
    <row r="102" spans="1:129" s="560" customFormat="1">
      <c r="N102" s="585" t="s">
        <v>800</v>
      </c>
      <c r="O102" s="585" t="s">
        <v>801</v>
      </c>
      <c r="P102" s="561"/>
      <c r="Q102" s="562"/>
      <c r="R102" s="562">
        <v>0.45</v>
      </c>
      <c r="S102" s="562"/>
      <c r="T102" s="562"/>
      <c r="U102" s="562"/>
      <c r="V102" s="562"/>
      <c r="W102" s="562"/>
      <c r="X102" s="562"/>
      <c r="Y102" s="562"/>
      <c r="Z102" s="562"/>
      <c r="AA102" s="562"/>
      <c r="AB102" s="562"/>
      <c r="AC102" s="562"/>
      <c r="AD102" s="563"/>
      <c r="AE102" s="561"/>
      <c r="AF102" s="562">
        <v>24</v>
      </c>
      <c r="AG102" s="562"/>
      <c r="AH102" s="577"/>
      <c r="AI102" s="577"/>
      <c r="AJ102" s="577"/>
      <c r="AK102" s="577">
        <v>1</v>
      </c>
      <c r="AL102" s="577"/>
      <c r="AM102" s="577"/>
      <c r="AN102" s="562">
        <v>2.5</v>
      </c>
      <c r="AO102" s="562">
        <f t="shared" si="19"/>
        <v>5</v>
      </c>
      <c r="AP102" s="598">
        <v>0.140625</v>
      </c>
      <c r="AQ102" s="599">
        <v>3.5262068965517241</v>
      </c>
      <c r="AR102" s="599">
        <f t="shared" si="20"/>
        <v>1.4737931034482759</v>
      </c>
      <c r="AS102" s="600"/>
      <c r="AT102" s="600">
        <v>1</v>
      </c>
      <c r="AU102" s="577" t="s">
        <v>778</v>
      </c>
      <c r="AV102" s="577"/>
      <c r="AW102" s="562"/>
      <c r="AX102" s="562"/>
      <c r="AY102" s="562"/>
      <c r="AZ102" s="562"/>
      <c r="BA102" s="562"/>
      <c r="BB102" s="563"/>
      <c r="BH102" s="670"/>
      <c r="BI102" s="640">
        <f>SUM(BI70:BI101)</f>
        <v>32</v>
      </c>
      <c r="BJ102" s="641"/>
      <c r="BK102" s="642"/>
      <c r="BM102" s="643">
        <f>SUM(BM70:BM101)</f>
        <v>129.19999999999999</v>
      </c>
      <c r="BN102" s="576"/>
      <c r="BO102" s="644">
        <f>SUM(BO70:BO101)</f>
        <v>121.60000000000001</v>
      </c>
      <c r="BP102" s="644">
        <f>SUM(BP70:BP101)</f>
        <v>7.6000000000000032</v>
      </c>
      <c r="BQ102" s="661"/>
      <c r="BR102" s="645">
        <f>SUM(BR70:BR101)</f>
        <v>32</v>
      </c>
      <c r="DD102" s="561"/>
      <c r="DE102" s="577" t="s">
        <v>895</v>
      </c>
      <c r="DF102" s="562">
        <v>7.4999999999999997E-2</v>
      </c>
      <c r="DG102" s="577"/>
      <c r="DH102" s="577"/>
      <c r="DI102" s="577"/>
      <c r="DJ102" s="577"/>
      <c r="DK102" s="577"/>
      <c r="DL102" s="577"/>
      <c r="DM102" s="577"/>
      <c r="DN102" s="577"/>
      <c r="DO102" s="599"/>
      <c r="DP102" s="599">
        <f>+DM102-DO102</f>
        <v>0</v>
      </c>
      <c r="DQ102" s="600"/>
      <c r="DR102" s="600"/>
      <c r="DS102" s="577"/>
      <c r="DT102" s="584"/>
      <c r="DU102" s="577"/>
      <c r="DV102" s="562"/>
      <c r="DW102" s="562"/>
      <c r="DX102" s="562"/>
      <c r="DY102" s="562"/>
    </row>
    <row r="103" spans="1:129" s="560" customFormat="1">
      <c r="N103" s="585" t="s">
        <v>804</v>
      </c>
      <c r="O103" s="585" t="s">
        <v>805</v>
      </c>
      <c r="P103" s="561"/>
      <c r="Q103" s="562"/>
      <c r="R103" s="562">
        <v>0.4</v>
      </c>
      <c r="S103" s="562"/>
      <c r="T103" s="562"/>
      <c r="U103" s="562"/>
      <c r="V103" s="562"/>
      <c r="W103" s="562"/>
      <c r="X103" s="562"/>
      <c r="Y103" s="562"/>
      <c r="Z103" s="562"/>
      <c r="AA103" s="562"/>
      <c r="AB103" s="562"/>
      <c r="AC103" s="562"/>
      <c r="AD103" s="563"/>
      <c r="AE103" s="561"/>
      <c r="AF103" s="562">
        <v>25</v>
      </c>
      <c r="AG103" s="562"/>
      <c r="AH103" s="577"/>
      <c r="AI103" s="577"/>
      <c r="AJ103" s="577"/>
      <c r="AK103" s="577">
        <v>1</v>
      </c>
      <c r="AL103" s="577"/>
      <c r="AM103" s="577"/>
      <c r="AN103" s="562">
        <v>2.5</v>
      </c>
      <c r="AO103" s="562">
        <f t="shared" si="19"/>
        <v>5</v>
      </c>
      <c r="AP103" s="598">
        <v>0.140625</v>
      </c>
      <c r="AQ103" s="599">
        <v>3.5251724137931038</v>
      </c>
      <c r="AR103" s="599">
        <f t="shared" si="20"/>
        <v>1.4748275862068962</v>
      </c>
      <c r="AS103" s="600"/>
      <c r="AT103" s="600">
        <v>1</v>
      </c>
      <c r="AU103" s="577" t="s">
        <v>778</v>
      </c>
      <c r="AV103" s="577"/>
      <c r="AW103" s="562"/>
      <c r="AX103" s="562"/>
      <c r="AY103" s="562"/>
      <c r="AZ103" s="562"/>
      <c r="BA103" s="562"/>
      <c r="BB103" s="563"/>
      <c r="BC103" s="564">
        <v>41073</v>
      </c>
      <c r="BD103" s="565" t="s">
        <v>725</v>
      </c>
      <c r="BE103" s="565"/>
      <c r="BF103" s="565" t="s">
        <v>726</v>
      </c>
      <c r="BG103" s="566" t="s">
        <v>727</v>
      </c>
      <c r="BH103" s="566"/>
      <c r="BI103" s="566"/>
      <c r="BJ103" s="566"/>
      <c r="BK103" s="566"/>
      <c r="BL103" s="566" t="s">
        <v>728</v>
      </c>
      <c r="BM103" s="566"/>
      <c r="BN103" s="566" t="s">
        <v>729</v>
      </c>
      <c r="BO103" s="603"/>
      <c r="BP103" s="646">
        <f>+BP102/BO102</f>
        <v>6.2500000000000028E-2</v>
      </c>
      <c r="BQ103" s="604"/>
      <c r="BR103" s="604"/>
      <c r="BS103" s="566" t="s">
        <v>730</v>
      </c>
      <c r="BT103" s="566" t="s">
        <v>731</v>
      </c>
      <c r="BU103" s="565"/>
      <c r="DD103" s="561"/>
      <c r="DE103" s="577"/>
      <c r="DF103" s="562">
        <v>0.32</v>
      </c>
      <c r="DG103" s="577"/>
      <c r="DH103" s="577"/>
      <c r="DI103" s="577"/>
      <c r="DJ103" s="577"/>
      <c r="DK103" s="577"/>
      <c r="DL103" s="577"/>
      <c r="DM103" s="577"/>
      <c r="DN103" s="577"/>
      <c r="DO103" s="599"/>
      <c r="DP103" s="599"/>
      <c r="DQ103" s="600"/>
      <c r="DR103" s="600"/>
      <c r="DS103" s="577"/>
      <c r="DT103" s="609"/>
      <c r="DU103" s="577"/>
      <c r="DV103" s="562"/>
      <c r="DW103" s="562"/>
      <c r="DX103" s="562"/>
      <c r="DY103" s="562"/>
    </row>
    <row r="104" spans="1:129" s="560" customFormat="1">
      <c r="N104" s="585" t="s">
        <v>807</v>
      </c>
      <c r="O104" s="585" t="s">
        <v>808</v>
      </c>
      <c r="P104" s="561"/>
      <c r="Q104" s="562"/>
      <c r="R104" s="562">
        <v>0.44</v>
      </c>
      <c r="S104" s="562"/>
      <c r="T104" s="562"/>
      <c r="U104" s="562"/>
      <c r="V104" s="562"/>
      <c r="W104" s="562"/>
      <c r="X104" s="562"/>
      <c r="Y104" s="562"/>
      <c r="Z104" s="562"/>
      <c r="AA104" s="562"/>
      <c r="AB104" s="562"/>
      <c r="AC104" s="562"/>
      <c r="AD104" s="563"/>
      <c r="AE104" s="561"/>
      <c r="AF104" s="562">
        <v>26</v>
      </c>
      <c r="AG104" s="562"/>
      <c r="AH104" s="577"/>
      <c r="AI104" s="577"/>
      <c r="AJ104" s="577"/>
      <c r="AK104" s="577">
        <v>1</v>
      </c>
      <c r="AL104" s="577"/>
      <c r="AM104" s="577"/>
      <c r="AN104" s="562">
        <v>2.5</v>
      </c>
      <c r="AO104" s="562">
        <f t="shared" si="19"/>
        <v>5</v>
      </c>
      <c r="AP104" s="598">
        <v>0.140625</v>
      </c>
      <c r="AQ104" s="599">
        <v>3.5241379310344829</v>
      </c>
      <c r="AR104" s="599">
        <f t="shared" si="20"/>
        <v>1.4758620689655171</v>
      </c>
      <c r="AS104" s="600"/>
      <c r="AT104" s="600">
        <v>1</v>
      </c>
      <c r="AU104" s="577" t="s">
        <v>778</v>
      </c>
      <c r="AV104" s="577"/>
      <c r="AW104" s="562"/>
      <c r="AX104" s="562"/>
      <c r="AY104" s="562"/>
      <c r="AZ104" s="562"/>
      <c r="BA104" s="562"/>
      <c r="BB104" s="563"/>
      <c r="BD104" s="565"/>
      <c r="BE104" s="565"/>
      <c r="BF104" s="565"/>
      <c r="BG104" s="576" t="s">
        <v>896</v>
      </c>
      <c r="BH104" s="576"/>
      <c r="BI104" s="576"/>
      <c r="BJ104" s="576"/>
      <c r="BK104" s="576"/>
      <c r="BL104" s="576" t="s">
        <v>897</v>
      </c>
      <c r="BM104" s="576"/>
      <c r="BN104" s="576">
        <v>43</v>
      </c>
      <c r="BO104" s="611"/>
      <c r="BP104" s="611"/>
      <c r="BQ104" s="612"/>
      <c r="BR104" s="612"/>
      <c r="BS104" s="576">
        <v>43</v>
      </c>
      <c r="BT104" s="622"/>
      <c r="BU104" s="565"/>
      <c r="DD104" s="561"/>
      <c r="DE104" s="577"/>
      <c r="DF104" s="562">
        <v>0.65</v>
      </c>
      <c r="DG104" s="577"/>
      <c r="DH104" s="577"/>
      <c r="DI104" s="577"/>
      <c r="DJ104" s="577"/>
      <c r="DK104" s="577"/>
      <c r="DL104" s="577"/>
      <c r="DM104" s="577"/>
      <c r="DN104" s="577"/>
      <c r="DO104" s="599"/>
      <c r="DP104" s="599"/>
      <c r="DQ104" s="600"/>
      <c r="DR104" s="600"/>
      <c r="DS104" s="577"/>
      <c r="DT104" s="584"/>
      <c r="DU104" s="577"/>
      <c r="DV104" s="562"/>
      <c r="DW104" s="562"/>
      <c r="DX104" s="562"/>
      <c r="DY104" s="562"/>
    </row>
    <row r="105" spans="1:129" s="560" customFormat="1">
      <c r="N105" s="585" t="s">
        <v>810</v>
      </c>
      <c r="O105" s="585" t="s">
        <v>550</v>
      </c>
      <c r="P105" s="561"/>
      <c r="Q105" s="562"/>
      <c r="R105" s="562">
        <v>0.45</v>
      </c>
      <c r="S105" s="562"/>
      <c r="T105" s="562"/>
      <c r="U105" s="562"/>
      <c r="V105" s="562"/>
      <c r="W105" s="562"/>
      <c r="X105" s="562"/>
      <c r="Y105" s="562"/>
      <c r="Z105" s="562"/>
      <c r="AA105" s="562"/>
      <c r="AB105" s="562"/>
      <c r="AC105" s="562"/>
      <c r="AD105" s="563"/>
      <c r="AE105" s="561"/>
      <c r="AF105" s="562">
        <v>27</v>
      </c>
      <c r="AG105" s="562"/>
      <c r="AH105" s="577">
        <v>0.1</v>
      </c>
      <c r="AI105" s="577"/>
      <c r="AJ105" s="577"/>
      <c r="AK105" s="577">
        <v>1</v>
      </c>
      <c r="AL105" s="577"/>
      <c r="AM105" s="577"/>
      <c r="AN105" s="562">
        <v>2.4500000000000002</v>
      </c>
      <c r="AO105" s="562">
        <f t="shared" si="19"/>
        <v>4.9000000000000004</v>
      </c>
      <c r="AP105" s="598">
        <v>0.140625</v>
      </c>
      <c r="AQ105" s="599">
        <v>3.5231034482758621</v>
      </c>
      <c r="AR105" s="599">
        <f t="shared" si="20"/>
        <v>1.3768965517241383</v>
      </c>
      <c r="AS105" s="600"/>
      <c r="AT105" s="600">
        <v>1</v>
      </c>
      <c r="AU105" s="577" t="s">
        <v>778</v>
      </c>
      <c r="AV105" s="577">
        <v>1653</v>
      </c>
      <c r="AW105" s="562"/>
      <c r="AX105" s="562"/>
      <c r="AY105" s="562"/>
      <c r="AZ105" s="562"/>
      <c r="BA105" s="562"/>
      <c r="BB105" s="563"/>
      <c r="BC105" s="560" t="s">
        <v>495</v>
      </c>
      <c r="BD105" s="582" t="s">
        <v>898</v>
      </c>
      <c r="BE105" s="582"/>
      <c r="BF105" s="566"/>
      <c r="BG105" s="565"/>
      <c r="BH105" s="565"/>
      <c r="BI105" s="565"/>
      <c r="BJ105" s="565"/>
      <c r="BK105" s="565"/>
      <c r="BL105" s="565"/>
      <c r="BM105" s="582" t="s">
        <v>899</v>
      </c>
      <c r="BN105" s="903" t="s">
        <v>900</v>
      </c>
      <c r="BO105" s="903"/>
      <c r="BP105" s="581" t="s">
        <v>901</v>
      </c>
      <c r="BQ105" s="604"/>
      <c r="BR105" s="604"/>
      <c r="BS105" s="566"/>
      <c r="BT105" s="576"/>
      <c r="BU105" s="566"/>
      <c r="DD105" s="561"/>
      <c r="DE105" s="577"/>
      <c r="DF105" s="562">
        <v>0.6</v>
      </c>
      <c r="DG105" s="577"/>
      <c r="DH105" s="577"/>
      <c r="DI105" s="577"/>
      <c r="DJ105" s="577"/>
      <c r="DK105" s="577"/>
      <c r="DL105" s="577"/>
      <c r="DM105" s="577"/>
      <c r="DN105" s="577"/>
      <c r="DO105" s="599"/>
      <c r="DP105" s="599"/>
      <c r="DQ105" s="600"/>
      <c r="DR105" s="600"/>
      <c r="DS105" s="577"/>
      <c r="DT105" s="584"/>
      <c r="DU105" s="577"/>
      <c r="DV105" s="562"/>
      <c r="DW105" s="562"/>
      <c r="DX105" s="562"/>
      <c r="DY105" s="562"/>
    </row>
    <row r="106" spans="1:129" s="560" customFormat="1">
      <c r="N106" s="585" t="s">
        <v>813</v>
      </c>
      <c r="O106" s="585" t="s">
        <v>552</v>
      </c>
      <c r="P106" s="561"/>
      <c r="Q106" s="562"/>
      <c r="R106" s="562">
        <v>0.45</v>
      </c>
      <c r="S106" s="562"/>
      <c r="T106" s="562"/>
      <c r="U106" s="562"/>
      <c r="V106" s="562"/>
      <c r="W106" s="562"/>
      <c r="X106" s="562"/>
      <c r="Y106" s="562"/>
      <c r="Z106" s="562"/>
      <c r="AA106" s="562"/>
      <c r="AB106" s="562"/>
      <c r="AC106" s="562"/>
      <c r="AD106" s="563"/>
      <c r="AE106" s="561"/>
      <c r="AF106" s="562">
        <v>28</v>
      </c>
      <c r="AG106" s="562"/>
      <c r="AH106" s="577"/>
      <c r="AI106" s="577"/>
      <c r="AJ106" s="577"/>
      <c r="AK106" s="577">
        <v>1</v>
      </c>
      <c r="AL106" s="577"/>
      <c r="AM106" s="577"/>
      <c r="AN106" s="562">
        <v>2.5</v>
      </c>
      <c r="AO106" s="562">
        <f t="shared" si="19"/>
        <v>5</v>
      </c>
      <c r="AP106" s="598">
        <v>0.140625</v>
      </c>
      <c r="AQ106" s="599">
        <v>3.5220689655172417</v>
      </c>
      <c r="AR106" s="599">
        <f t="shared" si="20"/>
        <v>1.4779310344827583</v>
      </c>
      <c r="AS106" s="600"/>
      <c r="AT106" s="600">
        <v>1</v>
      </c>
      <c r="AU106" s="577" t="s">
        <v>778</v>
      </c>
      <c r="AV106" s="577"/>
      <c r="AW106" s="562"/>
      <c r="AX106" s="562"/>
      <c r="AY106" s="562"/>
      <c r="AZ106" s="562"/>
      <c r="BA106" s="562"/>
      <c r="BB106" s="563"/>
      <c r="BC106" s="585"/>
      <c r="BD106" s="586" t="s">
        <v>755</v>
      </c>
      <c r="BE106" s="586" t="s">
        <v>756</v>
      </c>
      <c r="BF106" s="615" t="s">
        <v>757</v>
      </c>
      <c r="BG106" s="615" t="s">
        <v>758</v>
      </c>
      <c r="BH106" s="615" t="s">
        <v>765</v>
      </c>
      <c r="BI106" s="615" t="s">
        <v>766</v>
      </c>
      <c r="BJ106" s="616" t="s">
        <v>767</v>
      </c>
      <c r="BK106" s="617" t="s">
        <v>768</v>
      </c>
      <c r="BL106" s="586" t="s">
        <v>759</v>
      </c>
      <c r="BM106" s="618" t="s">
        <v>769</v>
      </c>
      <c r="BN106" s="586" t="s">
        <v>760</v>
      </c>
      <c r="BO106" s="619" t="s">
        <v>770</v>
      </c>
      <c r="BP106" s="619" t="s">
        <v>771</v>
      </c>
      <c r="BQ106" s="620" t="s">
        <v>772</v>
      </c>
      <c r="BR106" s="620" t="s">
        <v>773</v>
      </c>
      <c r="BS106" s="586" t="s">
        <v>761</v>
      </c>
      <c r="BT106" s="586" t="s">
        <v>762</v>
      </c>
      <c r="BU106" s="586" t="s">
        <v>763</v>
      </c>
      <c r="BY106" s="586" t="s">
        <v>764</v>
      </c>
      <c r="BZ106" s="576"/>
      <c r="DD106" s="561"/>
      <c r="DE106" s="577"/>
      <c r="DF106" s="562">
        <v>0.55000000000000004</v>
      </c>
      <c r="DG106" s="577"/>
      <c r="DH106" s="577"/>
      <c r="DI106" s="577"/>
      <c r="DJ106" s="577"/>
      <c r="DK106" s="577"/>
      <c r="DL106" s="577"/>
      <c r="DM106" s="577"/>
      <c r="DN106" s="577"/>
      <c r="DO106" s="599"/>
      <c r="DP106" s="599"/>
      <c r="DQ106" s="600"/>
      <c r="DR106" s="600"/>
      <c r="DS106" s="577"/>
      <c r="DT106" s="584"/>
      <c r="DU106" s="577"/>
      <c r="DV106" s="562"/>
      <c r="DW106" s="562"/>
      <c r="DX106" s="562"/>
      <c r="DY106" s="562"/>
    </row>
    <row r="107" spans="1:129" s="560" customFormat="1">
      <c r="N107" s="585" t="s">
        <v>815</v>
      </c>
      <c r="O107" s="585" t="s">
        <v>816</v>
      </c>
      <c r="P107" s="561"/>
      <c r="Q107" s="562"/>
      <c r="R107" s="562">
        <v>0.4</v>
      </c>
      <c r="S107" s="562"/>
      <c r="T107" s="562"/>
      <c r="U107" s="562"/>
      <c r="V107" s="562"/>
      <c r="W107" s="562"/>
      <c r="X107" s="562"/>
      <c r="Y107" s="562"/>
      <c r="Z107" s="562"/>
      <c r="AA107" s="562"/>
      <c r="AB107" s="562"/>
      <c r="AC107" s="562"/>
      <c r="AD107" s="563"/>
      <c r="AE107" s="561"/>
      <c r="AF107" s="562">
        <v>29</v>
      </c>
      <c r="AG107" s="562"/>
      <c r="AH107" s="577"/>
      <c r="AI107" s="577"/>
      <c r="AJ107" s="577"/>
      <c r="AK107" s="577">
        <v>1</v>
      </c>
      <c r="AL107" s="577"/>
      <c r="AM107" s="577"/>
      <c r="AN107" s="562">
        <v>2.5</v>
      </c>
      <c r="AO107" s="562">
        <f t="shared" si="19"/>
        <v>5</v>
      </c>
      <c r="AP107" s="598">
        <v>0.15625</v>
      </c>
      <c r="AQ107" s="599">
        <v>3.55</v>
      </c>
      <c r="AR107" s="599">
        <f t="shared" si="20"/>
        <v>1.4500000000000002</v>
      </c>
      <c r="AS107" s="600">
        <v>1</v>
      </c>
      <c r="AT107" s="600"/>
      <c r="AU107" s="577" t="s">
        <v>778</v>
      </c>
      <c r="AV107" s="577"/>
      <c r="AW107" s="562"/>
      <c r="AX107" s="562"/>
      <c r="AY107" s="562"/>
      <c r="AZ107" s="562"/>
      <c r="BA107" s="562"/>
      <c r="BB107" s="563"/>
      <c r="BD107" s="576">
        <v>1</v>
      </c>
      <c r="BF107" s="576">
        <v>4.2</v>
      </c>
      <c r="BG107" s="560" t="s">
        <v>793</v>
      </c>
      <c r="BI107" s="576">
        <v>1</v>
      </c>
      <c r="BJ107" s="576"/>
      <c r="BK107" s="576">
        <v>1</v>
      </c>
      <c r="BL107" s="671">
        <f>1.08*BT107</f>
        <v>2.052</v>
      </c>
      <c r="BM107" s="611">
        <f t="shared" ref="BM107:BM143" si="23">BL107*2</f>
        <v>4.1040000000000001</v>
      </c>
      <c r="BN107" s="576" t="s">
        <v>779</v>
      </c>
      <c r="BO107" s="611">
        <v>3.75</v>
      </c>
      <c r="BP107" s="611">
        <f t="shared" ref="BP107:BP143" si="24">BM107-BO107</f>
        <v>0.35400000000000009</v>
      </c>
      <c r="BQ107" s="612"/>
      <c r="BR107" s="612">
        <v>1</v>
      </c>
      <c r="BS107" s="566" t="s">
        <v>127</v>
      </c>
      <c r="BT107" s="623">
        <v>1.9</v>
      </c>
      <c r="BV107" s="581" t="s">
        <v>902</v>
      </c>
      <c r="BY107" s="576"/>
      <c r="BZ107" s="576"/>
      <c r="DD107" s="561"/>
      <c r="DE107" s="577"/>
      <c r="DF107" s="562">
        <v>0.55000000000000004</v>
      </c>
      <c r="DG107" s="577"/>
      <c r="DH107" s="577"/>
      <c r="DI107" s="577"/>
      <c r="DJ107" s="577"/>
      <c r="DK107" s="577"/>
      <c r="DL107" s="577"/>
      <c r="DM107" s="577"/>
      <c r="DN107" s="577"/>
      <c r="DO107" s="599"/>
      <c r="DP107" s="599"/>
      <c r="DQ107" s="600"/>
      <c r="DR107" s="600"/>
      <c r="DS107" s="577"/>
      <c r="DT107" s="577"/>
      <c r="DU107" s="577"/>
      <c r="DV107" s="562"/>
      <c r="DW107" s="562"/>
      <c r="DX107" s="562"/>
      <c r="DY107" s="562"/>
    </row>
    <row r="108" spans="1:129" s="560" customFormat="1">
      <c r="P108" s="561"/>
      <c r="Q108" s="562"/>
      <c r="R108" s="562">
        <v>0.45</v>
      </c>
      <c r="S108" s="562"/>
      <c r="T108" s="562"/>
      <c r="U108" s="562"/>
      <c r="V108" s="562"/>
      <c r="W108" s="562"/>
      <c r="X108" s="562"/>
      <c r="Y108" s="562"/>
      <c r="Z108" s="562"/>
      <c r="AA108" s="562"/>
      <c r="AB108" s="562"/>
      <c r="AC108" s="562"/>
      <c r="AD108" s="563"/>
      <c r="AE108" s="561"/>
      <c r="AF108" s="562">
        <v>30</v>
      </c>
      <c r="AG108" s="562"/>
      <c r="AH108" s="577"/>
      <c r="AI108" s="577"/>
      <c r="AJ108" s="577"/>
      <c r="AK108" s="577">
        <v>1</v>
      </c>
      <c r="AL108" s="577"/>
      <c r="AM108" s="577"/>
      <c r="AN108" s="562">
        <v>2.5</v>
      </c>
      <c r="AO108" s="562">
        <f t="shared" si="19"/>
        <v>5</v>
      </c>
      <c r="AP108" s="598">
        <v>0.15625</v>
      </c>
      <c r="AQ108" s="599">
        <v>3.55</v>
      </c>
      <c r="AR108" s="599">
        <f t="shared" si="20"/>
        <v>1.4500000000000002</v>
      </c>
      <c r="AS108" s="600">
        <v>1</v>
      </c>
      <c r="AT108" s="600"/>
      <c r="AU108" s="577" t="s">
        <v>778</v>
      </c>
      <c r="AV108" s="577"/>
      <c r="AW108" s="562"/>
      <c r="AX108" s="562"/>
      <c r="AY108" s="562"/>
      <c r="AZ108" s="562"/>
      <c r="BA108" s="562"/>
      <c r="BB108" s="563"/>
      <c r="BD108" s="576">
        <v>2</v>
      </c>
      <c r="BE108" s="576"/>
      <c r="BF108" s="576">
        <v>5.2</v>
      </c>
      <c r="BG108" s="560" t="s">
        <v>793</v>
      </c>
      <c r="BI108" s="576">
        <v>1</v>
      </c>
      <c r="BJ108" s="576"/>
      <c r="BK108" s="576">
        <v>1</v>
      </c>
      <c r="BL108" s="671">
        <f t="shared" ref="BL108:BL143" si="25">1.07*BT108</f>
        <v>1.9260000000000002</v>
      </c>
      <c r="BM108" s="611">
        <f t="shared" si="23"/>
        <v>3.8520000000000003</v>
      </c>
      <c r="BN108" s="576" t="s">
        <v>779</v>
      </c>
      <c r="BO108" s="611">
        <v>3.75</v>
      </c>
      <c r="BP108" s="611">
        <f t="shared" si="24"/>
        <v>0.10200000000000031</v>
      </c>
      <c r="BQ108" s="612"/>
      <c r="BR108" s="612">
        <v>1</v>
      </c>
      <c r="BS108" s="566" t="s">
        <v>127</v>
      </c>
      <c r="BT108" s="576">
        <v>1.8</v>
      </c>
      <c r="BY108" s="585" t="s">
        <v>780</v>
      </c>
      <c r="BZ108" s="585" t="s">
        <v>616</v>
      </c>
      <c r="DD108" s="561"/>
      <c r="DE108" s="577"/>
      <c r="DF108" s="562">
        <v>0.3</v>
      </c>
      <c r="DG108" s="577"/>
      <c r="DH108" s="577"/>
      <c r="DI108" s="577"/>
      <c r="DJ108" s="577"/>
      <c r="DK108" s="577"/>
      <c r="DL108" s="577"/>
      <c r="DM108" s="577"/>
      <c r="DN108" s="577"/>
      <c r="DO108" s="599"/>
      <c r="DP108" s="599"/>
      <c r="DQ108" s="600"/>
      <c r="DR108" s="600"/>
      <c r="DS108" s="577"/>
      <c r="DT108" s="577"/>
      <c r="DU108" s="577"/>
      <c r="DV108" s="562"/>
      <c r="DW108" s="562"/>
      <c r="DX108" s="562"/>
      <c r="DY108" s="562"/>
    </row>
    <row r="109" spans="1:129" s="560" customFormat="1">
      <c r="P109" s="561"/>
      <c r="Q109" s="562"/>
      <c r="R109" s="562">
        <v>0.44</v>
      </c>
      <c r="S109" s="562"/>
      <c r="T109" s="562"/>
      <c r="U109" s="562"/>
      <c r="V109" s="562"/>
      <c r="W109" s="562"/>
      <c r="X109" s="562"/>
      <c r="Y109" s="562"/>
      <c r="Z109" s="562"/>
      <c r="AA109" s="562"/>
      <c r="AB109" s="562"/>
      <c r="AC109" s="562"/>
      <c r="AD109" s="563"/>
      <c r="AE109" s="561"/>
      <c r="AF109" s="562"/>
      <c r="AG109" s="562"/>
      <c r="AH109" s="562"/>
      <c r="AI109" s="562"/>
      <c r="AJ109" s="632">
        <f>SUM(AJ78:AJ108)</f>
        <v>3</v>
      </c>
      <c r="AK109" s="632">
        <f>SUM(AK78:AK108)</f>
        <v>27</v>
      </c>
      <c r="AL109" s="633"/>
      <c r="AM109" s="634">
        <f>SUM(AM78:AM108)</f>
        <v>7</v>
      </c>
      <c r="AN109" s="562"/>
      <c r="AO109" s="635">
        <f>SUM(AO78:AO108)</f>
        <v>149.20000000000002</v>
      </c>
      <c r="AP109" s="659"/>
      <c r="AQ109" s="636">
        <f>SUM(AR79:AR108)</f>
        <v>43.09103448275863</v>
      </c>
      <c r="AR109" s="636">
        <f>SUM(AR78:AR108)</f>
        <v>43.09103448275863</v>
      </c>
      <c r="AS109" s="637">
        <f>SUM(AS78:AS108)</f>
        <v>3</v>
      </c>
      <c r="AT109" s="637">
        <f>SUM(AT79:AT108)</f>
        <v>27</v>
      </c>
      <c r="AU109" s="562"/>
      <c r="AV109" s="562"/>
      <c r="AW109" s="562"/>
      <c r="AX109" s="562"/>
      <c r="AY109" s="562"/>
      <c r="AZ109" s="562"/>
      <c r="BA109" s="562"/>
      <c r="BB109" s="563"/>
      <c r="BD109" s="576">
        <v>3</v>
      </c>
      <c r="BE109" s="576"/>
      <c r="BI109" s="576">
        <v>1</v>
      </c>
      <c r="BJ109" s="576"/>
      <c r="BK109" s="576"/>
      <c r="BL109" s="671">
        <f t="shared" si="25"/>
        <v>2.0329999999999999</v>
      </c>
      <c r="BM109" s="611">
        <f t="shared" si="23"/>
        <v>4.0659999999999998</v>
      </c>
      <c r="BN109" s="576" t="s">
        <v>779</v>
      </c>
      <c r="BO109" s="611">
        <v>3.75</v>
      </c>
      <c r="BP109" s="611">
        <f t="shared" si="24"/>
        <v>0.31599999999999984</v>
      </c>
      <c r="BQ109" s="612"/>
      <c r="BR109" s="612">
        <v>1</v>
      </c>
      <c r="BS109" s="566" t="s">
        <v>127</v>
      </c>
      <c r="BT109" s="576">
        <v>1.9</v>
      </c>
      <c r="BY109" s="585" t="s">
        <v>785</v>
      </c>
      <c r="BZ109" s="585" t="s">
        <v>542</v>
      </c>
      <c r="DD109" s="561"/>
      <c r="DE109" s="577"/>
      <c r="DF109" s="562">
        <v>0.21</v>
      </c>
      <c r="DG109" s="577"/>
      <c r="DH109" s="577"/>
      <c r="DI109" s="577"/>
      <c r="DJ109" s="577"/>
      <c r="DK109" s="577"/>
      <c r="DL109" s="577"/>
      <c r="DM109" s="577"/>
      <c r="DN109" s="577"/>
      <c r="DO109" s="599"/>
      <c r="DP109" s="599"/>
      <c r="DQ109" s="600"/>
      <c r="DR109" s="600"/>
      <c r="DS109" s="577"/>
      <c r="DT109" s="577"/>
      <c r="DU109" s="577"/>
      <c r="DV109" s="562"/>
      <c r="DW109" s="562"/>
      <c r="DX109" s="562"/>
      <c r="DY109" s="562"/>
    </row>
    <row r="110" spans="1:129" s="560" customFormat="1">
      <c r="A110" s="564">
        <v>41129</v>
      </c>
      <c r="B110" s="565" t="s">
        <v>725</v>
      </c>
      <c r="C110" s="565"/>
      <c r="D110" s="565" t="s">
        <v>832</v>
      </c>
      <c r="E110" s="566" t="s">
        <v>727</v>
      </c>
      <c r="F110" s="566" t="s">
        <v>728</v>
      </c>
      <c r="G110" s="566" t="s">
        <v>729</v>
      </c>
      <c r="H110" s="566" t="s">
        <v>730</v>
      </c>
      <c r="I110" s="566" t="s">
        <v>731</v>
      </c>
      <c r="J110" s="565"/>
      <c r="P110" s="561"/>
      <c r="Q110" s="562"/>
      <c r="R110" s="562">
        <v>0.4</v>
      </c>
      <c r="S110" s="562"/>
      <c r="T110" s="562"/>
      <c r="U110" s="562"/>
      <c r="V110" s="562"/>
      <c r="W110" s="562"/>
      <c r="X110" s="562"/>
      <c r="Y110" s="562"/>
      <c r="Z110" s="562"/>
      <c r="AA110" s="562"/>
      <c r="AB110" s="562"/>
      <c r="AC110" s="562"/>
      <c r="AD110" s="563"/>
      <c r="AE110" s="567">
        <v>41124</v>
      </c>
      <c r="AF110" s="568" t="s">
        <v>725</v>
      </c>
      <c r="AG110" s="568"/>
      <c r="AH110" s="568" t="s">
        <v>726</v>
      </c>
      <c r="AI110" s="569" t="s">
        <v>727</v>
      </c>
      <c r="AJ110" s="569"/>
      <c r="AK110" s="569"/>
      <c r="AL110" s="569"/>
      <c r="AM110" s="569"/>
      <c r="AN110" s="569" t="s">
        <v>728</v>
      </c>
      <c r="AO110" s="569"/>
      <c r="AP110" s="569" t="s">
        <v>729</v>
      </c>
      <c r="AQ110" s="651"/>
      <c r="AR110" s="638">
        <f>+AR109/AO109</f>
        <v>0.28881390403993717</v>
      </c>
      <c r="AS110" s="639"/>
      <c r="AT110" s="639"/>
      <c r="AU110" s="569" t="s">
        <v>730</v>
      </c>
      <c r="AV110" s="569" t="s">
        <v>731</v>
      </c>
      <c r="AW110" s="568"/>
      <c r="AX110" s="562"/>
      <c r="AY110" s="562"/>
      <c r="AZ110" s="562"/>
      <c r="BA110" s="562"/>
      <c r="BB110" s="563"/>
      <c r="BD110" s="576">
        <v>4</v>
      </c>
      <c r="BE110" s="576"/>
      <c r="BI110" s="576">
        <v>1</v>
      </c>
      <c r="BJ110" s="576"/>
      <c r="BK110" s="576"/>
      <c r="BL110" s="671">
        <f t="shared" si="25"/>
        <v>1.819</v>
      </c>
      <c r="BM110" s="611">
        <f t="shared" si="23"/>
        <v>3.6379999999999999</v>
      </c>
      <c r="BN110" s="576" t="s">
        <v>779</v>
      </c>
      <c r="BO110" s="611">
        <v>3.75</v>
      </c>
      <c r="BP110" s="611">
        <f t="shared" si="24"/>
        <v>-0.1120000000000001</v>
      </c>
      <c r="BQ110" s="612"/>
      <c r="BR110" s="612">
        <v>1</v>
      </c>
      <c r="BS110" s="566" t="s">
        <v>127</v>
      </c>
      <c r="BT110" s="576">
        <v>1.7</v>
      </c>
      <c r="BY110" s="585" t="s">
        <v>789</v>
      </c>
      <c r="BZ110" s="585" t="s">
        <v>790</v>
      </c>
      <c r="DD110" s="561"/>
      <c r="DE110" s="577"/>
      <c r="DF110" s="562">
        <v>0.3</v>
      </c>
      <c r="DG110" s="577"/>
      <c r="DH110" s="577"/>
      <c r="DI110" s="577"/>
      <c r="DJ110" s="577"/>
      <c r="DK110" s="577"/>
      <c r="DL110" s="577"/>
      <c r="DM110" s="577"/>
      <c r="DN110" s="577"/>
      <c r="DO110" s="599"/>
      <c r="DP110" s="599"/>
      <c r="DQ110" s="600"/>
      <c r="DR110" s="600"/>
      <c r="DS110" s="577"/>
      <c r="DT110" s="577"/>
      <c r="DU110" s="577"/>
      <c r="DV110" s="562"/>
      <c r="DW110" s="562"/>
      <c r="DX110" s="562"/>
      <c r="DY110" s="562"/>
    </row>
    <row r="111" spans="1:129" s="560" customFormat="1">
      <c r="B111" s="565"/>
      <c r="C111" s="565"/>
      <c r="D111" s="565"/>
      <c r="E111" s="566" t="s">
        <v>903</v>
      </c>
      <c r="F111" s="566" t="s">
        <v>904</v>
      </c>
      <c r="G111" s="576"/>
      <c r="H111" s="576"/>
      <c r="I111" s="576" t="s">
        <v>905</v>
      </c>
      <c r="J111" s="565"/>
      <c r="P111" s="561"/>
      <c r="Q111" s="562"/>
      <c r="R111" s="562">
        <v>0.45</v>
      </c>
      <c r="S111" s="562"/>
      <c r="T111" s="562"/>
      <c r="U111" s="562"/>
      <c r="V111" s="562"/>
      <c r="W111" s="562"/>
      <c r="X111" s="562"/>
      <c r="Y111" s="562"/>
      <c r="Z111" s="562"/>
      <c r="AA111" s="562"/>
      <c r="AB111" s="562"/>
      <c r="AC111" s="562"/>
      <c r="AD111" s="563"/>
      <c r="AE111" s="561"/>
      <c r="AF111" s="568"/>
      <c r="AG111" s="568"/>
      <c r="AH111" s="568"/>
      <c r="AI111" s="577" t="s">
        <v>906</v>
      </c>
      <c r="AJ111" s="577"/>
      <c r="AK111" s="577"/>
      <c r="AL111" s="577"/>
      <c r="AM111" s="577"/>
      <c r="AN111" s="577" t="s">
        <v>907</v>
      </c>
      <c r="AO111" s="577"/>
      <c r="AP111" s="577">
        <v>42</v>
      </c>
      <c r="AQ111" s="599"/>
      <c r="AR111" s="599"/>
      <c r="AS111" s="600"/>
      <c r="AT111" s="600"/>
      <c r="AU111" s="577">
        <v>33</v>
      </c>
      <c r="AV111" s="577"/>
      <c r="AW111" s="568"/>
      <c r="AX111" s="562"/>
      <c r="AY111" s="562"/>
      <c r="AZ111" s="562"/>
      <c r="BA111" s="562"/>
      <c r="BB111" s="563"/>
      <c r="BD111" s="576">
        <v>5</v>
      </c>
      <c r="BE111" s="576"/>
      <c r="BI111" s="576">
        <v>1</v>
      </c>
      <c r="BJ111" s="576"/>
      <c r="BK111" s="576"/>
      <c r="BL111" s="671">
        <f t="shared" si="25"/>
        <v>1.9260000000000002</v>
      </c>
      <c r="BM111" s="611">
        <f t="shared" si="23"/>
        <v>3.8520000000000003</v>
      </c>
      <c r="BN111" s="576" t="s">
        <v>779</v>
      </c>
      <c r="BO111" s="611">
        <v>3.75</v>
      </c>
      <c r="BP111" s="611">
        <f t="shared" si="24"/>
        <v>0.10200000000000031</v>
      </c>
      <c r="BQ111" s="612"/>
      <c r="BR111" s="612">
        <v>1</v>
      </c>
      <c r="BS111" s="566" t="s">
        <v>127</v>
      </c>
      <c r="BT111" s="576">
        <v>1.8</v>
      </c>
      <c r="BV111" s="627" t="s">
        <v>806</v>
      </c>
      <c r="BW111" s="627">
        <f>COUNT(BP107:BP143)</f>
        <v>37</v>
      </c>
      <c r="BY111" s="585" t="s">
        <v>791</v>
      </c>
      <c r="BZ111" s="585" t="s">
        <v>792</v>
      </c>
      <c r="DD111" s="561"/>
      <c r="DE111" s="577" t="s">
        <v>908</v>
      </c>
      <c r="DF111" s="562">
        <v>0.3</v>
      </c>
      <c r="DG111" s="577"/>
      <c r="DH111" s="577"/>
      <c r="DI111" s="577"/>
      <c r="DJ111" s="577"/>
      <c r="DK111" s="577"/>
      <c r="DL111" s="577"/>
      <c r="DM111" s="577"/>
      <c r="DN111" s="577"/>
      <c r="DO111" s="599"/>
      <c r="DP111" s="599"/>
      <c r="DQ111" s="600"/>
      <c r="DR111" s="600"/>
      <c r="DS111" s="577"/>
      <c r="DT111" s="577"/>
      <c r="DU111" s="577"/>
      <c r="DV111" s="562"/>
      <c r="DW111" s="562"/>
      <c r="DX111" s="562"/>
      <c r="DY111" s="562"/>
    </row>
    <row r="112" spans="1:129" s="560" customFormat="1">
      <c r="A112" s="560" t="s">
        <v>571</v>
      </c>
      <c r="B112" s="582" t="s">
        <v>909</v>
      </c>
      <c r="C112" s="582"/>
      <c r="D112" s="566"/>
      <c r="E112" s="565"/>
      <c r="F112" s="565"/>
      <c r="G112" s="582" t="s">
        <v>910</v>
      </c>
      <c r="H112" s="566"/>
      <c r="I112" s="566"/>
      <c r="J112" s="566"/>
      <c r="P112" s="561"/>
      <c r="Q112" s="562"/>
      <c r="R112" s="562">
        <v>0.45</v>
      </c>
      <c r="S112" s="562"/>
      <c r="T112" s="562"/>
      <c r="U112" s="562"/>
      <c r="V112" s="562"/>
      <c r="W112" s="562"/>
      <c r="X112" s="562"/>
      <c r="Y112" s="562"/>
      <c r="Z112" s="562"/>
      <c r="AA112" s="562"/>
      <c r="AB112" s="562"/>
      <c r="AC112" s="562"/>
      <c r="AD112" s="563"/>
      <c r="AE112" s="561" t="s">
        <v>518</v>
      </c>
      <c r="AF112" s="578" t="s">
        <v>911</v>
      </c>
      <c r="AG112" s="578"/>
      <c r="AH112" s="569"/>
      <c r="AI112" s="568"/>
      <c r="AJ112" s="568"/>
      <c r="AK112" s="568"/>
      <c r="AL112" s="568"/>
      <c r="AM112" s="568"/>
      <c r="AN112" s="568"/>
      <c r="AO112" s="568"/>
      <c r="AP112" s="569"/>
      <c r="AQ112" s="583" t="s">
        <v>912</v>
      </c>
      <c r="AR112" s="651"/>
      <c r="AS112" s="639"/>
      <c r="AT112" s="639"/>
      <c r="AU112" s="569"/>
      <c r="AV112" s="577"/>
      <c r="AW112" s="569"/>
      <c r="AX112" s="562"/>
      <c r="AY112" s="562"/>
      <c r="AZ112" s="562"/>
      <c r="BA112" s="562"/>
      <c r="BB112" s="563"/>
      <c r="BD112" s="576">
        <v>6</v>
      </c>
      <c r="BE112" s="576"/>
      <c r="BI112" s="576">
        <v>1</v>
      </c>
      <c r="BJ112" s="576"/>
      <c r="BK112" s="576"/>
      <c r="BL112" s="671">
        <f t="shared" si="25"/>
        <v>2.0329999999999999</v>
      </c>
      <c r="BM112" s="611">
        <f t="shared" si="23"/>
        <v>4.0659999999999998</v>
      </c>
      <c r="BN112" s="576" t="s">
        <v>779</v>
      </c>
      <c r="BO112" s="611">
        <v>3.75</v>
      </c>
      <c r="BP112" s="611">
        <f t="shared" si="24"/>
        <v>0.31599999999999984</v>
      </c>
      <c r="BQ112" s="612"/>
      <c r="BR112" s="612">
        <v>1</v>
      </c>
      <c r="BS112" s="566" t="s">
        <v>127</v>
      </c>
      <c r="BT112" s="576">
        <v>1.9</v>
      </c>
      <c r="BV112" s="627" t="s">
        <v>812</v>
      </c>
      <c r="BW112" s="628">
        <f>SUM(BP107:BP124,BP126:BP142)</f>
        <v>1.8960000000000026</v>
      </c>
      <c r="BY112" s="585" t="s">
        <v>794</v>
      </c>
      <c r="BZ112" s="585" t="s">
        <v>795</v>
      </c>
      <c r="DD112" s="561"/>
      <c r="DE112" s="577"/>
      <c r="DF112" s="562">
        <v>0.26</v>
      </c>
      <c r="DG112" s="577"/>
      <c r="DH112" s="577"/>
      <c r="DI112" s="577"/>
      <c r="DJ112" s="577"/>
      <c r="DK112" s="577"/>
      <c r="DL112" s="577"/>
      <c r="DM112" s="577"/>
      <c r="DN112" s="577"/>
      <c r="DO112" s="599"/>
      <c r="DP112" s="599"/>
      <c r="DQ112" s="600"/>
      <c r="DR112" s="600"/>
      <c r="DS112" s="577"/>
      <c r="DT112" s="577"/>
      <c r="DU112" s="577"/>
      <c r="DV112" s="562"/>
      <c r="DW112" s="562"/>
      <c r="DX112" s="562"/>
      <c r="DY112" s="562"/>
    </row>
    <row r="113" spans="1:125" s="560" customFormat="1">
      <c r="A113" s="585"/>
      <c r="B113" s="586" t="s">
        <v>755</v>
      </c>
      <c r="C113" s="586" t="s">
        <v>756</v>
      </c>
      <c r="D113" s="586" t="s">
        <v>757</v>
      </c>
      <c r="E113" s="586" t="s">
        <v>758</v>
      </c>
      <c r="F113" s="586" t="s">
        <v>759</v>
      </c>
      <c r="G113" s="586" t="s">
        <v>760</v>
      </c>
      <c r="H113" s="586" t="s">
        <v>761</v>
      </c>
      <c r="I113" s="586" t="s">
        <v>762</v>
      </c>
      <c r="J113" s="586" t="s">
        <v>763</v>
      </c>
      <c r="N113" s="586" t="s">
        <v>764</v>
      </c>
      <c r="O113" s="576"/>
      <c r="P113" s="561"/>
      <c r="Q113" s="562"/>
      <c r="R113" s="562">
        <v>0.45</v>
      </c>
      <c r="S113" s="562"/>
      <c r="T113" s="562"/>
      <c r="U113" s="562"/>
      <c r="V113" s="562"/>
      <c r="W113" s="562"/>
      <c r="X113" s="562"/>
      <c r="Y113" s="562"/>
      <c r="Z113" s="562"/>
      <c r="AA113" s="562"/>
      <c r="AB113" s="562"/>
      <c r="AC113" s="562"/>
      <c r="AD113" s="563"/>
      <c r="AE113" s="587"/>
      <c r="AF113" s="588" t="s">
        <v>755</v>
      </c>
      <c r="AG113" s="588" t="s">
        <v>756</v>
      </c>
      <c r="AH113" s="590" t="s">
        <v>757</v>
      </c>
      <c r="AI113" s="590" t="s">
        <v>758</v>
      </c>
      <c r="AJ113" s="590" t="s">
        <v>765</v>
      </c>
      <c r="AK113" s="590" t="s">
        <v>766</v>
      </c>
      <c r="AL113" s="591" t="s">
        <v>767</v>
      </c>
      <c r="AM113" s="592" t="s">
        <v>768</v>
      </c>
      <c r="AN113" s="588" t="s">
        <v>759</v>
      </c>
      <c r="AO113" s="593" t="s">
        <v>769</v>
      </c>
      <c r="AP113" s="588" t="s">
        <v>760</v>
      </c>
      <c r="AQ113" s="663" t="s">
        <v>770</v>
      </c>
      <c r="AR113" s="663" t="s">
        <v>771</v>
      </c>
      <c r="AS113" s="595" t="s">
        <v>772</v>
      </c>
      <c r="AT113" s="595" t="s">
        <v>773</v>
      </c>
      <c r="AU113" s="588" t="s">
        <v>761</v>
      </c>
      <c r="AV113" s="588" t="s">
        <v>762</v>
      </c>
      <c r="AW113" s="588" t="s">
        <v>763</v>
      </c>
      <c r="AX113" s="562"/>
      <c r="AY113" s="562"/>
      <c r="AZ113" s="562"/>
      <c r="BA113" s="588" t="s">
        <v>764</v>
      </c>
      <c r="BB113" s="589"/>
      <c r="BD113" s="576">
        <v>7</v>
      </c>
      <c r="BE113" s="576"/>
      <c r="BF113" s="576"/>
      <c r="BG113" s="576"/>
      <c r="BH113" s="576"/>
      <c r="BI113" s="576">
        <v>1</v>
      </c>
      <c r="BJ113" s="576"/>
      <c r="BK113" s="576"/>
      <c r="BL113" s="671">
        <f t="shared" si="25"/>
        <v>2.0329999999999999</v>
      </c>
      <c r="BM113" s="611">
        <f t="shared" si="23"/>
        <v>4.0659999999999998</v>
      </c>
      <c r="BN113" s="576" t="s">
        <v>779</v>
      </c>
      <c r="BO113" s="611">
        <v>3.75</v>
      </c>
      <c r="BP113" s="611">
        <f t="shared" si="24"/>
        <v>0.31599999999999984</v>
      </c>
      <c r="BQ113" s="612"/>
      <c r="BR113" s="612">
        <v>1</v>
      </c>
      <c r="BS113" s="566" t="s">
        <v>127</v>
      </c>
      <c r="BT113" s="576">
        <v>1.9</v>
      </c>
      <c r="BV113" s="627" t="s">
        <v>811</v>
      </c>
      <c r="BW113" s="628">
        <f>MAX(BP107:BP124,BP126:BP142)</f>
        <v>0.35400000000000009</v>
      </c>
      <c r="BY113" s="585" t="s">
        <v>798</v>
      </c>
      <c r="BZ113" s="585" t="s">
        <v>546</v>
      </c>
      <c r="DD113" s="561"/>
      <c r="DE113" s="577"/>
      <c r="DF113" s="562">
        <v>0.2</v>
      </c>
      <c r="DG113" s="577"/>
      <c r="DH113" s="577"/>
      <c r="DI113" s="577"/>
      <c r="DJ113" s="577"/>
      <c r="DK113" s="577"/>
      <c r="DL113" s="577"/>
      <c r="DM113" s="577"/>
      <c r="DN113" s="577"/>
      <c r="DO113" s="599"/>
      <c r="DP113" s="599"/>
      <c r="DQ113" s="600"/>
      <c r="DR113" s="600"/>
      <c r="DS113" s="577"/>
      <c r="DT113" s="577"/>
      <c r="DU113" s="577"/>
    </row>
    <row r="114" spans="1:125" s="560" customFormat="1">
      <c r="B114" s="560" t="s">
        <v>775</v>
      </c>
      <c r="N114" s="576"/>
      <c r="O114" s="576"/>
      <c r="P114" s="561"/>
      <c r="Q114" s="562"/>
      <c r="R114" s="562">
        <v>0.45</v>
      </c>
      <c r="S114" s="562"/>
      <c r="T114" s="562"/>
      <c r="U114" s="562"/>
      <c r="V114" s="562"/>
      <c r="W114" s="562"/>
      <c r="X114" s="562"/>
      <c r="Y114" s="562"/>
      <c r="Z114" s="562"/>
      <c r="AA114" s="562"/>
      <c r="AB114" s="562"/>
      <c r="AC114" s="562"/>
      <c r="AD114" s="563"/>
      <c r="AE114" s="561"/>
      <c r="AF114" s="568">
        <v>0.5</v>
      </c>
      <c r="AG114" s="562"/>
      <c r="AH114" s="577">
        <v>0.5</v>
      </c>
      <c r="AI114" s="577" t="s">
        <v>793</v>
      </c>
      <c r="AJ114" s="577"/>
      <c r="AK114" s="577"/>
      <c r="AL114" s="577"/>
      <c r="AM114" s="577">
        <v>1</v>
      </c>
      <c r="AN114" s="562"/>
      <c r="AO114" s="562"/>
      <c r="AP114" s="598"/>
      <c r="AQ114" s="599"/>
      <c r="AR114" s="599"/>
      <c r="AS114" s="600"/>
      <c r="AT114" s="600"/>
      <c r="AU114" s="577"/>
      <c r="AV114" s="584">
        <v>1621</v>
      </c>
      <c r="AW114" s="562"/>
      <c r="AX114" s="562"/>
      <c r="AY114" s="562"/>
      <c r="AZ114" s="562"/>
      <c r="BA114" s="577"/>
      <c r="BB114" s="589"/>
      <c r="BD114" s="576">
        <v>8</v>
      </c>
      <c r="BE114" s="576"/>
      <c r="BF114" s="576"/>
      <c r="BG114" s="576"/>
      <c r="BH114" s="576"/>
      <c r="BI114" s="576">
        <v>1</v>
      </c>
      <c r="BJ114" s="576"/>
      <c r="BK114" s="576"/>
      <c r="BL114" s="671">
        <f t="shared" si="25"/>
        <v>1.9260000000000002</v>
      </c>
      <c r="BM114" s="611">
        <f t="shared" si="23"/>
        <v>3.8520000000000003</v>
      </c>
      <c r="BN114" s="576" t="s">
        <v>779</v>
      </c>
      <c r="BO114" s="611">
        <v>3.75</v>
      </c>
      <c r="BP114" s="611">
        <f t="shared" si="24"/>
        <v>0.10200000000000031</v>
      </c>
      <c r="BQ114" s="612"/>
      <c r="BR114" s="612">
        <v>1</v>
      </c>
      <c r="BS114" s="566" t="s">
        <v>127</v>
      </c>
      <c r="BT114" s="576">
        <v>1.8</v>
      </c>
      <c r="BV114" s="627" t="s">
        <v>814</v>
      </c>
      <c r="BW114" s="628">
        <f>MIN(BP107:BP124,BP126:BP143)</f>
        <v>-0.754</v>
      </c>
      <c r="BY114" s="585" t="s">
        <v>800</v>
      </c>
      <c r="BZ114" s="585" t="s">
        <v>801</v>
      </c>
      <c r="DD114" s="561"/>
      <c r="DE114" s="577"/>
      <c r="DF114" s="562">
        <v>0.19</v>
      </c>
      <c r="DG114" s="577"/>
      <c r="DH114" s="577"/>
      <c r="DI114" s="577"/>
      <c r="DJ114" s="577"/>
      <c r="DK114" s="577"/>
      <c r="DL114" s="577"/>
      <c r="DM114" s="577"/>
      <c r="DN114" s="577"/>
      <c r="DO114" s="599"/>
      <c r="DP114" s="599"/>
      <c r="DQ114" s="600"/>
      <c r="DR114" s="600"/>
      <c r="DS114" s="577"/>
      <c r="DT114" s="577"/>
      <c r="DU114" s="577"/>
    </row>
    <row r="115" spans="1:125" s="560" customFormat="1">
      <c r="C115" s="560">
        <v>0.85</v>
      </c>
      <c r="N115" s="585" t="s">
        <v>780</v>
      </c>
      <c r="O115" s="585" t="s">
        <v>616</v>
      </c>
      <c r="P115" s="561"/>
      <c r="Q115" s="562"/>
      <c r="R115" s="562">
        <v>0.45</v>
      </c>
      <c r="S115" s="562"/>
      <c r="T115" s="562"/>
      <c r="U115" s="562"/>
      <c r="V115" s="562"/>
      <c r="W115" s="562"/>
      <c r="X115" s="562"/>
      <c r="Y115" s="562"/>
      <c r="Z115" s="562"/>
      <c r="AA115" s="562"/>
      <c r="AB115" s="562"/>
      <c r="AC115" s="562"/>
      <c r="AD115" s="563"/>
      <c r="AE115" s="561"/>
      <c r="AF115" s="568">
        <v>1</v>
      </c>
      <c r="AG115" s="562"/>
      <c r="AH115" s="569"/>
      <c r="AI115" s="577"/>
      <c r="AJ115" s="577"/>
      <c r="AK115" s="577">
        <v>1</v>
      </c>
      <c r="AL115" s="577"/>
      <c r="AM115" s="577"/>
      <c r="AN115" s="562">
        <v>2.5</v>
      </c>
      <c r="AO115" s="562">
        <f t="shared" ref="AO115:AO137" si="26">AN115+AN115</f>
        <v>5</v>
      </c>
      <c r="AP115" s="598">
        <v>0.15625</v>
      </c>
      <c r="AQ115" s="599">
        <v>4.55</v>
      </c>
      <c r="AR115" s="599">
        <f t="shared" ref="AR115:AR137" si="27">AO115-AQ115</f>
        <v>0.45000000000000018</v>
      </c>
      <c r="AS115" s="600"/>
      <c r="AT115" s="600">
        <v>1</v>
      </c>
      <c r="AU115" s="577" t="s">
        <v>778</v>
      </c>
      <c r="AV115" s="609"/>
      <c r="AW115" s="562"/>
      <c r="AX115" s="562"/>
      <c r="AY115" s="562"/>
      <c r="AZ115" s="562"/>
      <c r="BA115" s="607" t="s">
        <v>780</v>
      </c>
      <c r="BB115" s="608" t="s">
        <v>616</v>
      </c>
      <c r="BD115" s="576">
        <v>9</v>
      </c>
      <c r="BE115" s="576"/>
      <c r="BF115" s="576"/>
      <c r="BG115" s="576"/>
      <c r="BH115" s="576"/>
      <c r="BI115" s="576">
        <v>1</v>
      </c>
      <c r="BJ115" s="576"/>
      <c r="BK115" s="576"/>
      <c r="BL115" s="671">
        <f t="shared" si="25"/>
        <v>1.9260000000000002</v>
      </c>
      <c r="BM115" s="611">
        <f t="shared" si="23"/>
        <v>3.8520000000000003</v>
      </c>
      <c r="BN115" s="576" t="s">
        <v>779</v>
      </c>
      <c r="BO115" s="611">
        <v>3.75</v>
      </c>
      <c r="BP115" s="611">
        <f t="shared" si="24"/>
        <v>0.10200000000000031</v>
      </c>
      <c r="BQ115" s="612"/>
      <c r="BR115" s="612">
        <v>1</v>
      </c>
      <c r="BS115" s="566" t="s">
        <v>127</v>
      </c>
      <c r="BT115" s="576">
        <v>1.8</v>
      </c>
      <c r="BV115" s="627" t="s">
        <v>817</v>
      </c>
      <c r="BW115" s="628">
        <f>AVERAGE(BP107:BP124,BP126:BP142)</f>
        <v>5.4171428571428648E-2</v>
      </c>
      <c r="BY115" s="585" t="s">
        <v>804</v>
      </c>
      <c r="BZ115" s="585" t="s">
        <v>805</v>
      </c>
      <c r="DD115" s="561"/>
      <c r="DE115" s="577"/>
      <c r="DF115" s="562">
        <v>0.17</v>
      </c>
      <c r="DG115" s="577"/>
      <c r="DH115" s="577"/>
      <c r="DI115" s="577"/>
      <c r="DJ115" s="577"/>
      <c r="DK115" s="577"/>
      <c r="DL115" s="577"/>
      <c r="DM115" s="577"/>
      <c r="DN115" s="577"/>
      <c r="DO115" s="599"/>
      <c r="DP115" s="599"/>
      <c r="DQ115" s="600"/>
      <c r="DR115" s="600"/>
      <c r="DS115" s="577"/>
      <c r="DT115" s="577"/>
      <c r="DU115" s="577"/>
    </row>
    <row r="116" spans="1:125" s="560" customFormat="1">
      <c r="C116" s="560">
        <v>1</v>
      </c>
      <c r="N116" s="585" t="s">
        <v>785</v>
      </c>
      <c r="O116" s="585" t="s">
        <v>542</v>
      </c>
      <c r="P116" s="561"/>
      <c r="Q116" s="562"/>
      <c r="R116" s="562">
        <v>0.44</v>
      </c>
      <c r="S116" s="562"/>
      <c r="T116" s="562"/>
      <c r="U116" s="562"/>
      <c r="V116" s="562"/>
      <c r="W116" s="562"/>
      <c r="X116" s="562"/>
      <c r="Y116" s="562"/>
      <c r="Z116" s="562"/>
      <c r="AA116" s="562"/>
      <c r="AB116" s="562"/>
      <c r="AC116" s="562"/>
      <c r="AD116" s="563"/>
      <c r="AE116" s="561"/>
      <c r="AF116" s="568">
        <v>2</v>
      </c>
      <c r="AG116" s="562"/>
      <c r="AH116" s="577"/>
      <c r="AI116" s="577"/>
      <c r="AJ116" s="577"/>
      <c r="AK116" s="577">
        <v>1</v>
      </c>
      <c r="AL116" s="577"/>
      <c r="AM116" s="577"/>
      <c r="AN116" s="562">
        <v>2.4500000000000002</v>
      </c>
      <c r="AO116" s="562">
        <f t="shared" si="26"/>
        <v>4.9000000000000004</v>
      </c>
      <c r="AP116" s="598">
        <v>0.15625</v>
      </c>
      <c r="AQ116" s="599">
        <v>4.5316666666666663</v>
      </c>
      <c r="AR116" s="599">
        <f t="shared" si="27"/>
        <v>0.36833333333333407</v>
      </c>
      <c r="AS116" s="600"/>
      <c r="AT116" s="600">
        <v>1</v>
      </c>
      <c r="AU116" s="577" t="s">
        <v>778</v>
      </c>
      <c r="AV116" s="584"/>
      <c r="AW116" s="562"/>
      <c r="AX116" s="562"/>
      <c r="AY116" s="562"/>
      <c r="AZ116" s="562"/>
      <c r="BA116" s="607" t="s">
        <v>785</v>
      </c>
      <c r="BB116" s="608" t="s">
        <v>542</v>
      </c>
      <c r="BD116" s="576">
        <v>10</v>
      </c>
      <c r="BE116" s="576"/>
      <c r="BF116" s="576"/>
      <c r="BG116" s="576"/>
      <c r="BH116" s="576"/>
      <c r="BI116" s="576">
        <v>1</v>
      </c>
      <c r="BJ116" s="576"/>
      <c r="BK116" s="576"/>
      <c r="BL116" s="671">
        <f t="shared" si="25"/>
        <v>1.819</v>
      </c>
      <c r="BM116" s="611">
        <f t="shared" si="23"/>
        <v>3.6379999999999999</v>
      </c>
      <c r="BN116" s="576" t="s">
        <v>779</v>
      </c>
      <c r="BO116" s="611">
        <v>3.75</v>
      </c>
      <c r="BP116" s="611">
        <f t="shared" si="24"/>
        <v>-0.1120000000000001</v>
      </c>
      <c r="BQ116" s="612"/>
      <c r="BR116" s="612">
        <v>1</v>
      </c>
      <c r="BS116" s="566" t="s">
        <v>127</v>
      </c>
      <c r="BT116" s="576">
        <v>1.7</v>
      </c>
      <c r="BV116" s="627" t="s">
        <v>818</v>
      </c>
      <c r="BW116" s="627">
        <f>STDEV(BP107:BP124,BP126:BP142)</f>
        <v>0.21599965764056275</v>
      </c>
      <c r="BY116" s="585" t="s">
        <v>807</v>
      </c>
      <c r="BZ116" s="585" t="s">
        <v>808</v>
      </c>
      <c r="DD116" s="561"/>
      <c r="DE116" s="577"/>
      <c r="DF116" s="562">
        <v>0.24</v>
      </c>
      <c r="DG116" s="577"/>
      <c r="DH116" s="577"/>
      <c r="DI116" s="577"/>
      <c r="DJ116" s="577"/>
      <c r="DK116" s="577"/>
      <c r="DL116" s="577"/>
      <c r="DM116" s="577"/>
      <c r="DN116" s="577"/>
      <c r="DO116" s="599"/>
      <c r="DP116" s="599"/>
      <c r="DQ116" s="600"/>
      <c r="DR116" s="600"/>
      <c r="DS116" s="577"/>
      <c r="DT116" s="577"/>
      <c r="DU116" s="577"/>
    </row>
    <row r="117" spans="1:125" s="560" customFormat="1">
      <c r="C117" s="560">
        <v>1</v>
      </c>
      <c r="N117" s="585" t="s">
        <v>789</v>
      </c>
      <c r="O117" s="585" t="s">
        <v>790</v>
      </c>
      <c r="P117" s="561"/>
      <c r="Q117" s="562"/>
      <c r="R117" s="562">
        <v>0.44</v>
      </c>
      <c r="S117" s="562"/>
      <c r="T117" s="562"/>
      <c r="U117" s="562"/>
      <c r="V117" s="562"/>
      <c r="W117" s="562"/>
      <c r="X117" s="562"/>
      <c r="Y117" s="562"/>
      <c r="Z117" s="562"/>
      <c r="AA117" s="562"/>
      <c r="AB117" s="562"/>
      <c r="AC117" s="562"/>
      <c r="AD117" s="563"/>
      <c r="AE117" s="561"/>
      <c r="AF117" s="568">
        <v>3</v>
      </c>
      <c r="AG117" s="562"/>
      <c r="AH117" s="577"/>
      <c r="AI117" s="577"/>
      <c r="AJ117" s="577"/>
      <c r="AK117" s="577">
        <v>1</v>
      </c>
      <c r="AL117" s="577"/>
      <c r="AM117" s="577"/>
      <c r="AN117" s="562">
        <v>2.4</v>
      </c>
      <c r="AO117" s="562">
        <f t="shared" si="26"/>
        <v>4.8</v>
      </c>
      <c r="AP117" s="598">
        <v>0.15625</v>
      </c>
      <c r="AQ117" s="599">
        <v>4.5133333333333336</v>
      </c>
      <c r="AR117" s="599">
        <f t="shared" si="27"/>
        <v>0.28666666666666618</v>
      </c>
      <c r="AS117" s="600"/>
      <c r="AT117" s="600">
        <v>1</v>
      </c>
      <c r="AU117" s="577" t="s">
        <v>778</v>
      </c>
      <c r="AV117" s="584"/>
      <c r="AW117" s="562"/>
      <c r="AX117" s="562"/>
      <c r="AY117" s="562"/>
      <c r="AZ117" s="562"/>
      <c r="BA117" s="607" t="s">
        <v>789</v>
      </c>
      <c r="BB117" s="608" t="s">
        <v>790</v>
      </c>
      <c r="BD117" s="576">
        <v>11</v>
      </c>
      <c r="BE117" s="576"/>
      <c r="BF117" s="576"/>
      <c r="BG117" s="576"/>
      <c r="BH117" s="576"/>
      <c r="BI117" s="576">
        <v>1</v>
      </c>
      <c r="BJ117" s="576"/>
      <c r="BK117" s="576"/>
      <c r="BL117" s="671">
        <f t="shared" si="25"/>
        <v>1.7120000000000002</v>
      </c>
      <c r="BM117" s="611">
        <f t="shared" si="23"/>
        <v>3.4240000000000004</v>
      </c>
      <c r="BN117" s="576" t="s">
        <v>779</v>
      </c>
      <c r="BO117" s="611">
        <v>3.75</v>
      </c>
      <c r="BP117" s="611">
        <f t="shared" si="24"/>
        <v>-0.32599999999999962</v>
      </c>
      <c r="BQ117" s="612"/>
      <c r="BR117" s="612">
        <v>1</v>
      </c>
      <c r="BS117" s="566" t="s">
        <v>127</v>
      </c>
      <c r="BT117" s="576">
        <v>1.6</v>
      </c>
      <c r="BY117" s="585" t="s">
        <v>810</v>
      </c>
      <c r="BZ117" s="585" t="s">
        <v>550</v>
      </c>
      <c r="DD117" s="561"/>
      <c r="DE117" s="577"/>
      <c r="DF117" s="562">
        <v>0.4</v>
      </c>
      <c r="DG117" s="577"/>
      <c r="DH117" s="577"/>
      <c r="DI117" s="577"/>
      <c r="DJ117" s="577"/>
      <c r="DK117" s="577"/>
      <c r="DL117" s="577"/>
      <c r="DM117" s="577"/>
      <c r="DN117" s="577"/>
      <c r="DO117" s="599"/>
      <c r="DP117" s="599"/>
      <c r="DQ117" s="600"/>
      <c r="DR117" s="600"/>
      <c r="DS117" s="577"/>
      <c r="DT117" s="577"/>
      <c r="DU117" s="577"/>
    </row>
    <row r="118" spans="1:125" s="560" customFormat="1">
      <c r="C118" s="560">
        <v>1.1000000000000001</v>
      </c>
      <c r="N118" s="585" t="s">
        <v>791</v>
      </c>
      <c r="O118" s="585" t="s">
        <v>792</v>
      </c>
      <c r="P118" s="561"/>
      <c r="Q118" s="562"/>
      <c r="R118" s="562">
        <v>0.45</v>
      </c>
      <c r="S118" s="562"/>
      <c r="T118" s="562"/>
      <c r="U118" s="562"/>
      <c r="V118" s="562"/>
      <c r="W118" s="562"/>
      <c r="X118" s="562"/>
      <c r="Y118" s="562"/>
      <c r="Z118" s="562"/>
      <c r="AA118" s="562"/>
      <c r="AB118" s="562"/>
      <c r="AC118" s="562"/>
      <c r="AD118" s="563"/>
      <c r="AE118" s="561"/>
      <c r="AF118" s="568">
        <v>4</v>
      </c>
      <c r="AG118" s="562"/>
      <c r="AH118" s="577"/>
      <c r="AI118" s="577"/>
      <c r="AJ118" s="577"/>
      <c r="AK118" s="577">
        <v>1</v>
      </c>
      <c r="AL118" s="577"/>
      <c r="AM118" s="577"/>
      <c r="AN118" s="562">
        <v>2.4</v>
      </c>
      <c r="AO118" s="562">
        <f t="shared" si="26"/>
        <v>4.8</v>
      </c>
      <c r="AP118" s="598">
        <v>0.15625</v>
      </c>
      <c r="AQ118" s="599">
        <v>4.4950000000000001</v>
      </c>
      <c r="AR118" s="599">
        <f t="shared" si="27"/>
        <v>0.30499999999999972</v>
      </c>
      <c r="AS118" s="600"/>
      <c r="AT118" s="600">
        <v>1</v>
      </c>
      <c r="AU118" s="577" t="s">
        <v>778</v>
      </c>
      <c r="AV118" s="584"/>
      <c r="AW118" s="562"/>
      <c r="AX118" s="562"/>
      <c r="AY118" s="562"/>
      <c r="AZ118" s="562"/>
      <c r="BA118" s="607" t="s">
        <v>791</v>
      </c>
      <c r="BB118" s="608" t="s">
        <v>792</v>
      </c>
      <c r="BD118" s="576">
        <v>12</v>
      </c>
      <c r="BE118" s="576"/>
      <c r="BF118" s="576"/>
      <c r="BG118" s="576"/>
      <c r="BH118" s="576"/>
      <c r="BI118" s="576">
        <v>1</v>
      </c>
      <c r="BJ118" s="576"/>
      <c r="BK118" s="576"/>
      <c r="BL118" s="671">
        <f t="shared" si="25"/>
        <v>2.0329999999999999</v>
      </c>
      <c r="BM118" s="611">
        <f t="shared" si="23"/>
        <v>4.0659999999999998</v>
      </c>
      <c r="BN118" s="576" t="s">
        <v>779</v>
      </c>
      <c r="BO118" s="611">
        <v>3.75</v>
      </c>
      <c r="BP118" s="611">
        <f t="shared" si="24"/>
        <v>0.31599999999999984</v>
      </c>
      <c r="BQ118" s="612"/>
      <c r="BR118" s="612">
        <v>1</v>
      </c>
      <c r="BS118" s="566" t="s">
        <v>127</v>
      </c>
      <c r="BT118" s="576">
        <v>1.9</v>
      </c>
      <c r="BY118" s="585" t="s">
        <v>813</v>
      </c>
      <c r="BZ118" s="585" t="s">
        <v>552</v>
      </c>
      <c r="DD118" s="561"/>
      <c r="DE118" s="577" t="s">
        <v>913</v>
      </c>
      <c r="DF118" s="562">
        <v>1.1499999999999999</v>
      </c>
      <c r="DG118" s="577"/>
      <c r="DH118" s="577"/>
      <c r="DI118" s="577"/>
      <c r="DJ118" s="577"/>
      <c r="DK118" s="577"/>
      <c r="DL118" s="577"/>
      <c r="DM118" s="577"/>
      <c r="DN118" s="577"/>
      <c r="DO118" s="599"/>
      <c r="DP118" s="599"/>
      <c r="DQ118" s="600"/>
      <c r="DR118" s="600"/>
      <c r="DS118" s="577"/>
      <c r="DT118" s="577"/>
      <c r="DU118" s="577"/>
    </row>
    <row r="119" spans="1:125" s="560" customFormat="1">
      <c r="C119" s="560">
        <v>1.1000000000000001</v>
      </c>
      <c r="N119" s="585" t="s">
        <v>794</v>
      </c>
      <c r="O119" s="585" t="s">
        <v>795</v>
      </c>
      <c r="P119" s="561"/>
      <c r="Q119" s="562"/>
      <c r="R119" s="562">
        <f>+(R118+R120)/2</f>
        <v>0.45500000000000002</v>
      </c>
      <c r="S119" s="562"/>
      <c r="T119" s="562"/>
      <c r="U119" s="562"/>
      <c r="V119" s="562"/>
      <c r="W119" s="562"/>
      <c r="X119" s="562"/>
      <c r="Y119" s="562"/>
      <c r="Z119" s="562"/>
      <c r="AA119" s="562"/>
      <c r="AB119" s="562"/>
      <c r="AC119" s="562"/>
      <c r="AD119" s="563"/>
      <c r="AE119" s="561"/>
      <c r="AF119" s="568">
        <v>5</v>
      </c>
      <c r="AG119" s="562"/>
      <c r="AH119" s="577"/>
      <c r="AI119" s="577"/>
      <c r="AJ119" s="577"/>
      <c r="AK119" s="577">
        <v>1</v>
      </c>
      <c r="AL119" s="577"/>
      <c r="AM119" s="577"/>
      <c r="AN119" s="562">
        <v>2.4</v>
      </c>
      <c r="AO119" s="562">
        <f t="shared" si="26"/>
        <v>4.8</v>
      </c>
      <c r="AP119" s="598">
        <v>0.15625</v>
      </c>
      <c r="AQ119" s="599">
        <v>4.4766666666666666</v>
      </c>
      <c r="AR119" s="599">
        <f t="shared" si="27"/>
        <v>0.32333333333333325</v>
      </c>
      <c r="AS119" s="600"/>
      <c r="AT119" s="600">
        <v>1</v>
      </c>
      <c r="AU119" s="577" t="s">
        <v>778</v>
      </c>
      <c r="AV119" s="577"/>
      <c r="AW119" s="562"/>
      <c r="AX119" s="562"/>
      <c r="AY119" s="562"/>
      <c r="AZ119" s="562"/>
      <c r="BA119" s="607" t="s">
        <v>794</v>
      </c>
      <c r="BB119" s="608" t="s">
        <v>795</v>
      </c>
      <c r="BD119" s="576">
        <v>13</v>
      </c>
      <c r="BE119" s="576"/>
      <c r="BF119" s="576"/>
      <c r="BG119" s="576"/>
      <c r="BH119" s="576"/>
      <c r="BI119" s="576">
        <v>1</v>
      </c>
      <c r="BJ119" s="576"/>
      <c r="BK119" s="576"/>
      <c r="BL119" s="671">
        <f t="shared" si="25"/>
        <v>1.9260000000000002</v>
      </c>
      <c r="BM119" s="611">
        <f t="shared" si="23"/>
        <v>3.8520000000000003</v>
      </c>
      <c r="BN119" s="576" t="s">
        <v>779</v>
      </c>
      <c r="BO119" s="611">
        <v>3.75</v>
      </c>
      <c r="BP119" s="611">
        <f t="shared" si="24"/>
        <v>0.10200000000000031</v>
      </c>
      <c r="BQ119" s="612"/>
      <c r="BR119" s="612">
        <v>1</v>
      </c>
      <c r="BS119" s="566" t="s">
        <v>127</v>
      </c>
      <c r="BT119" s="576">
        <v>1.8</v>
      </c>
      <c r="BY119" s="585" t="s">
        <v>815</v>
      </c>
      <c r="BZ119" s="585" t="s">
        <v>816</v>
      </c>
      <c r="DD119" s="561"/>
      <c r="DE119" s="562"/>
      <c r="DF119" s="562">
        <v>0.6</v>
      </c>
      <c r="DG119" s="562"/>
      <c r="DH119" s="562"/>
      <c r="DI119" s="562"/>
      <c r="DJ119" s="562"/>
      <c r="DK119" s="562"/>
      <c r="DL119" s="562"/>
      <c r="DM119" s="562"/>
      <c r="DN119" s="562"/>
      <c r="DO119" s="649"/>
      <c r="DP119" s="599"/>
      <c r="DQ119" s="657"/>
      <c r="DR119" s="657"/>
      <c r="DS119" s="562"/>
      <c r="DT119" s="562"/>
      <c r="DU119" s="562"/>
    </row>
    <row r="120" spans="1:125" s="560" customFormat="1">
      <c r="C120" s="560">
        <v>1.2</v>
      </c>
      <c r="N120" s="585" t="s">
        <v>798</v>
      </c>
      <c r="O120" s="585" t="s">
        <v>546</v>
      </c>
      <c r="P120" s="561"/>
      <c r="Q120" s="562"/>
      <c r="R120" s="562">
        <v>0.46</v>
      </c>
      <c r="S120" s="562"/>
      <c r="T120" s="562"/>
      <c r="U120" s="562"/>
      <c r="V120" s="562"/>
      <c r="W120" s="562"/>
      <c r="X120" s="562"/>
      <c r="Y120" s="562"/>
      <c r="Z120" s="562"/>
      <c r="AA120" s="562"/>
      <c r="AB120" s="562"/>
      <c r="AC120" s="562"/>
      <c r="AD120" s="563"/>
      <c r="AE120" s="561"/>
      <c r="AF120" s="568">
        <v>6</v>
      </c>
      <c r="AG120" s="562"/>
      <c r="AH120" s="577">
        <v>0.1</v>
      </c>
      <c r="AI120" s="577" t="s">
        <v>777</v>
      </c>
      <c r="AJ120" s="577">
        <v>1</v>
      </c>
      <c r="AK120" s="577"/>
      <c r="AL120" s="577"/>
      <c r="AM120" s="577"/>
      <c r="AN120" s="562">
        <v>2.4</v>
      </c>
      <c r="AO120" s="562">
        <f t="shared" si="26"/>
        <v>4.8</v>
      </c>
      <c r="AP120" s="598">
        <v>0.15625</v>
      </c>
      <c r="AQ120" s="599">
        <v>4.458333333333333</v>
      </c>
      <c r="AR120" s="599">
        <f t="shared" si="27"/>
        <v>0.34166666666666679</v>
      </c>
      <c r="AS120" s="600"/>
      <c r="AT120" s="600">
        <v>1</v>
      </c>
      <c r="AU120" s="577" t="s">
        <v>778</v>
      </c>
      <c r="AV120" s="577">
        <v>1622</v>
      </c>
      <c r="AW120" s="562"/>
      <c r="AX120" s="562"/>
      <c r="AY120" s="562"/>
      <c r="AZ120" s="562"/>
      <c r="BA120" s="607" t="s">
        <v>798</v>
      </c>
      <c r="BB120" s="608" t="s">
        <v>546</v>
      </c>
      <c r="BD120" s="576">
        <v>14</v>
      </c>
      <c r="BI120" s="576">
        <v>1</v>
      </c>
      <c r="BJ120" s="576"/>
      <c r="BK120" s="576"/>
      <c r="BL120" s="671">
        <f t="shared" si="25"/>
        <v>2.0329999999999999</v>
      </c>
      <c r="BM120" s="611">
        <f t="shared" si="23"/>
        <v>4.0659999999999998</v>
      </c>
      <c r="BN120" s="576" t="s">
        <v>779</v>
      </c>
      <c r="BO120" s="611">
        <v>3.75</v>
      </c>
      <c r="BP120" s="611">
        <f t="shared" si="24"/>
        <v>0.31599999999999984</v>
      </c>
      <c r="BQ120" s="612"/>
      <c r="BR120" s="612">
        <v>1</v>
      </c>
      <c r="BS120" s="566" t="s">
        <v>127</v>
      </c>
      <c r="BT120" s="576">
        <v>1.9</v>
      </c>
      <c r="DD120" s="561"/>
      <c r="DE120" s="562"/>
      <c r="DF120" s="562">
        <v>0.42</v>
      </c>
      <c r="DG120" s="562"/>
      <c r="DH120" s="562"/>
      <c r="DI120" s="562"/>
      <c r="DJ120" s="562"/>
      <c r="DK120" s="562"/>
      <c r="DL120" s="562"/>
      <c r="DM120" s="562"/>
      <c r="DN120" s="562"/>
      <c r="DO120" s="649"/>
      <c r="DP120" s="599"/>
      <c r="DQ120" s="657"/>
      <c r="DR120" s="657"/>
      <c r="DS120" s="562"/>
      <c r="DT120" s="562"/>
      <c r="DU120" s="562"/>
    </row>
    <row r="121" spans="1:125" s="560" customFormat="1">
      <c r="C121" s="560">
        <v>1.3</v>
      </c>
      <c r="N121" s="585" t="s">
        <v>800</v>
      </c>
      <c r="O121" s="585" t="s">
        <v>801</v>
      </c>
      <c r="P121" s="561"/>
      <c r="Q121" s="562"/>
      <c r="R121" s="562">
        <v>0.45</v>
      </c>
      <c r="S121" s="562"/>
      <c r="T121" s="562"/>
      <c r="U121" s="562"/>
      <c r="V121" s="562"/>
      <c r="W121" s="562"/>
      <c r="X121" s="562"/>
      <c r="Y121" s="562"/>
      <c r="Z121" s="562"/>
      <c r="AA121" s="562"/>
      <c r="AB121" s="562"/>
      <c r="AC121" s="562"/>
      <c r="AD121" s="563"/>
      <c r="AE121" s="561"/>
      <c r="AF121" s="562" t="s">
        <v>778</v>
      </c>
      <c r="AG121" s="562"/>
      <c r="AH121" s="577">
        <v>0.5</v>
      </c>
      <c r="AI121" s="577" t="s">
        <v>793</v>
      </c>
      <c r="AJ121" s="577"/>
      <c r="AK121" s="577">
        <v>1</v>
      </c>
      <c r="AL121" s="577"/>
      <c r="AM121" s="577">
        <v>1</v>
      </c>
      <c r="AN121" s="562">
        <v>2.25</v>
      </c>
      <c r="AO121" s="562">
        <f t="shared" si="26"/>
        <v>4.5</v>
      </c>
      <c r="AP121" s="598">
        <v>0.15625</v>
      </c>
      <c r="AQ121" s="599">
        <v>4.4400000000000004</v>
      </c>
      <c r="AR121" s="599">
        <f t="shared" si="27"/>
        <v>5.9999999999999609E-2</v>
      </c>
      <c r="AS121" s="600"/>
      <c r="AT121" s="600">
        <v>1</v>
      </c>
      <c r="AU121" s="577" t="s">
        <v>778</v>
      </c>
      <c r="AV121" s="577">
        <v>1623</v>
      </c>
      <c r="AW121" s="562"/>
      <c r="AX121" s="562"/>
      <c r="AY121" s="562"/>
      <c r="AZ121" s="562"/>
      <c r="BA121" s="607" t="s">
        <v>800</v>
      </c>
      <c r="BB121" s="608" t="s">
        <v>801</v>
      </c>
      <c r="BD121" s="576">
        <v>15</v>
      </c>
      <c r="BI121" s="576">
        <v>1</v>
      </c>
      <c r="BJ121" s="576"/>
      <c r="BK121" s="576"/>
      <c r="BL121" s="671">
        <f t="shared" si="25"/>
        <v>1.819</v>
      </c>
      <c r="BM121" s="611">
        <f t="shared" si="23"/>
        <v>3.6379999999999999</v>
      </c>
      <c r="BN121" s="576" t="s">
        <v>779</v>
      </c>
      <c r="BO121" s="611">
        <v>3.75</v>
      </c>
      <c r="BP121" s="611">
        <f t="shared" si="24"/>
        <v>-0.1120000000000001</v>
      </c>
      <c r="BQ121" s="612"/>
      <c r="BR121" s="612">
        <v>1</v>
      </c>
      <c r="BS121" s="566" t="s">
        <v>127</v>
      </c>
      <c r="BT121" s="576">
        <v>1.7</v>
      </c>
      <c r="DD121" s="561"/>
      <c r="DE121" s="562"/>
      <c r="DF121" s="562">
        <v>0.2</v>
      </c>
      <c r="DG121" s="562"/>
      <c r="DH121" s="562"/>
      <c r="DI121" s="562"/>
      <c r="DJ121" s="562"/>
      <c r="DK121" s="562"/>
      <c r="DL121" s="562"/>
      <c r="DM121" s="562"/>
      <c r="DN121" s="562"/>
      <c r="DO121" s="649"/>
      <c r="DP121" s="599"/>
      <c r="DQ121" s="657"/>
      <c r="DR121" s="657"/>
      <c r="DS121" s="562"/>
      <c r="DT121" s="562"/>
      <c r="DU121" s="562"/>
    </row>
    <row r="122" spans="1:125" s="560" customFormat="1">
      <c r="C122" s="560">
        <v>1.3</v>
      </c>
      <c r="N122" s="585" t="s">
        <v>804</v>
      </c>
      <c r="O122" s="585" t="s">
        <v>805</v>
      </c>
      <c r="P122" s="561"/>
      <c r="Q122" s="562"/>
      <c r="R122" s="562">
        <v>0.5</v>
      </c>
      <c r="S122" s="562"/>
      <c r="T122" s="562"/>
      <c r="U122" s="562"/>
      <c r="V122" s="562"/>
      <c r="W122" s="562"/>
      <c r="X122" s="562"/>
      <c r="Y122" s="562"/>
      <c r="Z122" s="562"/>
      <c r="AA122" s="562"/>
      <c r="AB122" s="562"/>
      <c r="AC122" s="562"/>
      <c r="AD122" s="563"/>
      <c r="AE122" s="561"/>
      <c r="AF122" s="568">
        <v>7</v>
      </c>
      <c r="AG122" s="562"/>
      <c r="AH122" s="577"/>
      <c r="AI122" s="577"/>
      <c r="AJ122" s="577"/>
      <c r="AK122" s="577">
        <v>1</v>
      </c>
      <c r="AL122" s="577"/>
      <c r="AM122" s="577"/>
      <c r="AN122" s="562">
        <v>2.2999999999999998</v>
      </c>
      <c r="AO122" s="562">
        <f t="shared" si="26"/>
        <v>4.5999999999999996</v>
      </c>
      <c r="AP122" s="598">
        <v>0.15625</v>
      </c>
      <c r="AQ122" s="599">
        <v>4.4216666666666669</v>
      </c>
      <c r="AR122" s="599">
        <f t="shared" si="27"/>
        <v>0.17833333333333279</v>
      </c>
      <c r="AS122" s="600"/>
      <c r="AT122" s="600">
        <v>1</v>
      </c>
      <c r="AU122" s="577" t="s">
        <v>778</v>
      </c>
      <c r="AV122" s="577"/>
      <c r="AW122" s="562"/>
      <c r="AX122" s="562"/>
      <c r="AY122" s="562"/>
      <c r="AZ122" s="562"/>
      <c r="BA122" s="607" t="s">
        <v>804</v>
      </c>
      <c r="BB122" s="608" t="s">
        <v>805</v>
      </c>
      <c r="BD122" s="576">
        <v>16</v>
      </c>
      <c r="BI122" s="576">
        <v>1</v>
      </c>
      <c r="BJ122" s="576"/>
      <c r="BK122" s="576"/>
      <c r="BL122" s="671">
        <f t="shared" si="25"/>
        <v>1.819</v>
      </c>
      <c r="BM122" s="611">
        <f t="shared" si="23"/>
        <v>3.6379999999999999</v>
      </c>
      <c r="BN122" s="576" t="s">
        <v>779</v>
      </c>
      <c r="BO122" s="611">
        <v>3.75</v>
      </c>
      <c r="BP122" s="611">
        <f t="shared" si="24"/>
        <v>-0.1120000000000001</v>
      </c>
      <c r="BQ122" s="612"/>
      <c r="BR122" s="612">
        <v>1</v>
      </c>
      <c r="BS122" s="566" t="s">
        <v>127</v>
      </c>
      <c r="BT122" s="576">
        <v>1.7</v>
      </c>
      <c r="DD122" s="561"/>
      <c r="DE122" s="562"/>
      <c r="DF122" s="562">
        <v>0.15</v>
      </c>
      <c r="DG122" s="562"/>
      <c r="DH122" s="562"/>
      <c r="DI122" s="562"/>
      <c r="DJ122" s="562"/>
      <c r="DK122" s="562"/>
      <c r="DL122" s="562"/>
      <c r="DM122" s="562"/>
      <c r="DN122" s="562"/>
      <c r="DO122" s="649"/>
      <c r="DP122" s="599"/>
      <c r="DQ122" s="657"/>
      <c r="DR122" s="657"/>
      <c r="DS122" s="562"/>
      <c r="DT122" s="562"/>
      <c r="DU122" s="562"/>
    </row>
    <row r="123" spans="1:125" s="560" customFormat="1">
      <c r="C123" s="560">
        <v>1.25</v>
      </c>
      <c r="N123" s="585" t="s">
        <v>807</v>
      </c>
      <c r="O123" s="585" t="s">
        <v>808</v>
      </c>
      <c r="P123" s="561"/>
      <c r="Q123" s="562"/>
      <c r="R123" s="562">
        <v>0.5</v>
      </c>
      <c r="S123" s="562"/>
      <c r="T123" s="562"/>
      <c r="U123" s="562"/>
      <c r="V123" s="562"/>
      <c r="W123" s="562"/>
      <c r="X123" s="562"/>
      <c r="Y123" s="562"/>
      <c r="Z123" s="562"/>
      <c r="AA123" s="562"/>
      <c r="AB123" s="562"/>
      <c r="AC123" s="562"/>
      <c r="AD123" s="563"/>
      <c r="AE123" s="561"/>
      <c r="AF123" s="568">
        <v>8</v>
      </c>
      <c r="AG123" s="562"/>
      <c r="AH123" s="577"/>
      <c r="AI123" s="577"/>
      <c r="AJ123" s="577"/>
      <c r="AK123" s="577">
        <v>1</v>
      </c>
      <c r="AL123" s="577"/>
      <c r="AM123" s="577"/>
      <c r="AN123" s="562">
        <v>2.2999999999999998</v>
      </c>
      <c r="AO123" s="562">
        <f t="shared" si="26"/>
        <v>4.5999999999999996</v>
      </c>
      <c r="AP123" s="598">
        <v>0.15625</v>
      </c>
      <c r="AQ123" s="599">
        <v>4.4033333333333333</v>
      </c>
      <c r="AR123" s="599">
        <f t="shared" si="27"/>
        <v>0.19666666666666632</v>
      </c>
      <c r="AS123" s="600"/>
      <c r="AT123" s="600">
        <v>1</v>
      </c>
      <c r="AU123" s="577" t="s">
        <v>778</v>
      </c>
      <c r="AV123" s="577"/>
      <c r="AW123" s="562"/>
      <c r="AX123" s="562"/>
      <c r="AY123" s="562"/>
      <c r="AZ123" s="562"/>
      <c r="BA123" s="607" t="s">
        <v>807</v>
      </c>
      <c r="BB123" s="608" t="s">
        <v>808</v>
      </c>
      <c r="BD123" s="576">
        <v>17</v>
      </c>
      <c r="BI123" s="576">
        <v>1</v>
      </c>
      <c r="BJ123" s="576"/>
      <c r="BK123" s="576"/>
      <c r="BL123" s="671">
        <f t="shared" si="25"/>
        <v>1.819</v>
      </c>
      <c r="BM123" s="611">
        <f t="shared" si="23"/>
        <v>3.6379999999999999</v>
      </c>
      <c r="BN123" s="576" t="s">
        <v>779</v>
      </c>
      <c r="BO123" s="611">
        <v>3.75</v>
      </c>
      <c r="BP123" s="611">
        <f t="shared" si="24"/>
        <v>-0.1120000000000001</v>
      </c>
      <c r="BQ123" s="612"/>
      <c r="BR123" s="612">
        <v>1</v>
      </c>
      <c r="BS123" s="566" t="s">
        <v>127</v>
      </c>
      <c r="BT123" s="576">
        <v>1.7</v>
      </c>
      <c r="DD123" s="561"/>
      <c r="DE123" s="562"/>
      <c r="DF123" s="562">
        <v>0.15</v>
      </c>
      <c r="DG123" s="562"/>
      <c r="DH123" s="562"/>
      <c r="DI123" s="562"/>
      <c r="DJ123" s="562"/>
      <c r="DK123" s="562"/>
      <c r="DL123" s="562"/>
      <c r="DM123" s="562"/>
      <c r="DN123" s="562"/>
      <c r="DO123" s="649"/>
      <c r="DP123" s="599"/>
      <c r="DQ123" s="657"/>
      <c r="DR123" s="657"/>
      <c r="DS123" s="562"/>
      <c r="DT123" s="562"/>
      <c r="DU123" s="562"/>
    </row>
    <row r="124" spans="1:125" s="560" customFormat="1">
      <c r="C124" s="560">
        <v>1</v>
      </c>
      <c r="N124" s="585" t="s">
        <v>810</v>
      </c>
      <c r="O124" s="585" t="s">
        <v>550</v>
      </c>
      <c r="P124" s="561"/>
      <c r="Q124" s="562"/>
      <c r="R124" s="562">
        <v>0.5</v>
      </c>
      <c r="S124" s="562"/>
      <c r="T124" s="562"/>
      <c r="U124" s="562"/>
      <c r="V124" s="562"/>
      <c r="W124" s="562"/>
      <c r="X124" s="562"/>
      <c r="Y124" s="562"/>
      <c r="Z124" s="562"/>
      <c r="AA124" s="562"/>
      <c r="AB124" s="562"/>
      <c r="AC124" s="562"/>
      <c r="AD124" s="563"/>
      <c r="AE124" s="561"/>
      <c r="AF124" s="568">
        <v>9</v>
      </c>
      <c r="AG124" s="562"/>
      <c r="AH124" s="577">
        <v>0.5</v>
      </c>
      <c r="AI124" s="577" t="s">
        <v>778</v>
      </c>
      <c r="AJ124" s="577">
        <v>1</v>
      </c>
      <c r="AK124" s="577"/>
      <c r="AL124" s="577"/>
      <c r="AM124" s="577"/>
      <c r="AN124" s="562">
        <v>2.25</v>
      </c>
      <c r="AO124" s="562">
        <f t="shared" si="26"/>
        <v>4.5</v>
      </c>
      <c r="AP124" s="598">
        <v>0.15625</v>
      </c>
      <c r="AQ124" s="599">
        <v>4.3849999999999998</v>
      </c>
      <c r="AR124" s="599">
        <f t="shared" si="27"/>
        <v>0.11500000000000021</v>
      </c>
      <c r="AS124" s="600"/>
      <c r="AT124" s="600">
        <v>1</v>
      </c>
      <c r="AU124" s="577" t="s">
        <v>778</v>
      </c>
      <c r="AV124" s="577">
        <v>1624</v>
      </c>
      <c r="AW124" s="562"/>
      <c r="AX124" s="625" t="s">
        <v>806</v>
      </c>
      <c r="AY124" s="562">
        <f>COUNT(AR115:AR145)</f>
        <v>30</v>
      </c>
      <c r="AZ124" s="562"/>
      <c r="BA124" s="607" t="s">
        <v>810</v>
      </c>
      <c r="BB124" s="608" t="s">
        <v>550</v>
      </c>
      <c r="BD124" s="576">
        <v>18</v>
      </c>
      <c r="BI124" s="576">
        <v>1</v>
      </c>
      <c r="BJ124" s="576"/>
      <c r="BK124" s="576"/>
      <c r="BL124" s="671">
        <f t="shared" si="25"/>
        <v>1.7120000000000002</v>
      </c>
      <c r="BM124" s="611">
        <f t="shared" si="23"/>
        <v>3.4240000000000004</v>
      </c>
      <c r="BN124" s="576" t="s">
        <v>779</v>
      </c>
      <c r="BO124" s="611">
        <v>3.75</v>
      </c>
      <c r="BP124" s="611">
        <f t="shared" si="24"/>
        <v>-0.32599999999999962</v>
      </c>
      <c r="BQ124" s="612"/>
      <c r="BR124" s="612">
        <v>1</v>
      </c>
      <c r="BS124" s="566" t="s">
        <v>127</v>
      </c>
      <c r="BT124" s="576">
        <v>1.6</v>
      </c>
      <c r="DD124" s="561"/>
      <c r="DE124" s="562"/>
      <c r="DF124" s="562">
        <v>0.2</v>
      </c>
      <c r="DG124" s="562"/>
      <c r="DH124" s="562"/>
      <c r="DI124" s="562"/>
      <c r="DJ124" s="562"/>
      <c r="DK124" s="562"/>
      <c r="DL124" s="562"/>
      <c r="DM124" s="562"/>
      <c r="DN124" s="562"/>
      <c r="DO124" s="649"/>
      <c r="DP124" s="599"/>
      <c r="DQ124" s="657"/>
      <c r="DR124" s="657"/>
      <c r="DS124" s="562"/>
      <c r="DT124" s="562"/>
      <c r="DU124" s="562"/>
    </row>
    <row r="125" spans="1:125" s="560" customFormat="1">
      <c r="C125" s="560">
        <v>1.1000000000000001</v>
      </c>
      <c r="N125" s="585" t="s">
        <v>813</v>
      </c>
      <c r="O125" s="585" t="s">
        <v>552</v>
      </c>
      <c r="P125" s="561"/>
      <c r="Q125" s="562"/>
      <c r="R125" s="562">
        <v>0.5</v>
      </c>
      <c r="S125" s="562"/>
      <c r="T125" s="562"/>
      <c r="U125" s="562"/>
      <c r="V125" s="562"/>
      <c r="W125" s="562"/>
      <c r="X125" s="562"/>
      <c r="Y125" s="562"/>
      <c r="Z125" s="562"/>
      <c r="AA125" s="562"/>
      <c r="AB125" s="562"/>
      <c r="AC125" s="562"/>
      <c r="AD125" s="563"/>
      <c r="AE125" s="561"/>
      <c r="AF125" s="568">
        <v>10</v>
      </c>
      <c r="AG125" s="562"/>
      <c r="AH125" s="577"/>
      <c r="AI125" s="577"/>
      <c r="AJ125" s="577"/>
      <c r="AK125" s="577">
        <v>1</v>
      </c>
      <c r="AL125" s="577"/>
      <c r="AM125" s="577"/>
      <c r="AN125" s="562">
        <v>1</v>
      </c>
      <c r="AO125" s="562">
        <f t="shared" si="26"/>
        <v>2</v>
      </c>
      <c r="AP125" s="598">
        <v>0.15625</v>
      </c>
      <c r="AQ125" s="599">
        <v>4.3666666666666671</v>
      </c>
      <c r="AR125" s="672">
        <f t="shared" si="27"/>
        <v>-2.3666666666666671</v>
      </c>
      <c r="AS125" s="600"/>
      <c r="AT125" s="600">
        <v>1</v>
      </c>
      <c r="AU125" s="577" t="s">
        <v>778</v>
      </c>
      <c r="AV125" s="577"/>
      <c r="AW125" s="562"/>
      <c r="AX125" s="625" t="s">
        <v>809</v>
      </c>
      <c r="AY125" s="649">
        <f>SUM(AR115:AR124,AR126:AR145)</f>
        <v>8.370000000000001</v>
      </c>
      <c r="AZ125" s="562"/>
      <c r="BA125" s="607" t="s">
        <v>813</v>
      </c>
      <c r="BB125" s="608" t="s">
        <v>552</v>
      </c>
      <c r="BD125" s="576">
        <v>19</v>
      </c>
      <c r="BI125" s="576">
        <v>1</v>
      </c>
      <c r="BJ125" s="576"/>
      <c r="BK125" s="576"/>
      <c r="BL125" s="671">
        <f t="shared" si="25"/>
        <v>1.3910000000000002</v>
      </c>
      <c r="BM125" s="611">
        <f t="shared" si="23"/>
        <v>2.7820000000000005</v>
      </c>
      <c r="BN125" s="576" t="s">
        <v>779</v>
      </c>
      <c r="BO125" s="611">
        <v>3.75</v>
      </c>
      <c r="BP125" s="611">
        <f t="shared" si="24"/>
        <v>-0.96799999999999953</v>
      </c>
      <c r="BQ125" s="612"/>
      <c r="BR125" s="612">
        <v>1</v>
      </c>
      <c r="BS125" s="566" t="s">
        <v>127</v>
      </c>
      <c r="BT125" s="576">
        <v>1.3</v>
      </c>
      <c r="DD125" s="561"/>
      <c r="DE125" s="577"/>
      <c r="DF125" s="562">
        <v>0.4</v>
      </c>
      <c r="DG125" s="562"/>
      <c r="DH125" s="562"/>
      <c r="DI125" s="562"/>
      <c r="DJ125" s="562"/>
      <c r="DK125" s="562"/>
      <c r="DL125" s="562"/>
      <c r="DM125" s="562"/>
      <c r="DN125" s="562"/>
      <c r="DO125" s="649"/>
      <c r="DP125" s="599"/>
      <c r="DQ125" s="657"/>
      <c r="DR125" s="657"/>
      <c r="DS125" s="562"/>
      <c r="DT125" s="562"/>
      <c r="DU125" s="562"/>
    </row>
    <row r="126" spans="1:125" s="560" customFormat="1">
      <c r="C126" s="560">
        <v>1.2</v>
      </c>
      <c r="N126" s="585" t="s">
        <v>815</v>
      </c>
      <c r="O126" s="585" t="s">
        <v>816</v>
      </c>
      <c r="P126" s="561"/>
      <c r="Q126" s="562"/>
      <c r="R126" s="562">
        <v>0.5</v>
      </c>
      <c r="S126" s="562"/>
      <c r="T126" s="562"/>
      <c r="U126" s="562"/>
      <c r="V126" s="562"/>
      <c r="W126" s="562"/>
      <c r="X126" s="562"/>
      <c r="Y126" s="562"/>
      <c r="Z126" s="562"/>
      <c r="AA126" s="562"/>
      <c r="AB126" s="562"/>
      <c r="AC126" s="562"/>
      <c r="AD126" s="563"/>
      <c r="AE126" s="561"/>
      <c r="AF126" s="568">
        <v>11</v>
      </c>
      <c r="AG126" s="562"/>
      <c r="AH126" s="577">
        <v>2</v>
      </c>
      <c r="AI126" s="577" t="s">
        <v>793</v>
      </c>
      <c r="AJ126" s="577"/>
      <c r="AK126" s="577">
        <v>1</v>
      </c>
      <c r="AL126" s="577"/>
      <c r="AM126" s="577">
        <v>1</v>
      </c>
      <c r="AN126" s="562">
        <v>2.4</v>
      </c>
      <c r="AO126" s="562">
        <f t="shared" si="26"/>
        <v>4.8</v>
      </c>
      <c r="AP126" s="598">
        <v>0.15625</v>
      </c>
      <c r="AQ126" s="599">
        <v>4.3483333333333336</v>
      </c>
      <c r="AR126" s="599">
        <f t="shared" si="27"/>
        <v>0.45166666666666622</v>
      </c>
      <c r="AS126" s="600"/>
      <c r="AT126" s="600">
        <v>1</v>
      </c>
      <c r="AU126" s="577" t="s">
        <v>778</v>
      </c>
      <c r="AV126" s="577">
        <v>1625</v>
      </c>
      <c r="AW126" s="562"/>
      <c r="AX126" s="625" t="s">
        <v>811</v>
      </c>
      <c r="AY126" s="649">
        <f>MAX(AR115:AR124,AR126:AR145)</f>
        <v>0.50666666666666682</v>
      </c>
      <c r="AZ126" s="562"/>
      <c r="BA126" s="607" t="s">
        <v>815</v>
      </c>
      <c r="BB126" s="608" t="s">
        <v>816</v>
      </c>
      <c r="BD126" s="576">
        <v>20</v>
      </c>
      <c r="BI126" s="576">
        <v>1</v>
      </c>
      <c r="BJ126" s="576"/>
      <c r="BK126" s="576"/>
      <c r="BL126" s="671">
        <f t="shared" si="25"/>
        <v>1.7120000000000002</v>
      </c>
      <c r="BM126" s="611">
        <f t="shared" si="23"/>
        <v>3.4240000000000004</v>
      </c>
      <c r="BN126" s="576" t="s">
        <v>779</v>
      </c>
      <c r="BO126" s="611">
        <v>3.75</v>
      </c>
      <c r="BP126" s="611">
        <f t="shared" si="24"/>
        <v>-0.32599999999999962</v>
      </c>
      <c r="BQ126" s="612"/>
      <c r="BR126" s="612">
        <v>1</v>
      </c>
      <c r="BS126" s="566" t="s">
        <v>127</v>
      </c>
      <c r="BT126" s="576">
        <v>1.6</v>
      </c>
      <c r="DD126" s="561"/>
      <c r="DE126" s="577" t="s">
        <v>914</v>
      </c>
      <c r="DF126" s="562">
        <v>0.9</v>
      </c>
      <c r="DG126" s="562"/>
      <c r="DH126" s="562"/>
      <c r="DI126" s="562"/>
      <c r="DJ126" s="562"/>
      <c r="DK126" s="562"/>
      <c r="DL126" s="562"/>
      <c r="DM126" s="562"/>
      <c r="DN126" s="562"/>
      <c r="DO126" s="649"/>
      <c r="DP126" s="599"/>
      <c r="DQ126" s="657"/>
      <c r="DR126" s="657"/>
      <c r="DS126" s="562"/>
      <c r="DT126" s="562"/>
      <c r="DU126" s="562"/>
    </row>
    <row r="127" spans="1:125" s="560" customFormat="1">
      <c r="C127" s="560">
        <v>1.3</v>
      </c>
      <c r="P127" s="561"/>
      <c r="Q127" s="562"/>
      <c r="R127" s="562">
        <v>0.5</v>
      </c>
      <c r="S127" s="562"/>
      <c r="T127" s="562"/>
      <c r="U127" s="562"/>
      <c r="V127" s="562"/>
      <c r="W127" s="562"/>
      <c r="X127" s="562"/>
      <c r="Y127" s="562"/>
      <c r="Z127" s="562"/>
      <c r="AA127" s="562"/>
      <c r="AB127" s="562"/>
      <c r="AC127" s="562"/>
      <c r="AD127" s="563"/>
      <c r="AE127" s="561"/>
      <c r="AF127" s="568">
        <v>12</v>
      </c>
      <c r="AG127" s="562"/>
      <c r="AH127" s="577">
        <v>4.2</v>
      </c>
      <c r="AI127" s="577" t="s">
        <v>793</v>
      </c>
      <c r="AJ127" s="577"/>
      <c r="AK127" s="577">
        <v>1</v>
      </c>
      <c r="AL127" s="577"/>
      <c r="AM127" s="577">
        <v>1</v>
      </c>
      <c r="AN127" s="562">
        <v>2.4</v>
      </c>
      <c r="AO127" s="562">
        <f t="shared" si="26"/>
        <v>4.8</v>
      </c>
      <c r="AP127" s="598">
        <v>0.15625</v>
      </c>
      <c r="AQ127" s="599">
        <v>4.33</v>
      </c>
      <c r="AR127" s="599">
        <f t="shared" si="27"/>
        <v>0.46999999999999975</v>
      </c>
      <c r="AS127" s="600"/>
      <c r="AT127" s="600">
        <v>1</v>
      </c>
      <c r="AU127" s="577" t="s">
        <v>778</v>
      </c>
      <c r="AV127" s="577">
        <v>1626</v>
      </c>
      <c r="AW127" s="562"/>
      <c r="AX127" s="625" t="s">
        <v>814</v>
      </c>
      <c r="AY127" s="649">
        <f>MIN(AR115:AR124,AR126:AR145)</f>
        <v>1.6666666666666607E-2</v>
      </c>
      <c r="AZ127" s="562"/>
      <c r="BA127" s="562"/>
      <c r="BB127" s="563"/>
      <c r="BD127" s="576">
        <v>21</v>
      </c>
      <c r="BI127" s="576">
        <v>1</v>
      </c>
      <c r="BJ127" s="576"/>
      <c r="BK127" s="576"/>
      <c r="BL127" s="671">
        <f t="shared" si="25"/>
        <v>1.9260000000000002</v>
      </c>
      <c r="BM127" s="611">
        <f t="shared" si="23"/>
        <v>3.8520000000000003</v>
      </c>
      <c r="BN127" s="576" t="s">
        <v>779</v>
      </c>
      <c r="BO127" s="611">
        <v>3.75</v>
      </c>
      <c r="BP127" s="611">
        <f t="shared" si="24"/>
        <v>0.10200000000000031</v>
      </c>
      <c r="BQ127" s="612"/>
      <c r="BR127" s="612">
        <v>1</v>
      </c>
      <c r="BS127" s="566" t="s">
        <v>127</v>
      </c>
      <c r="BT127" s="576">
        <v>1.8</v>
      </c>
      <c r="DD127" s="561"/>
      <c r="DE127" s="577"/>
      <c r="DF127" s="562">
        <v>0.65</v>
      </c>
      <c r="DG127" s="562"/>
      <c r="DH127" s="562"/>
      <c r="DI127" s="562"/>
      <c r="DJ127" s="562"/>
      <c r="DK127" s="562"/>
      <c r="DL127" s="562"/>
      <c r="DM127" s="562"/>
      <c r="DN127" s="562"/>
      <c r="DO127" s="649"/>
      <c r="DP127" s="649"/>
      <c r="DQ127" s="657"/>
      <c r="DR127" s="657"/>
      <c r="DS127" s="562"/>
      <c r="DT127" s="562"/>
      <c r="DU127" s="562"/>
    </row>
    <row r="128" spans="1:125" s="560" customFormat="1">
      <c r="C128" s="560">
        <v>1.3</v>
      </c>
      <c r="P128" s="561"/>
      <c r="Q128" s="562"/>
      <c r="R128" s="562">
        <v>0.5</v>
      </c>
      <c r="S128" s="562"/>
      <c r="T128" s="562"/>
      <c r="U128" s="562"/>
      <c r="V128" s="562"/>
      <c r="W128" s="562"/>
      <c r="X128" s="562"/>
      <c r="Y128" s="562"/>
      <c r="Z128" s="562"/>
      <c r="AA128" s="562"/>
      <c r="AB128" s="562"/>
      <c r="AC128" s="562"/>
      <c r="AD128" s="563"/>
      <c r="AE128" s="561"/>
      <c r="AF128" s="568">
        <v>13</v>
      </c>
      <c r="AG128" s="562"/>
      <c r="AH128" s="577">
        <v>0.1</v>
      </c>
      <c r="AI128" s="577" t="s">
        <v>777</v>
      </c>
      <c r="AJ128" s="577">
        <v>1</v>
      </c>
      <c r="AK128" s="577"/>
      <c r="AL128" s="577"/>
      <c r="AM128" s="577"/>
      <c r="AN128" s="562">
        <v>2.4</v>
      </c>
      <c r="AO128" s="562">
        <f t="shared" si="26"/>
        <v>4.8</v>
      </c>
      <c r="AP128" s="598">
        <v>0.15625</v>
      </c>
      <c r="AQ128" s="599">
        <v>4.3116666666666665</v>
      </c>
      <c r="AR128" s="599">
        <f t="shared" si="27"/>
        <v>0.48833333333333329</v>
      </c>
      <c r="AS128" s="600"/>
      <c r="AT128" s="600">
        <v>1</v>
      </c>
      <c r="AU128" s="577" t="s">
        <v>778</v>
      </c>
      <c r="AV128" s="577">
        <v>1628</v>
      </c>
      <c r="AW128" s="562"/>
      <c r="AX128" s="625" t="s">
        <v>817</v>
      </c>
      <c r="AY128" s="649">
        <f>AVERAGE(AR115:AR124,AR126:AR145)</f>
        <v>0.28862068965517246</v>
      </c>
      <c r="AZ128" s="562"/>
      <c r="BA128" s="562"/>
      <c r="BB128" s="563"/>
      <c r="BD128" s="576">
        <v>22</v>
      </c>
      <c r="BI128" s="576">
        <v>1</v>
      </c>
      <c r="BJ128" s="576"/>
      <c r="BK128" s="576"/>
      <c r="BL128" s="671">
        <f t="shared" si="25"/>
        <v>1.9260000000000002</v>
      </c>
      <c r="BM128" s="611">
        <f t="shared" si="23"/>
        <v>3.8520000000000003</v>
      </c>
      <c r="BN128" s="576" t="s">
        <v>779</v>
      </c>
      <c r="BO128" s="611">
        <v>3.75</v>
      </c>
      <c r="BP128" s="611">
        <f t="shared" si="24"/>
        <v>0.10200000000000031</v>
      </c>
      <c r="BQ128" s="612"/>
      <c r="BR128" s="612">
        <v>1</v>
      </c>
      <c r="BS128" s="566" t="s">
        <v>127</v>
      </c>
      <c r="BT128" s="576">
        <v>1.8</v>
      </c>
      <c r="DD128" s="561"/>
      <c r="DE128" s="577"/>
      <c r="DF128" s="562">
        <v>0.5</v>
      </c>
      <c r="DG128" s="562"/>
      <c r="DH128" s="562"/>
      <c r="DI128" s="562"/>
      <c r="DJ128" s="562"/>
      <c r="DK128" s="562"/>
      <c r="DL128" s="562"/>
      <c r="DM128" s="562"/>
      <c r="DN128" s="562"/>
      <c r="DO128" s="649"/>
      <c r="DP128" s="649"/>
      <c r="DQ128" s="657"/>
      <c r="DR128" s="657"/>
      <c r="DS128" s="562"/>
      <c r="DT128" s="562"/>
      <c r="DU128" s="562"/>
    </row>
    <row r="129" spans="2:122" s="560" customFormat="1">
      <c r="C129" s="560">
        <v>1.25</v>
      </c>
      <c r="P129" s="561"/>
      <c r="Q129" s="562"/>
      <c r="R129" s="562">
        <v>0.48</v>
      </c>
      <c r="S129" s="562"/>
      <c r="T129" s="562"/>
      <c r="U129" s="562"/>
      <c r="V129" s="562"/>
      <c r="W129" s="562"/>
      <c r="X129" s="562"/>
      <c r="Y129" s="562"/>
      <c r="Z129" s="562"/>
      <c r="AA129" s="562"/>
      <c r="AB129" s="562"/>
      <c r="AC129" s="562"/>
      <c r="AD129" s="563"/>
      <c r="AE129" s="561"/>
      <c r="AF129" s="568">
        <v>14</v>
      </c>
      <c r="AG129" s="562"/>
      <c r="AH129" s="577">
        <v>1.5</v>
      </c>
      <c r="AI129" s="577" t="s">
        <v>793</v>
      </c>
      <c r="AJ129" s="577"/>
      <c r="AK129" s="577">
        <v>1</v>
      </c>
      <c r="AL129" s="577"/>
      <c r="AM129" s="577">
        <v>1</v>
      </c>
      <c r="AN129" s="562">
        <v>2.4</v>
      </c>
      <c r="AO129" s="562">
        <f t="shared" si="26"/>
        <v>4.8</v>
      </c>
      <c r="AP129" s="598">
        <v>0.15625</v>
      </c>
      <c r="AQ129" s="599">
        <v>4.293333333333333</v>
      </c>
      <c r="AR129" s="599">
        <f t="shared" si="27"/>
        <v>0.50666666666666682</v>
      </c>
      <c r="AS129" s="600"/>
      <c r="AT129" s="600">
        <v>1</v>
      </c>
      <c r="AU129" s="577" t="s">
        <v>778</v>
      </c>
      <c r="AV129" s="577">
        <v>1629</v>
      </c>
      <c r="AW129" s="562"/>
      <c r="AX129" s="625" t="s">
        <v>818</v>
      </c>
      <c r="AY129" s="625">
        <f>STDEV(AR115:AR124,AR126:AR145)</f>
        <v>0.12890493372095052</v>
      </c>
      <c r="AZ129" s="562"/>
      <c r="BA129" s="562"/>
      <c r="BB129" s="563"/>
      <c r="BD129" s="576">
        <v>23</v>
      </c>
      <c r="BI129" s="576">
        <v>1</v>
      </c>
      <c r="BJ129" s="576"/>
      <c r="BK129" s="576"/>
      <c r="BL129" s="671">
        <f t="shared" si="25"/>
        <v>1.819</v>
      </c>
      <c r="BM129" s="611">
        <f t="shared" si="23"/>
        <v>3.6379999999999999</v>
      </c>
      <c r="BN129" s="576" t="s">
        <v>779</v>
      </c>
      <c r="BO129" s="611">
        <v>3.75</v>
      </c>
      <c r="BP129" s="611">
        <f t="shared" si="24"/>
        <v>-0.1120000000000001</v>
      </c>
      <c r="BQ129" s="612"/>
      <c r="BR129" s="612">
        <v>1</v>
      </c>
      <c r="BS129" s="566" t="s">
        <v>127</v>
      </c>
      <c r="BT129" s="576">
        <v>1.7</v>
      </c>
      <c r="DD129" s="561"/>
      <c r="DE129" s="577"/>
      <c r="DF129" s="562">
        <v>0.28000000000000003</v>
      </c>
      <c r="DG129" s="562"/>
      <c r="DH129" s="562"/>
      <c r="DI129" s="562"/>
      <c r="DJ129" s="562"/>
      <c r="DK129" s="562"/>
      <c r="DL129" s="562"/>
      <c r="DM129" s="562"/>
      <c r="DN129" s="562"/>
      <c r="DO129" s="649"/>
      <c r="DP129" s="649"/>
      <c r="DQ129" s="657"/>
      <c r="DR129" s="657"/>
    </row>
    <row r="130" spans="2:122" s="560" customFormat="1">
      <c r="C130" s="560">
        <v>1.1000000000000001</v>
      </c>
      <c r="P130" s="561"/>
      <c r="Q130" s="562"/>
      <c r="R130" s="562">
        <v>0.5</v>
      </c>
      <c r="S130" s="562"/>
      <c r="T130" s="562"/>
      <c r="U130" s="562"/>
      <c r="V130" s="562"/>
      <c r="W130" s="562"/>
      <c r="X130" s="562"/>
      <c r="Y130" s="562"/>
      <c r="Z130" s="562"/>
      <c r="AA130" s="562"/>
      <c r="AB130" s="562"/>
      <c r="AC130" s="562"/>
      <c r="AD130" s="563"/>
      <c r="AE130" s="561"/>
      <c r="AF130" s="568">
        <v>15</v>
      </c>
      <c r="AG130" s="562"/>
      <c r="AH130" s="577">
        <v>0.25</v>
      </c>
      <c r="AI130" s="577" t="s">
        <v>777</v>
      </c>
      <c r="AJ130" s="577">
        <v>1</v>
      </c>
      <c r="AK130" s="577"/>
      <c r="AL130" s="577"/>
      <c r="AM130" s="577"/>
      <c r="AN130" s="562">
        <v>2.25</v>
      </c>
      <c r="AO130" s="562">
        <f t="shared" si="26"/>
        <v>4.5</v>
      </c>
      <c r="AP130" s="598">
        <v>0.15625</v>
      </c>
      <c r="AQ130" s="599">
        <v>4.2750000000000004</v>
      </c>
      <c r="AR130" s="599">
        <f t="shared" si="27"/>
        <v>0.22499999999999964</v>
      </c>
      <c r="AS130" s="600"/>
      <c r="AT130" s="600">
        <v>1</v>
      </c>
      <c r="AU130" s="577" t="s">
        <v>778</v>
      </c>
      <c r="AV130" s="577">
        <v>1631</v>
      </c>
      <c r="AW130" s="562"/>
      <c r="AX130" s="562"/>
      <c r="AY130" s="562"/>
      <c r="AZ130" s="562"/>
      <c r="BA130" s="562"/>
      <c r="BB130" s="563"/>
      <c r="BD130" s="576">
        <v>24</v>
      </c>
      <c r="BI130" s="576">
        <v>1</v>
      </c>
      <c r="BJ130" s="576"/>
      <c r="BK130" s="576"/>
      <c r="BL130" s="671">
        <f t="shared" si="25"/>
        <v>1.7120000000000002</v>
      </c>
      <c r="BM130" s="611">
        <f t="shared" si="23"/>
        <v>3.4240000000000004</v>
      </c>
      <c r="BN130" s="576" t="s">
        <v>779</v>
      </c>
      <c r="BO130" s="611">
        <v>3.75</v>
      </c>
      <c r="BP130" s="611">
        <f t="shared" si="24"/>
        <v>-0.32599999999999962</v>
      </c>
      <c r="BQ130" s="612"/>
      <c r="BR130" s="612">
        <v>1</v>
      </c>
      <c r="BS130" s="566" t="s">
        <v>127</v>
      </c>
      <c r="BT130" s="576">
        <v>1.6</v>
      </c>
      <c r="DD130" s="561"/>
      <c r="DE130" s="577"/>
      <c r="DF130" s="562">
        <v>0.2</v>
      </c>
      <c r="DG130" s="562"/>
      <c r="DH130" s="562"/>
      <c r="DI130" s="562"/>
      <c r="DJ130" s="562"/>
      <c r="DK130" s="562"/>
      <c r="DL130" s="562"/>
      <c r="DM130" s="562"/>
      <c r="DN130" s="562"/>
      <c r="DO130" s="649"/>
      <c r="DP130" s="649"/>
      <c r="DQ130" s="657"/>
      <c r="DR130" s="657"/>
    </row>
    <row r="131" spans="2:122" s="560" customFormat="1">
      <c r="C131" s="560">
        <v>1.1499999999999999</v>
      </c>
      <c r="P131" s="561"/>
      <c r="Q131" s="562"/>
      <c r="R131" s="562">
        <v>0.59</v>
      </c>
      <c r="S131" s="562"/>
      <c r="T131" s="562"/>
      <c r="U131" s="562"/>
      <c r="V131" s="562"/>
      <c r="W131" s="562"/>
      <c r="X131" s="562"/>
      <c r="Y131" s="562"/>
      <c r="Z131" s="562"/>
      <c r="AA131" s="562"/>
      <c r="AB131" s="562"/>
      <c r="AC131" s="562"/>
      <c r="AD131" s="563"/>
      <c r="AE131" s="561"/>
      <c r="AF131" s="568">
        <v>16</v>
      </c>
      <c r="AG131" s="562"/>
      <c r="AH131" s="577">
        <v>4.4000000000000004</v>
      </c>
      <c r="AI131" s="577" t="s">
        <v>793</v>
      </c>
      <c r="AJ131" s="577"/>
      <c r="AK131" s="577">
        <v>1</v>
      </c>
      <c r="AL131" s="577"/>
      <c r="AM131" s="577">
        <v>1</v>
      </c>
      <c r="AN131" s="562">
        <v>2.35</v>
      </c>
      <c r="AO131" s="562">
        <f t="shared" si="26"/>
        <v>4.7</v>
      </c>
      <c r="AP131" s="598">
        <v>0.15625</v>
      </c>
      <c r="AQ131" s="599">
        <v>4.2566666666666668</v>
      </c>
      <c r="AR131" s="599">
        <f t="shared" si="27"/>
        <v>0.44333333333333336</v>
      </c>
      <c r="AS131" s="600"/>
      <c r="AT131" s="600">
        <v>1</v>
      </c>
      <c r="AU131" s="577" t="s">
        <v>778</v>
      </c>
      <c r="AV131" s="577">
        <v>1632</v>
      </c>
      <c r="AW131" s="562"/>
      <c r="AX131" s="562"/>
      <c r="AY131" s="562"/>
      <c r="AZ131" s="562"/>
      <c r="BA131" s="562"/>
      <c r="BB131" s="563"/>
      <c r="BD131" s="576">
        <v>25</v>
      </c>
      <c r="BI131" s="576">
        <v>1</v>
      </c>
      <c r="BJ131" s="576"/>
      <c r="BK131" s="576"/>
      <c r="BL131" s="671">
        <f t="shared" si="25"/>
        <v>1.9260000000000002</v>
      </c>
      <c r="BM131" s="611">
        <f t="shared" si="23"/>
        <v>3.8520000000000003</v>
      </c>
      <c r="BN131" s="576" t="s">
        <v>779</v>
      </c>
      <c r="BO131" s="611">
        <v>3.75</v>
      </c>
      <c r="BP131" s="611">
        <f t="shared" si="24"/>
        <v>0.10200000000000031</v>
      </c>
      <c r="BQ131" s="612"/>
      <c r="BR131" s="612">
        <v>1</v>
      </c>
      <c r="BS131" s="566" t="s">
        <v>127</v>
      </c>
      <c r="BT131" s="576">
        <v>1.8</v>
      </c>
      <c r="DD131" s="561"/>
      <c r="DE131" s="577"/>
      <c r="DF131" s="562">
        <v>0.25</v>
      </c>
      <c r="DG131" s="562"/>
      <c r="DH131" s="562"/>
      <c r="DI131" s="562"/>
      <c r="DJ131" s="562"/>
      <c r="DK131" s="562"/>
      <c r="DL131" s="562"/>
      <c r="DM131" s="562"/>
      <c r="DN131" s="562"/>
      <c r="DO131" s="649"/>
      <c r="DP131" s="649"/>
      <c r="DQ131" s="657"/>
      <c r="DR131" s="657"/>
    </row>
    <row r="132" spans="2:122" s="560" customFormat="1">
      <c r="C132" s="560">
        <v>1.1000000000000001</v>
      </c>
      <c r="P132" s="561"/>
      <c r="Q132" s="562"/>
      <c r="R132" s="562">
        <v>0.5</v>
      </c>
      <c r="S132" s="562"/>
      <c r="T132" s="562"/>
      <c r="U132" s="562"/>
      <c r="V132" s="562"/>
      <c r="W132" s="562"/>
      <c r="X132" s="562"/>
      <c r="Y132" s="562"/>
      <c r="Z132" s="562"/>
      <c r="AA132" s="562"/>
      <c r="AB132" s="562"/>
      <c r="AC132" s="562"/>
      <c r="AD132" s="563"/>
      <c r="AE132" s="561"/>
      <c r="AF132" s="568">
        <v>17</v>
      </c>
      <c r="AG132" s="562"/>
      <c r="AH132" s="577"/>
      <c r="AI132" s="577"/>
      <c r="AJ132" s="577"/>
      <c r="AK132" s="577">
        <v>1</v>
      </c>
      <c r="AL132" s="577"/>
      <c r="AM132" s="577"/>
      <c r="AN132" s="562">
        <v>2.25</v>
      </c>
      <c r="AO132" s="562">
        <f t="shared" si="26"/>
        <v>4.5</v>
      </c>
      <c r="AP132" s="598">
        <v>0.15625</v>
      </c>
      <c r="AQ132" s="599">
        <v>4.2383333333333333</v>
      </c>
      <c r="AR132" s="599">
        <f t="shared" si="27"/>
        <v>0.26166666666666671</v>
      </c>
      <c r="AS132" s="600"/>
      <c r="AT132" s="600">
        <v>1</v>
      </c>
      <c r="AU132" s="577" t="s">
        <v>778</v>
      </c>
      <c r="AV132" s="577"/>
      <c r="AW132" s="562"/>
      <c r="AX132" s="562"/>
      <c r="AY132" s="562"/>
      <c r="AZ132" s="562"/>
      <c r="BA132" s="562"/>
      <c r="BB132" s="563"/>
      <c r="BD132" s="576">
        <v>26</v>
      </c>
      <c r="BI132" s="576">
        <v>1</v>
      </c>
      <c r="BJ132" s="576"/>
      <c r="BK132" s="576"/>
      <c r="BL132" s="671">
        <f t="shared" si="25"/>
        <v>1.819</v>
      </c>
      <c r="BM132" s="611">
        <f t="shared" si="23"/>
        <v>3.6379999999999999</v>
      </c>
      <c r="BN132" s="576" t="s">
        <v>779</v>
      </c>
      <c r="BO132" s="611">
        <v>3.75</v>
      </c>
      <c r="BP132" s="611">
        <f t="shared" si="24"/>
        <v>-0.1120000000000001</v>
      </c>
      <c r="BQ132" s="612"/>
      <c r="BR132" s="612">
        <v>1</v>
      </c>
      <c r="BS132" s="566" t="s">
        <v>127</v>
      </c>
      <c r="BT132" s="576">
        <v>1.7</v>
      </c>
      <c r="DD132" s="561"/>
      <c r="DE132" s="577"/>
      <c r="DF132" s="562">
        <v>0.24</v>
      </c>
      <c r="DG132" s="562"/>
      <c r="DH132" s="562"/>
      <c r="DI132" s="562"/>
      <c r="DJ132" s="562"/>
      <c r="DK132" s="562"/>
      <c r="DL132" s="562"/>
      <c r="DM132" s="562"/>
      <c r="DN132" s="562"/>
      <c r="DO132" s="649"/>
      <c r="DP132" s="649"/>
      <c r="DQ132" s="657"/>
      <c r="DR132" s="657"/>
    </row>
    <row r="133" spans="2:122" s="560" customFormat="1">
      <c r="C133" s="560">
        <v>1.1000000000000001</v>
      </c>
      <c r="P133" s="561"/>
      <c r="Q133" s="562"/>
      <c r="R133" s="562">
        <v>5</v>
      </c>
      <c r="S133" s="562"/>
      <c r="T133" s="562"/>
      <c r="U133" s="562"/>
      <c r="V133" s="562"/>
      <c r="W133" s="562"/>
      <c r="X133" s="562"/>
      <c r="Y133" s="562"/>
      <c r="Z133" s="562"/>
      <c r="AA133" s="562"/>
      <c r="AB133" s="562"/>
      <c r="AC133" s="562"/>
      <c r="AD133" s="563"/>
      <c r="AE133" s="561"/>
      <c r="AF133" s="568">
        <v>18</v>
      </c>
      <c r="AG133" s="562"/>
      <c r="AH133" s="577">
        <v>0.25</v>
      </c>
      <c r="AI133" s="577" t="s">
        <v>793</v>
      </c>
      <c r="AJ133" s="577"/>
      <c r="AK133" s="577">
        <v>1</v>
      </c>
      <c r="AL133" s="577"/>
      <c r="AM133" s="577">
        <v>1</v>
      </c>
      <c r="AN133" s="562">
        <v>2.2000000000000002</v>
      </c>
      <c r="AO133" s="562">
        <f t="shared" si="26"/>
        <v>4.4000000000000004</v>
      </c>
      <c r="AP133" s="598">
        <v>0.15625</v>
      </c>
      <c r="AQ133" s="599">
        <v>4.22</v>
      </c>
      <c r="AR133" s="599">
        <f t="shared" si="27"/>
        <v>0.1800000000000006</v>
      </c>
      <c r="AS133" s="600"/>
      <c r="AT133" s="600">
        <v>1</v>
      </c>
      <c r="AU133" s="577" t="s">
        <v>778</v>
      </c>
      <c r="AV133" s="577">
        <v>1633</v>
      </c>
      <c r="AW133" s="562"/>
      <c r="AX133" s="562"/>
      <c r="AY133" s="562"/>
      <c r="AZ133" s="562"/>
      <c r="BA133" s="562"/>
      <c r="BB133" s="563"/>
      <c r="BD133" s="576">
        <v>27</v>
      </c>
      <c r="BI133" s="576">
        <v>1</v>
      </c>
      <c r="BJ133" s="576"/>
      <c r="BK133" s="576"/>
      <c r="BL133" s="671">
        <f t="shared" si="25"/>
        <v>1.9260000000000002</v>
      </c>
      <c r="BM133" s="611">
        <f t="shared" si="23"/>
        <v>3.8520000000000003</v>
      </c>
      <c r="BN133" s="576" t="s">
        <v>779</v>
      </c>
      <c r="BO133" s="611">
        <v>3.75</v>
      </c>
      <c r="BP133" s="611">
        <f t="shared" si="24"/>
        <v>0.10200000000000031</v>
      </c>
      <c r="BQ133" s="612"/>
      <c r="BR133" s="612">
        <v>1</v>
      </c>
      <c r="BS133" s="566" t="s">
        <v>127</v>
      </c>
      <c r="BT133" s="576">
        <v>1.8</v>
      </c>
      <c r="DD133" s="561"/>
      <c r="DE133" s="577"/>
      <c r="DF133" s="562">
        <v>0.25</v>
      </c>
      <c r="DG133" s="562"/>
      <c r="DH133" s="562"/>
      <c r="DI133" s="562"/>
      <c r="DJ133" s="562"/>
      <c r="DK133" s="562"/>
      <c r="DL133" s="562"/>
      <c r="DM133" s="562"/>
      <c r="DN133" s="562"/>
      <c r="DO133" s="649"/>
      <c r="DP133" s="649"/>
      <c r="DQ133" s="657"/>
      <c r="DR133" s="657"/>
    </row>
    <row r="134" spans="2:122" s="560" customFormat="1">
      <c r="B134" s="560" t="s">
        <v>821</v>
      </c>
      <c r="P134" s="561"/>
      <c r="Q134" s="562"/>
      <c r="R134" s="562">
        <v>0.5</v>
      </c>
      <c r="S134" s="562"/>
      <c r="T134" s="562"/>
      <c r="U134" s="562"/>
      <c r="V134" s="562"/>
      <c r="W134" s="562"/>
      <c r="X134" s="562"/>
      <c r="Y134" s="562"/>
      <c r="Z134" s="562"/>
      <c r="AA134" s="562"/>
      <c r="AB134" s="562"/>
      <c r="AC134" s="562"/>
      <c r="AD134" s="563"/>
      <c r="AE134" s="561"/>
      <c r="AF134" s="568">
        <v>19</v>
      </c>
      <c r="AG134" s="562"/>
      <c r="AH134" s="577"/>
      <c r="AI134" s="577"/>
      <c r="AJ134" s="577"/>
      <c r="AK134" s="577">
        <v>1</v>
      </c>
      <c r="AL134" s="577"/>
      <c r="AM134" s="577"/>
      <c r="AN134" s="562">
        <v>2.2000000000000002</v>
      </c>
      <c r="AO134" s="562">
        <f t="shared" si="26"/>
        <v>4.4000000000000004</v>
      </c>
      <c r="AP134" s="598">
        <v>0.15625</v>
      </c>
      <c r="AQ134" s="599">
        <v>4.2016666666666671</v>
      </c>
      <c r="AR134" s="599">
        <f t="shared" si="27"/>
        <v>0.19833333333333325</v>
      </c>
      <c r="AS134" s="600"/>
      <c r="AT134" s="600">
        <v>1</v>
      </c>
      <c r="AU134" s="577" t="s">
        <v>778</v>
      </c>
      <c r="AV134" s="577"/>
      <c r="AW134" s="562"/>
      <c r="AX134" s="562"/>
      <c r="AY134" s="562"/>
      <c r="AZ134" s="562"/>
      <c r="BA134" s="562"/>
      <c r="BB134" s="563"/>
      <c r="BD134" s="576">
        <v>28</v>
      </c>
      <c r="BI134" s="576">
        <v>1</v>
      </c>
      <c r="BJ134" s="576"/>
      <c r="BK134" s="576"/>
      <c r="BL134" s="671">
        <f t="shared" si="25"/>
        <v>2.0329999999999999</v>
      </c>
      <c r="BM134" s="611">
        <f t="shared" si="23"/>
        <v>4.0659999999999998</v>
      </c>
      <c r="BN134" s="576" t="s">
        <v>779</v>
      </c>
      <c r="BO134" s="611">
        <v>3.75</v>
      </c>
      <c r="BP134" s="611">
        <f t="shared" si="24"/>
        <v>0.31599999999999984</v>
      </c>
      <c r="BQ134" s="612"/>
      <c r="BR134" s="612"/>
      <c r="BS134" s="566" t="s">
        <v>127</v>
      </c>
      <c r="BT134" s="576">
        <v>1.9</v>
      </c>
      <c r="DD134" s="561"/>
      <c r="DE134" s="577" t="s">
        <v>915</v>
      </c>
      <c r="DF134" s="562">
        <v>0.45</v>
      </c>
      <c r="DG134" s="562"/>
      <c r="DH134" s="562"/>
      <c r="DI134" s="562"/>
      <c r="DJ134" s="562"/>
      <c r="DK134" s="562"/>
      <c r="DL134" s="562"/>
      <c r="DM134" s="562"/>
      <c r="DN134" s="562"/>
      <c r="DO134" s="649"/>
      <c r="DP134" s="649"/>
      <c r="DQ134" s="657"/>
      <c r="DR134" s="657"/>
    </row>
    <row r="135" spans="2:122" s="560" customFormat="1">
      <c r="C135" s="560">
        <v>1.3</v>
      </c>
      <c r="P135" s="561"/>
      <c r="Q135" s="562"/>
      <c r="R135" s="562">
        <v>0.5</v>
      </c>
      <c r="S135" s="562"/>
      <c r="T135" s="562"/>
      <c r="U135" s="562"/>
      <c r="V135" s="562"/>
      <c r="W135" s="562"/>
      <c r="X135" s="562"/>
      <c r="Y135" s="562"/>
      <c r="Z135" s="562"/>
      <c r="AA135" s="562"/>
      <c r="AB135" s="562"/>
      <c r="AC135" s="562"/>
      <c r="AD135" s="563"/>
      <c r="AE135" s="561"/>
      <c r="AF135" s="568">
        <v>20</v>
      </c>
      <c r="AG135" s="562"/>
      <c r="AH135" s="577">
        <v>3.6</v>
      </c>
      <c r="AI135" s="577" t="s">
        <v>793</v>
      </c>
      <c r="AJ135" s="577"/>
      <c r="AK135" s="577">
        <v>1</v>
      </c>
      <c r="AL135" s="577"/>
      <c r="AM135" s="577">
        <v>1</v>
      </c>
      <c r="AN135" s="562">
        <v>2.1</v>
      </c>
      <c r="AO135" s="562">
        <f t="shared" si="26"/>
        <v>4.2</v>
      </c>
      <c r="AP135" s="598">
        <v>0.15625</v>
      </c>
      <c r="AQ135" s="599">
        <v>4.1833333333333336</v>
      </c>
      <c r="AR135" s="599">
        <f t="shared" si="27"/>
        <v>1.6666666666666607E-2</v>
      </c>
      <c r="AS135" s="600"/>
      <c r="AT135" s="600">
        <v>1</v>
      </c>
      <c r="AU135" s="577" t="s">
        <v>778</v>
      </c>
      <c r="AV135" s="577">
        <v>1634</v>
      </c>
      <c r="AW135" s="562"/>
      <c r="AX135" s="562"/>
      <c r="AY135" s="562"/>
      <c r="AZ135" s="562"/>
      <c r="BA135" s="562"/>
      <c r="BB135" s="563"/>
      <c r="BD135" s="576">
        <v>29</v>
      </c>
      <c r="BI135" s="576">
        <v>1</v>
      </c>
      <c r="BJ135" s="576"/>
      <c r="BK135" s="576"/>
      <c r="BL135" s="671">
        <f t="shared" si="25"/>
        <v>1.819</v>
      </c>
      <c r="BM135" s="611">
        <f t="shared" si="23"/>
        <v>3.6379999999999999</v>
      </c>
      <c r="BN135" s="576" t="s">
        <v>779</v>
      </c>
      <c r="BO135" s="611">
        <v>3.75</v>
      </c>
      <c r="BP135" s="611">
        <f t="shared" si="24"/>
        <v>-0.1120000000000001</v>
      </c>
      <c r="BQ135" s="612"/>
      <c r="BR135" s="612">
        <v>1</v>
      </c>
      <c r="BS135" s="566" t="s">
        <v>127</v>
      </c>
      <c r="BT135" s="576">
        <v>1.7</v>
      </c>
      <c r="DD135" s="561"/>
      <c r="DE135" s="577"/>
      <c r="DF135" s="562">
        <v>0.4</v>
      </c>
      <c r="DG135" s="562"/>
      <c r="DH135" s="562"/>
      <c r="DI135" s="562"/>
      <c r="DJ135" s="562"/>
      <c r="DK135" s="562"/>
      <c r="DL135" s="562"/>
      <c r="DM135" s="562"/>
      <c r="DN135" s="562"/>
      <c r="DO135" s="649"/>
      <c r="DP135" s="649"/>
      <c r="DQ135" s="657"/>
      <c r="DR135" s="657"/>
    </row>
    <row r="136" spans="2:122" s="560" customFormat="1">
      <c r="C136" s="560">
        <v>1.2</v>
      </c>
      <c r="P136" s="561"/>
      <c r="Q136" s="562"/>
      <c r="R136" s="562">
        <v>0.5</v>
      </c>
      <c r="S136" s="562"/>
      <c r="T136" s="562"/>
      <c r="U136" s="562"/>
      <c r="V136" s="562"/>
      <c r="W136" s="562"/>
      <c r="X136" s="562"/>
      <c r="Y136" s="562"/>
      <c r="Z136" s="562"/>
      <c r="AA136" s="562"/>
      <c r="AB136" s="562"/>
      <c r="AC136" s="562"/>
      <c r="AD136" s="563"/>
      <c r="AE136" s="561"/>
      <c r="AF136" s="568">
        <v>21</v>
      </c>
      <c r="AG136" s="562"/>
      <c r="AH136" s="577"/>
      <c r="AI136" s="577"/>
      <c r="AJ136" s="577"/>
      <c r="AK136" s="577">
        <v>1</v>
      </c>
      <c r="AL136" s="577"/>
      <c r="AM136" s="577"/>
      <c r="AN136" s="562">
        <v>2.2000000000000002</v>
      </c>
      <c r="AO136" s="562">
        <f t="shared" si="26"/>
        <v>4.4000000000000004</v>
      </c>
      <c r="AP136" s="598">
        <v>0.15625</v>
      </c>
      <c r="AQ136" s="599">
        <v>4.165</v>
      </c>
      <c r="AR136" s="599">
        <f t="shared" si="27"/>
        <v>0.23500000000000032</v>
      </c>
      <c r="AS136" s="600"/>
      <c r="AT136" s="600">
        <v>1</v>
      </c>
      <c r="AU136" s="577" t="s">
        <v>778</v>
      </c>
      <c r="AV136" s="577"/>
      <c r="AW136" s="562"/>
      <c r="AX136" s="562"/>
      <c r="AY136" s="562"/>
      <c r="AZ136" s="562"/>
      <c r="BA136" s="562"/>
      <c r="BB136" s="563"/>
      <c r="BD136" s="576">
        <v>30</v>
      </c>
      <c r="BI136" s="576">
        <v>1</v>
      </c>
      <c r="BJ136" s="576"/>
      <c r="BK136" s="576"/>
      <c r="BL136" s="671">
        <f t="shared" si="25"/>
        <v>2.0329999999999999</v>
      </c>
      <c r="BM136" s="611">
        <f t="shared" si="23"/>
        <v>4.0659999999999998</v>
      </c>
      <c r="BN136" s="576" t="s">
        <v>779</v>
      </c>
      <c r="BO136" s="611">
        <v>3.75</v>
      </c>
      <c r="BP136" s="611">
        <f t="shared" si="24"/>
        <v>0.31599999999999984</v>
      </c>
      <c r="BQ136" s="612"/>
      <c r="BR136" s="612">
        <v>1</v>
      </c>
      <c r="BS136" s="566" t="s">
        <v>127</v>
      </c>
      <c r="BT136" s="576">
        <v>1.9</v>
      </c>
      <c r="DD136" s="561"/>
      <c r="DE136" s="577"/>
      <c r="DF136" s="562">
        <v>0.3</v>
      </c>
      <c r="DG136" s="562"/>
      <c r="DH136" s="562"/>
      <c r="DI136" s="562"/>
      <c r="DJ136" s="562"/>
      <c r="DK136" s="562"/>
      <c r="DL136" s="562"/>
      <c r="DM136" s="562"/>
      <c r="DN136" s="562"/>
      <c r="DO136" s="649"/>
      <c r="DP136" s="649"/>
      <c r="DQ136" s="657"/>
      <c r="DR136" s="657"/>
    </row>
    <row r="137" spans="2:122" s="560" customFormat="1">
      <c r="C137" s="560">
        <v>1.3</v>
      </c>
      <c r="P137" s="561"/>
      <c r="Q137" s="562"/>
      <c r="R137" s="562">
        <v>0.51</v>
      </c>
      <c r="S137" s="562"/>
      <c r="T137" s="562"/>
      <c r="U137" s="562"/>
      <c r="V137" s="562"/>
      <c r="W137" s="562"/>
      <c r="X137" s="562"/>
      <c r="Y137" s="562"/>
      <c r="Z137" s="562"/>
      <c r="AA137" s="562"/>
      <c r="AB137" s="562"/>
      <c r="AC137" s="562"/>
      <c r="AD137" s="563"/>
      <c r="AE137" s="561"/>
      <c r="AF137" s="568">
        <v>22</v>
      </c>
      <c r="AG137" s="562"/>
      <c r="AH137" s="577">
        <v>0.2</v>
      </c>
      <c r="AI137" s="577" t="s">
        <v>777</v>
      </c>
      <c r="AJ137" s="577">
        <v>1</v>
      </c>
      <c r="AK137" s="577"/>
      <c r="AL137" s="577"/>
      <c r="AM137" s="577"/>
      <c r="AN137" s="562">
        <v>2.2000000000000002</v>
      </c>
      <c r="AO137" s="562">
        <f t="shared" si="26"/>
        <v>4.4000000000000004</v>
      </c>
      <c r="AP137" s="598">
        <v>0.15625</v>
      </c>
      <c r="AQ137" s="599">
        <v>4.1466666666666665</v>
      </c>
      <c r="AR137" s="599">
        <f t="shared" si="27"/>
        <v>0.25333333333333385</v>
      </c>
      <c r="AS137" s="600"/>
      <c r="AT137" s="600">
        <v>1</v>
      </c>
      <c r="AU137" s="577" t="s">
        <v>778</v>
      </c>
      <c r="AV137" s="577">
        <v>1635</v>
      </c>
      <c r="AW137" s="562"/>
      <c r="AX137" s="562"/>
      <c r="AY137" s="562"/>
      <c r="AZ137" s="562"/>
      <c r="BA137" s="562"/>
      <c r="BB137" s="563"/>
      <c r="BD137" s="576">
        <v>31</v>
      </c>
      <c r="BI137" s="576">
        <v>1</v>
      </c>
      <c r="BJ137" s="576"/>
      <c r="BK137" s="576"/>
      <c r="BL137" s="671">
        <f t="shared" si="25"/>
        <v>1.9260000000000002</v>
      </c>
      <c r="BM137" s="611">
        <f t="shared" si="23"/>
        <v>3.8520000000000003</v>
      </c>
      <c r="BN137" s="576" t="s">
        <v>779</v>
      </c>
      <c r="BO137" s="611">
        <v>3.75</v>
      </c>
      <c r="BP137" s="611">
        <f t="shared" si="24"/>
        <v>0.10200000000000031</v>
      </c>
      <c r="BQ137" s="612"/>
      <c r="BR137" s="612">
        <v>1</v>
      </c>
      <c r="BS137" s="566" t="s">
        <v>127</v>
      </c>
      <c r="BT137" s="576">
        <v>1.8</v>
      </c>
      <c r="DD137" s="561"/>
      <c r="DE137" s="577"/>
      <c r="DF137" s="562">
        <v>0.2</v>
      </c>
      <c r="DG137" s="562"/>
      <c r="DH137" s="562"/>
      <c r="DI137" s="562"/>
      <c r="DJ137" s="562"/>
      <c r="DK137" s="562"/>
      <c r="DL137" s="562"/>
      <c r="DM137" s="562"/>
      <c r="DN137" s="562"/>
      <c r="DO137" s="649"/>
      <c r="DP137" s="649"/>
      <c r="DQ137" s="657"/>
      <c r="DR137" s="657"/>
    </row>
    <row r="138" spans="2:122" s="560" customFormat="1">
      <c r="C138" s="560">
        <v>1.2</v>
      </c>
      <c r="P138" s="561"/>
      <c r="Q138" s="562"/>
      <c r="R138" s="562">
        <v>0.5</v>
      </c>
      <c r="S138" s="562"/>
      <c r="T138" s="562"/>
      <c r="U138" s="562"/>
      <c r="V138" s="562"/>
      <c r="W138" s="562"/>
      <c r="X138" s="562"/>
      <c r="Y138" s="562"/>
      <c r="Z138" s="562"/>
      <c r="AA138" s="562"/>
      <c r="AB138" s="562"/>
      <c r="AC138" s="562"/>
      <c r="AD138" s="563"/>
      <c r="AE138" s="561"/>
      <c r="AF138" s="562" t="s">
        <v>778</v>
      </c>
      <c r="AG138" s="562"/>
      <c r="AH138" s="577">
        <v>1.3</v>
      </c>
      <c r="AI138" s="577" t="s">
        <v>793</v>
      </c>
      <c r="AJ138" s="577"/>
      <c r="AK138" s="577"/>
      <c r="AL138" s="577"/>
      <c r="AM138" s="577">
        <v>1</v>
      </c>
      <c r="AN138" s="562"/>
      <c r="AO138" s="562"/>
      <c r="AP138" s="598"/>
      <c r="AQ138" s="599"/>
      <c r="AR138" s="599"/>
      <c r="AS138" s="600"/>
      <c r="AT138" s="600"/>
      <c r="AU138" s="577"/>
      <c r="AV138" s="577">
        <v>1636</v>
      </c>
      <c r="AW138" s="562"/>
      <c r="AX138" s="562"/>
      <c r="AY138" s="562"/>
      <c r="AZ138" s="562"/>
      <c r="BA138" s="562"/>
      <c r="BB138" s="563"/>
      <c r="BD138" s="576">
        <v>32</v>
      </c>
      <c r="BI138" s="576">
        <v>1</v>
      </c>
      <c r="BJ138" s="576"/>
      <c r="BK138" s="576"/>
      <c r="BL138" s="671">
        <f t="shared" si="25"/>
        <v>1.819</v>
      </c>
      <c r="BM138" s="611">
        <f t="shared" si="23"/>
        <v>3.6379999999999999</v>
      </c>
      <c r="BN138" s="576" t="s">
        <v>779</v>
      </c>
      <c r="BO138" s="611">
        <v>3.75</v>
      </c>
      <c r="BP138" s="611">
        <f t="shared" si="24"/>
        <v>-0.1120000000000001</v>
      </c>
      <c r="BQ138" s="612"/>
      <c r="BR138" s="612">
        <v>1</v>
      </c>
      <c r="BS138" s="566" t="s">
        <v>127</v>
      </c>
      <c r="BT138" s="576">
        <v>1.7</v>
      </c>
      <c r="DD138" s="561"/>
      <c r="DE138" s="577"/>
      <c r="DF138" s="562">
        <v>0.2</v>
      </c>
      <c r="DG138" s="562"/>
      <c r="DH138" s="562"/>
      <c r="DI138" s="562"/>
      <c r="DJ138" s="562"/>
      <c r="DK138" s="562"/>
      <c r="DL138" s="562"/>
      <c r="DM138" s="562"/>
      <c r="DN138" s="562"/>
      <c r="DO138" s="649"/>
      <c r="DP138" s="649"/>
      <c r="DQ138" s="657"/>
      <c r="DR138" s="657"/>
    </row>
    <row r="139" spans="2:122" s="560" customFormat="1">
      <c r="C139" s="560">
        <v>1.25</v>
      </c>
      <c r="P139" s="561"/>
      <c r="Q139" s="562"/>
      <c r="R139" s="562">
        <v>0.55000000000000004</v>
      </c>
      <c r="S139" s="562"/>
      <c r="T139" s="562"/>
      <c r="U139" s="562"/>
      <c r="V139" s="562"/>
      <c r="W139" s="562"/>
      <c r="X139" s="562"/>
      <c r="Y139" s="562"/>
      <c r="Z139" s="562"/>
      <c r="AA139" s="562"/>
      <c r="AB139" s="562"/>
      <c r="AC139" s="562"/>
      <c r="AD139" s="563"/>
      <c r="AE139" s="561"/>
      <c r="AF139" s="562">
        <v>23</v>
      </c>
      <c r="AG139" s="562"/>
      <c r="AH139" s="577"/>
      <c r="AI139" s="577"/>
      <c r="AJ139" s="577"/>
      <c r="AK139" s="577">
        <v>1</v>
      </c>
      <c r="AL139" s="577"/>
      <c r="AM139" s="577"/>
      <c r="AN139" s="562">
        <v>2.2000000000000002</v>
      </c>
      <c r="AO139" s="562">
        <f t="shared" ref="AO139:AO145" si="28">AN139+AN139</f>
        <v>4.4000000000000004</v>
      </c>
      <c r="AP139" s="598">
        <v>0.15625</v>
      </c>
      <c r="AQ139" s="599">
        <v>4.1100000000000003</v>
      </c>
      <c r="AR139" s="599">
        <f t="shared" ref="AR139:AR145" si="29">AO139-AQ139</f>
        <v>0.29000000000000004</v>
      </c>
      <c r="AS139" s="600"/>
      <c r="AT139" s="600">
        <v>1</v>
      </c>
      <c r="AU139" s="577" t="s">
        <v>778</v>
      </c>
      <c r="AV139" s="577"/>
      <c r="AW139" s="562"/>
      <c r="AX139" s="562"/>
      <c r="AY139" s="562"/>
      <c r="AZ139" s="562"/>
      <c r="BA139" s="562"/>
      <c r="BB139" s="563"/>
      <c r="BD139" s="576">
        <v>33</v>
      </c>
      <c r="BI139" s="576">
        <v>1</v>
      </c>
      <c r="BJ139" s="576"/>
      <c r="BK139" s="576"/>
      <c r="BL139" s="671">
        <f t="shared" si="25"/>
        <v>1.9260000000000002</v>
      </c>
      <c r="BM139" s="611">
        <f t="shared" si="23"/>
        <v>3.8520000000000003</v>
      </c>
      <c r="BN139" s="576" t="s">
        <v>779</v>
      </c>
      <c r="BO139" s="611">
        <v>3.75</v>
      </c>
      <c r="BP139" s="611">
        <f t="shared" si="24"/>
        <v>0.10200000000000031</v>
      </c>
      <c r="BQ139" s="612"/>
      <c r="BR139" s="612">
        <v>1</v>
      </c>
      <c r="BS139" s="566" t="s">
        <v>127</v>
      </c>
      <c r="BT139" s="576">
        <v>1.8</v>
      </c>
      <c r="DD139" s="561"/>
      <c r="DE139" s="577"/>
      <c r="DF139" s="562">
        <v>0.2</v>
      </c>
      <c r="DG139" s="562"/>
      <c r="DH139" s="562"/>
      <c r="DI139" s="562"/>
      <c r="DJ139" s="562"/>
      <c r="DK139" s="562"/>
      <c r="DL139" s="562"/>
      <c r="DM139" s="562"/>
      <c r="DN139" s="562"/>
      <c r="DO139" s="649"/>
      <c r="DP139" s="649"/>
      <c r="DQ139" s="657"/>
      <c r="DR139" s="657"/>
    </row>
    <row r="140" spans="2:122" s="560" customFormat="1">
      <c r="C140" s="560">
        <v>1.2</v>
      </c>
      <c r="P140" s="561"/>
      <c r="Q140" s="562"/>
      <c r="R140" s="562">
        <v>0.5</v>
      </c>
      <c r="S140" s="562"/>
      <c r="T140" s="562"/>
      <c r="U140" s="562"/>
      <c r="V140" s="562"/>
      <c r="W140" s="562"/>
      <c r="X140" s="562"/>
      <c r="Y140" s="562"/>
      <c r="Z140" s="562"/>
      <c r="AA140" s="562"/>
      <c r="AB140" s="562"/>
      <c r="AC140" s="562"/>
      <c r="AD140" s="563"/>
      <c r="AE140" s="561"/>
      <c r="AF140" s="562">
        <v>24</v>
      </c>
      <c r="AG140" s="562"/>
      <c r="AH140" s="577"/>
      <c r="AI140" s="577"/>
      <c r="AJ140" s="577"/>
      <c r="AK140" s="577">
        <v>1</v>
      </c>
      <c r="AL140" s="577"/>
      <c r="AM140" s="577"/>
      <c r="AN140" s="562">
        <v>2.2000000000000002</v>
      </c>
      <c r="AO140" s="562">
        <f t="shared" si="28"/>
        <v>4.4000000000000004</v>
      </c>
      <c r="AP140" s="598">
        <v>0.15625</v>
      </c>
      <c r="AQ140" s="599">
        <v>4.0916666666666668</v>
      </c>
      <c r="AR140" s="599">
        <f t="shared" si="29"/>
        <v>0.30833333333333357</v>
      </c>
      <c r="AS140" s="600"/>
      <c r="AT140" s="600">
        <v>1</v>
      </c>
      <c r="AU140" s="577" t="s">
        <v>778</v>
      </c>
      <c r="AV140" s="577"/>
      <c r="AW140" s="562"/>
      <c r="AX140" s="562"/>
      <c r="AY140" s="562"/>
      <c r="AZ140" s="562"/>
      <c r="BA140" s="562"/>
      <c r="BB140" s="563"/>
      <c r="BD140" s="576">
        <v>34</v>
      </c>
      <c r="BI140" s="576">
        <v>1</v>
      </c>
      <c r="BJ140" s="576"/>
      <c r="BK140" s="576"/>
      <c r="BL140" s="671">
        <f t="shared" si="25"/>
        <v>2.0329999999999999</v>
      </c>
      <c r="BM140" s="611">
        <f t="shared" si="23"/>
        <v>4.0659999999999998</v>
      </c>
      <c r="BN140" s="576" t="s">
        <v>779</v>
      </c>
      <c r="BO140" s="611">
        <v>3.75</v>
      </c>
      <c r="BP140" s="611">
        <f t="shared" si="24"/>
        <v>0.31599999999999984</v>
      </c>
      <c r="BQ140" s="612"/>
      <c r="BR140" s="612">
        <v>1</v>
      </c>
      <c r="BS140" s="566" t="s">
        <v>127</v>
      </c>
      <c r="BT140" s="576">
        <v>1.9</v>
      </c>
      <c r="DD140" s="561"/>
      <c r="DE140" s="577"/>
      <c r="DF140" s="562">
        <v>0.25</v>
      </c>
      <c r="DG140" s="562"/>
      <c r="DH140" s="562"/>
      <c r="DI140" s="562"/>
      <c r="DJ140" s="562"/>
      <c r="DK140" s="562"/>
      <c r="DL140" s="562"/>
      <c r="DM140" s="562"/>
      <c r="DN140" s="562"/>
      <c r="DO140" s="649"/>
      <c r="DP140" s="649"/>
      <c r="DQ140" s="657"/>
      <c r="DR140" s="657"/>
    </row>
    <row r="141" spans="2:122" s="560" customFormat="1">
      <c r="C141" s="560">
        <v>1</v>
      </c>
      <c r="P141" s="561"/>
      <c r="Q141" s="562"/>
      <c r="R141" s="562">
        <v>0.45</v>
      </c>
      <c r="S141" s="562"/>
      <c r="T141" s="562"/>
      <c r="U141" s="562"/>
      <c r="V141" s="562"/>
      <c r="W141" s="562"/>
      <c r="X141" s="562"/>
      <c r="Y141" s="562"/>
      <c r="Z141" s="562"/>
      <c r="AA141" s="562"/>
      <c r="AB141" s="562"/>
      <c r="AC141" s="562"/>
      <c r="AD141" s="563"/>
      <c r="AE141" s="561"/>
      <c r="AF141" s="562">
        <v>25</v>
      </c>
      <c r="AG141" s="562"/>
      <c r="AH141" s="577">
        <v>0.4</v>
      </c>
      <c r="AI141" s="577" t="s">
        <v>793</v>
      </c>
      <c r="AJ141" s="577"/>
      <c r="AK141" s="577">
        <v>1</v>
      </c>
      <c r="AL141" s="577"/>
      <c r="AM141" s="577">
        <v>1</v>
      </c>
      <c r="AN141" s="562">
        <v>2.2000000000000002</v>
      </c>
      <c r="AO141" s="562">
        <f t="shared" si="28"/>
        <v>4.4000000000000004</v>
      </c>
      <c r="AP141" s="598">
        <v>0.15625</v>
      </c>
      <c r="AQ141" s="599">
        <v>4.0733333333333333</v>
      </c>
      <c r="AR141" s="599">
        <f t="shared" si="29"/>
        <v>0.3266666666666671</v>
      </c>
      <c r="AS141" s="600"/>
      <c r="AT141" s="600">
        <v>1</v>
      </c>
      <c r="AU141" s="577" t="s">
        <v>778</v>
      </c>
      <c r="AV141" s="577">
        <v>1637</v>
      </c>
      <c r="AW141" s="562"/>
      <c r="AX141" s="562"/>
      <c r="AY141" s="562"/>
      <c r="AZ141" s="562"/>
      <c r="BA141" s="562"/>
      <c r="BB141" s="563"/>
      <c r="BD141" s="576">
        <v>35</v>
      </c>
      <c r="BI141" s="576">
        <v>1</v>
      </c>
      <c r="BJ141" s="576"/>
      <c r="BK141" s="576"/>
      <c r="BL141" s="671">
        <f t="shared" si="25"/>
        <v>2.0329999999999999</v>
      </c>
      <c r="BM141" s="611">
        <f t="shared" si="23"/>
        <v>4.0659999999999998</v>
      </c>
      <c r="BN141" s="576" t="s">
        <v>779</v>
      </c>
      <c r="BO141" s="611">
        <v>3.75</v>
      </c>
      <c r="BP141" s="611">
        <f t="shared" si="24"/>
        <v>0.31599999999999984</v>
      </c>
      <c r="BQ141" s="612"/>
      <c r="BR141" s="612">
        <v>1</v>
      </c>
      <c r="BS141" s="566" t="s">
        <v>127</v>
      </c>
      <c r="BT141" s="576">
        <v>1.9</v>
      </c>
      <c r="DD141" s="561"/>
      <c r="DE141" s="577"/>
      <c r="DF141" s="562">
        <v>0.39</v>
      </c>
      <c r="DG141" s="562"/>
      <c r="DH141" s="562"/>
      <c r="DI141" s="562"/>
      <c r="DJ141" s="562"/>
      <c r="DK141" s="562"/>
      <c r="DL141" s="562"/>
      <c r="DM141" s="562"/>
      <c r="DN141" s="562"/>
      <c r="DO141" s="649"/>
      <c r="DP141" s="649"/>
      <c r="DQ141" s="657"/>
      <c r="DR141" s="657"/>
    </row>
    <row r="142" spans="2:122" s="560" customFormat="1">
      <c r="C142" s="560">
        <v>1</v>
      </c>
      <c r="P142" s="561"/>
      <c r="Q142" s="562"/>
      <c r="R142" s="562">
        <v>0.5</v>
      </c>
      <c r="S142" s="562"/>
      <c r="T142" s="562"/>
      <c r="U142" s="562"/>
      <c r="V142" s="562"/>
      <c r="W142" s="562"/>
      <c r="X142" s="562"/>
      <c r="Y142" s="562"/>
      <c r="Z142" s="562"/>
      <c r="AA142" s="562"/>
      <c r="AB142" s="562"/>
      <c r="AC142" s="562"/>
      <c r="AD142" s="563"/>
      <c r="AE142" s="561"/>
      <c r="AF142" s="562">
        <v>26</v>
      </c>
      <c r="AG142" s="562"/>
      <c r="AH142" s="577">
        <v>0.5</v>
      </c>
      <c r="AI142" s="577" t="s">
        <v>793</v>
      </c>
      <c r="AJ142" s="577"/>
      <c r="AK142" s="577">
        <v>1</v>
      </c>
      <c r="AL142" s="577"/>
      <c r="AM142" s="577">
        <v>1</v>
      </c>
      <c r="AN142" s="562">
        <v>2.1</v>
      </c>
      <c r="AO142" s="562">
        <f t="shared" si="28"/>
        <v>4.2</v>
      </c>
      <c r="AP142" s="598">
        <v>0.15625</v>
      </c>
      <c r="AQ142" s="599">
        <v>4.0549999999999997</v>
      </c>
      <c r="AR142" s="599">
        <f t="shared" si="29"/>
        <v>0.14500000000000046</v>
      </c>
      <c r="AS142" s="600"/>
      <c r="AT142" s="600">
        <v>1</v>
      </c>
      <c r="AU142" s="577" t="s">
        <v>778</v>
      </c>
      <c r="AV142" s="577">
        <v>1638</v>
      </c>
      <c r="AW142" s="562"/>
      <c r="AX142" s="562"/>
      <c r="AY142" s="562"/>
      <c r="AZ142" s="562"/>
      <c r="BA142" s="562"/>
      <c r="BB142" s="563"/>
      <c r="BD142" s="576">
        <v>36</v>
      </c>
      <c r="BI142" s="576">
        <v>1</v>
      </c>
      <c r="BJ142" s="576"/>
      <c r="BK142" s="576"/>
      <c r="BL142" s="671">
        <f t="shared" si="25"/>
        <v>1.819</v>
      </c>
      <c r="BM142" s="611">
        <f t="shared" si="23"/>
        <v>3.6379999999999999</v>
      </c>
      <c r="BN142" s="576" t="s">
        <v>779</v>
      </c>
      <c r="BO142" s="611">
        <v>3.75</v>
      </c>
      <c r="BP142" s="611">
        <f t="shared" si="24"/>
        <v>-0.1120000000000001</v>
      </c>
      <c r="BQ142" s="612"/>
      <c r="BR142" s="612">
        <v>1</v>
      </c>
      <c r="BS142" s="566" t="s">
        <v>127</v>
      </c>
      <c r="BT142" s="576">
        <v>1.7</v>
      </c>
      <c r="DD142" s="561"/>
      <c r="DE142" s="577" t="s">
        <v>916</v>
      </c>
      <c r="DF142" s="562">
        <v>0.85</v>
      </c>
      <c r="DG142" s="562"/>
      <c r="DH142" s="562"/>
      <c r="DI142" s="562"/>
      <c r="DJ142" s="562"/>
      <c r="DK142" s="562"/>
      <c r="DL142" s="562"/>
      <c r="DM142" s="562"/>
      <c r="DN142" s="562"/>
      <c r="DO142" s="649"/>
      <c r="DP142" s="649"/>
      <c r="DQ142" s="657"/>
      <c r="DR142" s="657"/>
    </row>
    <row r="143" spans="2:122" s="560" customFormat="1">
      <c r="C143" s="560">
        <v>1.2</v>
      </c>
      <c r="P143" s="561"/>
      <c r="Q143" s="562"/>
      <c r="R143" s="562">
        <v>0.5</v>
      </c>
      <c r="S143" s="562"/>
      <c r="T143" s="562"/>
      <c r="U143" s="562"/>
      <c r="V143" s="562"/>
      <c r="W143" s="562"/>
      <c r="X143" s="562"/>
      <c r="Y143" s="562"/>
      <c r="Z143" s="562"/>
      <c r="AA143" s="562"/>
      <c r="AB143" s="562"/>
      <c r="AC143" s="562"/>
      <c r="AD143" s="563"/>
      <c r="AE143" s="561"/>
      <c r="AF143" s="562">
        <v>27</v>
      </c>
      <c r="AG143" s="562"/>
      <c r="AH143" s="577">
        <v>0.3</v>
      </c>
      <c r="AI143" s="577" t="s">
        <v>793</v>
      </c>
      <c r="AJ143" s="577"/>
      <c r="AK143" s="577">
        <v>1</v>
      </c>
      <c r="AL143" s="577"/>
      <c r="AM143" s="577">
        <v>1</v>
      </c>
      <c r="AN143" s="562">
        <v>2.2000000000000002</v>
      </c>
      <c r="AO143" s="562">
        <f t="shared" si="28"/>
        <v>4.4000000000000004</v>
      </c>
      <c r="AP143" s="598">
        <v>0.15625</v>
      </c>
      <c r="AQ143" s="599">
        <v>4.0366666666666671</v>
      </c>
      <c r="AR143" s="599">
        <f t="shared" si="29"/>
        <v>0.36333333333333329</v>
      </c>
      <c r="AS143" s="600"/>
      <c r="AT143" s="600">
        <v>1</v>
      </c>
      <c r="AU143" s="577" t="s">
        <v>778</v>
      </c>
      <c r="AV143" s="577">
        <v>1639</v>
      </c>
      <c r="AW143" s="562"/>
      <c r="AX143" s="562"/>
      <c r="AY143" s="562"/>
      <c r="AZ143" s="562"/>
      <c r="BA143" s="562"/>
      <c r="BB143" s="563"/>
      <c r="BD143" s="576">
        <v>37</v>
      </c>
      <c r="BI143" s="576">
        <v>1</v>
      </c>
      <c r="BJ143" s="576"/>
      <c r="BK143" s="576"/>
      <c r="BL143" s="671">
        <f t="shared" si="25"/>
        <v>1.498</v>
      </c>
      <c r="BM143" s="611">
        <f t="shared" si="23"/>
        <v>2.996</v>
      </c>
      <c r="BN143" s="576" t="s">
        <v>779</v>
      </c>
      <c r="BO143" s="611">
        <v>3.75</v>
      </c>
      <c r="BP143" s="611">
        <f t="shared" si="24"/>
        <v>-0.754</v>
      </c>
      <c r="BQ143" s="612"/>
      <c r="BR143" s="612">
        <v>1</v>
      </c>
      <c r="BS143" s="566" t="s">
        <v>127</v>
      </c>
      <c r="BT143" s="576">
        <v>1.4</v>
      </c>
      <c r="DD143" s="561"/>
      <c r="DE143" s="577"/>
      <c r="DF143" s="562">
        <v>0.75</v>
      </c>
      <c r="DG143" s="562"/>
      <c r="DH143" s="562"/>
      <c r="DI143" s="562"/>
      <c r="DJ143" s="562"/>
      <c r="DK143" s="562"/>
      <c r="DL143" s="562"/>
      <c r="DM143" s="562"/>
      <c r="DN143" s="562"/>
      <c r="DO143" s="649"/>
      <c r="DP143" s="649"/>
      <c r="DQ143" s="657"/>
      <c r="DR143" s="657"/>
    </row>
    <row r="144" spans="2:122" s="560" customFormat="1">
      <c r="C144" s="560">
        <v>1.1000000000000001</v>
      </c>
      <c r="P144" s="561"/>
      <c r="Q144" s="562"/>
      <c r="R144" s="562">
        <v>0.5</v>
      </c>
      <c r="S144" s="562"/>
      <c r="T144" s="562"/>
      <c r="U144" s="562"/>
      <c r="V144" s="562"/>
      <c r="W144" s="562"/>
      <c r="X144" s="562"/>
      <c r="Y144" s="562"/>
      <c r="Z144" s="562"/>
      <c r="AA144" s="562"/>
      <c r="AB144" s="562"/>
      <c r="AC144" s="562"/>
      <c r="AD144" s="563"/>
      <c r="AE144" s="561"/>
      <c r="AF144" s="562">
        <v>28</v>
      </c>
      <c r="AG144" s="562"/>
      <c r="AH144" s="577">
        <v>0.25</v>
      </c>
      <c r="AI144" s="577" t="s">
        <v>778</v>
      </c>
      <c r="AJ144" s="577">
        <v>1</v>
      </c>
      <c r="AK144" s="577"/>
      <c r="AL144" s="577"/>
      <c r="AM144" s="577"/>
      <c r="AN144" s="562">
        <v>2.1</v>
      </c>
      <c r="AO144" s="562">
        <f t="shared" si="28"/>
        <v>4.2</v>
      </c>
      <c r="AP144" s="598">
        <v>0.15625</v>
      </c>
      <c r="AQ144" s="599">
        <v>4.0183333333333335</v>
      </c>
      <c r="AR144" s="599">
        <f t="shared" si="29"/>
        <v>0.18166666666666664</v>
      </c>
      <c r="AS144" s="600"/>
      <c r="AT144" s="600">
        <v>1</v>
      </c>
      <c r="AU144" s="577" t="s">
        <v>778</v>
      </c>
      <c r="AV144" s="577">
        <v>1640</v>
      </c>
      <c r="AW144" s="562"/>
      <c r="AX144" s="562"/>
      <c r="AY144" s="562"/>
      <c r="AZ144" s="562"/>
      <c r="BA144" s="562"/>
      <c r="BB144" s="563"/>
      <c r="BH144" s="670"/>
      <c r="BI144" s="640">
        <f>SUM(BI107:BI143)</f>
        <v>37</v>
      </c>
      <c r="BJ144" s="641"/>
      <c r="BK144" s="642">
        <f>SUM(BK107:BK143)</f>
        <v>2</v>
      </c>
      <c r="BM144" s="643">
        <f>SUM(BM107:BM124,BM126:BM142)</f>
        <v>133.14600000000007</v>
      </c>
      <c r="BN144" s="576"/>
      <c r="BO144" s="644">
        <f>SUM(BO107:BO143)</f>
        <v>138.75</v>
      </c>
      <c r="BP144" s="644">
        <f>SUM(BP107:BP124,BP126:BP142)</f>
        <v>1.8960000000000026</v>
      </c>
      <c r="BQ144" s="661"/>
      <c r="BR144" s="645">
        <f>SUM(BR107:BR143)</f>
        <v>36</v>
      </c>
      <c r="DD144" s="561"/>
      <c r="DE144" s="577"/>
      <c r="DF144" s="562">
        <v>0.5</v>
      </c>
      <c r="DG144" s="562"/>
      <c r="DH144" s="562"/>
      <c r="DI144" s="562"/>
      <c r="DJ144" s="562"/>
      <c r="DK144" s="562"/>
      <c r="DL144" s="562"/>
      <c r="DM144" s="562"/>
      <c r="DN144" s="562"/>
      <c r="DO144" s="649"/>
      <c r="DP144" s="649"/>
      <c r="DQ144" s="657"/>
      <c r="DR144" s="657"/>
    </row>
    <row r="145" spans="2:122" s="560" customFormat="1">
      <c r="C145" s="560">
        <v>1.3</v>
      </c>
      <c r="P145" s="561"/>
      <c r="Q145" s="562"/>
      <c r="R145" s="562">
        <v>0.5</v>
      </c>
      <c r="S145" s="562"/>
      <c r="T145" s="562"/>
      <c r="U145" s="562"/>
      <c r="V145" s="562"/>
      <c r="W145" s="562"/>
      <c r="X145" s="562"/>
      <c r="Y145" s="562"/>
      <c r="Z145" s="562"/>
      <c r="AA145" s="562"/>
      <c r="AB145" s="562"/>
      <c r="AC145" s="562"/>
      <c r="AD145" s="563"/>
      <c r="AE145" s="561"/>
      <c r="AF145" s="562">
        <v>29</v>
      </c>
      <c r="AG145" s="562"/>
      <c r="AH145" s="562"/>
      <c r="AI145" s="562"/>
      <c r="AJ145" s="562"/>
      <c r="AK145" s="577">
        <v>1</v>
      </c>
      <c r="AL145" s="577"/>
      <c r="AM145" s="577"/>
      <c r="AN145" s="562">
        <v>2.2000000000000002</v>
      </c>
      <c r="AO145" s="562">
        <f t="shared" si="28"/>
        <v>4.4000000000000004</v>
      </c>
      <c r="AP145" s="598">
        <v>0.15625</v>
      </c>
      <c r="AQ145" s="599">
        <v>4</v>
      </c>
      <c r="AR145" s="599">
        <f t="shared" si="29"/>
        <v>0.40000000000000036</v>
      </c>
      <c r="AS145" s="600"/>
      <c r="AT145" s="600">
        <v>1</v>
      </c>
      <c r="AU145" s="577" t="s">
        <v>778</v>
      </c>
      <c r="AV145" s="562"/>
      <c r="AW145" s="562"/>
      <c r="AX145" s="562"/>
      <c r="AY145" s="562"/>
      <c r="AZ145" s="562"/>
      <c r="BA145" s="562"/>
      <c r="BB145" s="563"/>
      <c r="BC145" s="564">
        <v>41078</v>
      </c>
      <c r="BD145" s="565" t="s">
        <v>725</v>
      </c>
      <c r="BE145" s="565"/>
      <c r="BF145" s="565" t="s">
        <v>726</v>
      </c>
      <c r="BG145" s="566" t="s">
        <v>727</v>
      </c>
      <c r="BH145" s="566"/>
      <c r="BI145" s="566"/>
      <c r="BJ145" s="566"/>
      <c r="BK145" s="566"/>
      <c r="BL145" s="566" t="s">
        <v>728</v>
      </c>
      <c r="BM145" s="603">
        <f>AVERAGE(BM126:BM142)</f>
        <v>3.789058823529412</v>
      </c>
      <c r="BN145" s="566" t="s">
        <v>729</v>
      </c>
      <c r="BO145" s="603"/>
      <c r="BP145" s="646">
        <f>+BP144/BO144</f>
        <v>1.3664864864864883E-2</v>
      </c>
      <c r="BQ145" s="604"/>
      <c r="BR145" s="604"/>
      <c r="BS145" s="566" t="s">
        <v>730</v>
      </c>
      <c r="BT145" s="566" t="s">
        <v>731</v>
      </c>
      <c r="BU145" s="565"/>
      <c r="DD145" s="561"/>
      <c r="DE145" s="577"/>
      <c r="DF145" s="562">
        <v>0.31</v>
      </c>
      <c r="DG145" s="562"/>
      <c r="DH145" s="562"/>
      <c r="DI145" s="562"/>
      <c r="DJ145" s="562"/>
      <c r="DK145" s="562"/>
      <c r="DL145" s="562"/>
      <c r="DM145" s="562"/>
      <c r="DN145" s="562"/>
      <c r="DO145" s="649"/>
      <c r="DP145" s="649"/>
      <c r="DQ145" s="657"/>
      <c r="DR145" s="657"/>
    </row>
    <row r="146" spans="2:122" s="560" customFormat="1">
      <c r="C146" s="560">
        <v>1.25</v>
      </c>
      <c r="P146" s="561"/>
      <c r="Q146" s="562"/>
      <c r="R146" s="562">
        <v>0.51</v>
      </c>
      <c r="S146" s="562"/>
      <c r="T146" s="562"/>
      <c r="U146" s="562"/>
      <c r="V146" s="562"/>
      <c r="W146" s="562"/>
      <c r="X146" s="562"/>
      <c r="Y146" s="562"/>
      <c r="Z146" s="562"/>
      <c r="AA146" s="562"/>
      <c r="AB146" s="562"/>
      <c r="AC146" s="562"/>
      <c r="AD146" s="563"/>
      <c r="AE146" s="561"/>
      <c r="AF146" s="562"/>
      <c r="AG146" s="562"/>
      <c r="AH146" s="562"/>
      <c r="AI146" s="562"/>
      <c r="AJ146" s="632">
        <f>SUM(AJ114:AJ145)</f>
        <v>6</v>
      </c>
      <c r="AK146" s="632">
        <f>SUM(AK114:AK145)</f>
        <v>24</v>
      </c>
      <c r="AL146" s="633"/>
      <c r="AM146" s="634">
        <f>SUM(AM114:AM145)</f>
        <v>12</v>
      </c>
      <c r="AN146" s="562"/>
      <c r="AO146" s="635">
        <f>SUM(AO114:AO145)</f>
        <v>134.40000000000006</v>
      </c>
      <c r="AP146" s="562"/>
      <c r="AQ146" s="636">
        <f>SUM(AQ114:AQ145)</f>
        <v>128.39666666666665</v>
      </c>
      <c r="AR146" s="636">
        <f>SUM(AR114:AR124, AR126:AR145)</f>
        <v>8.370000000000001</v>
      </c>
      <c r="AS146" s="657"/>
      <c r="AT146" s="637">
        <f>SUM(AT115:AT145)</f>
        <v>30</v>
      </c>
      <c r="AU146" s="562"/>
      <c r="AV146" s="562"/>
      <c r="AW146" s="562"/>
      <c r="AX146" s="562"/>
      <c r="AY146" s="562"/>
      <c r="AZ146" s="562"/>
      <c r="BA146" s="562"/>
      <c r="BB146" s="563"/>
      <c r="BD146" s="565"/>
      <c r="BE146" s="565"/>
      <c r="BF146" s="565"/>
      <c r="BG146" s="576" t="s">
        <v>917</v>
      </c>
      <c r="BH146" s="576"/>
      <c r="BI146" s="576"/>
      <c r="BJ146" s="576"/>
      <c r="BK146" s="576"/>
      <c r="BL146" s="576" t="s">
        <v>918</v>
      </c>
      <c r="BM146" s="576"/>
      <c r="BN146" s="576">
        <v>54</v>
      </c>
      <c r="BO146" s="611"/>
      <c r="BP146" s="611"/>
      <c r="BQ146" s="612"/>
      <c r="BR146" s="612"/>
      <c r="BS146" s="576">
        <v>54</v>
      </c>
      <c r="BT146" s="622"/>
      <c r="BU146" s="565"/>
      <c r="DD146" s="561"/>
      <c r="DE146" s="577"/>
      <c r="DF146" s="562">
        <v>0.23</v>
      </c>
      <c r="DG146" s="562"/>
      <c r="DH146" s="562"/>
      <c r="DI146" s="562"/>
      <c r="DJ146" s="562"/>
      <c r="DK146" s="562"/>
      <c r="DL146" s="562"/>
      <c r="DM146" s="562"/>
      <c r="DN146" s="562"/>
      <c r="DO146" s="649"/>
      <c r="DP146" s="649"/>
      <c r="DQ146" s="657"/>
      <c r="DR146" s="657"/>
    </row>
    <row r="147" spans="2:122" s="560" customFormat="1">
      <c r="C147" s="560">
        <v>1.3</v>
      </c>
      <c r="P147" s="561"/>
      <c r="Q147" s="562"/>
      <c r="R147" s="562">
        <v>0.5</v>
      </c>
      <c r="S147" s="562"/>
      <c r="T147" s="562"/>
      <c r="U147" s="562"/>
      <c r="V147" s="562"/>
      <c r="W147" s="562"/>
      <c r="X147" s="562"/>
      <c r="Y147" s="562"/>
      <c r="Z147" s="562"/>
      <c r="AA147" s="562"/>
      <c r="AB147" s="562"/>
      <c r="AC147" s="562"/>
      <c r="AD147" s="563"/>
      <c r="AE147" s="567">
        <v>41123</v>
      </c>
      <c r="AF147" s="568" t="s">
        <v>725</v>
      </c>
      <c r="AG147" s="568"/>
      <c r="AH147" s="568" t="s">
        <v>726</v>
      </c>
      <c r="AI147" s="569" t="s">
        <v>727</v>
      </c>
      <c r="AJ147" s="569"/>
      <c r="AK147" s="569"/>
      <c r="AL147" s="569"/>
      <c r="AM147" s="569"/>
      <c r="AN147" s="569" t="s">
        <v>728</v>
      </c>
      <c r="AO147" s="569"/>
      <c r="AP147" s="569" t="s">
        <v>729</v>
      </c>
      <c r="AQ147" s="651"/>
      <c r="AR147" s="638">
        <f>+AR146/AO146</f>
        <v>6.2276785714285694E-2</v>
      </c>
      <c r="AS147" s="639"/>
      <c r="AT147" s="639"/>
      <c r="AU147" s="569" t="s">
        <v>730</v>
      </c>
      <c r="AV147" s="569" t="s">
        <v>731</v>
      </c>
      <c r="AW147" s="568"/>
      <c r="AX147" s="562"/>
      <c r="AY147" s="562"/>
      <c r="AZ147" s="562"/>
      <c r="BA147" s="562"/>
      <c r="BB147" s="563"/>
      <c r="BC147" s="560" t="s">
        <v>496</v>
      </c>
      <c r="BD147" s="581" t="s">
        <v>919</v>
      </c>
      <c r="BE147" s="582"/>
      <c r="BF147" s="566"/>
      <c r="BG147" s="565"/>
      <c r="BH147" s="565"/>
      <c r="BI147" s="565"/>
      <c r="BJ147" s="565"/>
      <c r="BK147" s="565"/>
      <c r="BL147" s="565"/>
      <c r="BM147" s="565"/>
      <c r="BN147" s="566"/>
      <c r="BO147" s="603"/>
      <c r="BP147" s="581" t="s">
        <v>920</v>
      </c>
      <c r="BQ147" s="604"/>
      <c r="BR147" s="604"/>
      <c r="BS147" s="566"/>
      <c r="BT147" s="576"/>
      <c r="BU147" s="566"/>
      <c r="DD147" s="561"/>
      <c r="DE147" s="577"/>
      <c r="DF147" s="562">
        <v>0.16</v>
      </c>
      <c r="DG147" s="562"/>
      <c r="DH147" s="562"/>
      <c r="DI147" s="562"/>
      <c r="DJ147" s="562"/>
      <c r="DK147" s="562"/>
      <c r="DL147" s="562"/>
      <c r="DM147" s="562"/>
      <c r="DN147" s="562"/>
      <c r="DO147" s="649"/>
      <c r="DP147" s="649"/>
      <c r="DQ147" s="657"/>
      <c r="DR147" s="657"/>
    </row>
    <row r="148" spans="2:122" s="560" customFormat="1">
      <c r="C148" s="560">
        <v>1</v>
      </c>
      <c r="P148" s="561"/>
      <c r="Q148" s="562"/>
      <c r="R148" s="562">
        <v>0.51</v>
      </c>
      <c r="S148" s="562"/>
      <c r="T148" s="562"/>
      <c r="U148" s="562"/>
      <c r="V148" s="562"/>
      <c r="W148" s="562"/>
      <c r="X148" s="562"/>
      <c r="Y148" s="562"/>
      <c r="Z148" s="562"/>
      <c r="AA148" s="562"/>
      <c r="AB148" s="562"/>
      <c r="AC148" s="562"/>
      <c r="AD148" s="563"/>
      <c r="AE148" s="561"/>
      <c r="AF148" s="568"/>
      <c r="AG148" s="568"/>
      <c r="AH148" s="568"/>
      <c r="AI148" s="577" t="s">
        <v>921</v>
      </c>
      <c r="AJ148" s="577"/>
      <c r="AK148" s="577"/>
      <c r="AL148" s="577"/>
      <c r="AM148" s="577"/>
      <c r="AN148" s="577" t="s">
        <v>922</v>
      </c>
      <c r="AO148" s="577"/>
      <c r="AP148" s="577">
        <v>54</v>
      </c>
      <c r="AQ148" s="599"/>
      <c r="AR148" s="599"/>
      <c r="AS148" s="600"/>
      <c r="AT148" s="600"/>
      <c r="AU148" s="577">
        <v>50</v>
      </c>
      <c r="AV148" s="577"/>
      <c r="AW148" s="568"/>
      <c r="AX148" s="562"/>
      <c r="AY148" s="562"/>
      <c r="AZ148" s="562"/>
      <c r="BA148" s="562"/>
      <c r="BB148" s="563"/>
      <c r="BC148" s="585"/>
      <c r="BD148" s="586" t="s">
        <v>755</v>
      </c>
      <c r="BE148" s="586" t="s">
        <v>756</v>
      </c>
      <c r="BF148" s="615" t="s">
        <v>757</v>
      </c>
      <c r="BG148" s="615" t="s">
        <v>758</v>
      </c>
      <c r="BH148" s="615" t="s">
        <v>765</v>
      </c>
      <c r="BI148" s="615" t="s">
        <v>766</v>
      </c>
      <c r="BJ148" s="616" t="s">
        <v>767</v>
      </c>
      <c r="BK148" s="617" t="s">
        <v>768</v>
      </c>
      <c r="BL148" s="586" t="s">
        <v>759</v>
      </c>
      <c r="BM148" s="618" t="s">
        <v>769</v>
      </c>
      <c r="BN148" s="586" t="s">
        <v>760</v>
      </c>
      <c r="BO148" s="619" t="s">
        <v>770</v>
      </c>
      <c r="BP148" s="619" t="s">
        <v>771</v>
      </c>
      <c r="BQ148" s="620" t="s">
        <v>772</v>
      </c>
      <c r="BR148" s="620" t="s">
        <v>773</v>
      </c>
      <c r="BS148" s="586" t="s">
        <v>761</v>
      </c>
      <c r="BT148" s="586" t="s">
        <v>762</v>
      </c>
      <c r="BU148" s="586" t="s">
        <v>763</v>
      </c>
      <c r="BY148" s="586" t="s">
        <v>764</v>
      </c>
      <c r="BZ148" s="576"/>
      <c r="DD148" s="561"/>
      <c r="DE148" s="577"/>
      <c r="DF148" s="562">
        <v>0.26</v>
      </c>
      <c r="DG148" s="562"/>
      <c r="DH148" s="562"/>
      <c r="DI148" s="562"/>
      <c r="DJ148" s="562"/>
      <c r="DK148" s="562"/>
      <c r="DL148" s="562"/>
      <c r="DM148" s="562"/>
      <c r="DN148" s="562"/>
      <c r="DO148" s="649"/>
      <c r="DP148" s="649"/>
      <c r="DQ148" s="657"/>
      <c r="DR148" s="657"/>
    </row>
    <row r="149" spans="2:122" s="560" customFormat="1">
      <c r="C149" s="560">
        <v>1</v>
      </c>
      <c r="P149" s="561"/>
      <c r="Q149" s="562"/>
      <c r="R149" s="562">
        <v>0.5</v>
      </c>
      <c r="S149" s="562"/>
      <c r="T149" s="562"/>
      <c r="U149" s="562"/>
      <c r="V149" s="562"/>
      <c r="W149" s="562"/>
      <c r="X149" s="562"/>
      <c r="Y149" s="562"/>
      <c r="Z149" s="562"/>
      <c r="AA149" s="562"/>
      <c r="AB149" s="562"/>
      <c r="AC149" s="562"/>
      <c r="AD149" s="563"/>
      <c r="AE149" s="561" t="s">
        <v>519</v>
      </c>
      <c r="AF149" s="583" t="s">
        <v>923</v>
      </c>
      <c r="AG149" s="578"/>
      <c r="AH149" s="569"/>
      <c r="AI149" s="568"/>
      <c r="AJ149" s="568"/>
      <c r="AK149" s="568"/>
      <c r="AL149" s="568"/>
      <c r="AM149" s="568"/>
      <c r="AN149" s="568"/>
      <c r="AO149" s="568"/>
      <c r="AP149" s="569"/>
      <c r="AQ149" s="583" t="s">
        <v>924</v>
      </c>
      <c r="AR149" s="651"/>
      <c r="AS149" s="639"/>
      <c r="AT149" s="639"/>
      <c r="AU149" s="569"/>
      <c r="AV149" s="577"/>
      <c r="AW149" s="569"/>
      <c r="AX149" s="562"/>
      <c r="AY149" s="562"/>
      <c r="AZ149" s="562"/>
      <c r="BA149" s="562"/>
      <c r="BB149" s="563"/>
      <c r="BD149" s="576">
        <v>1</v>
      </c>
      <c r="BF149" s="576"/>
      <c r="BG149" s="576"/>
      <c r="BH149" s="576"/>
      <c r="BI149" s="576">
        <v>1</v>
      </c>
      <c r="BJ149" s="576"/>
      <c r="BK149" s="576"/>
      <c r="BL149" s="576">
        <v>2.4</v>
      </c>
      <c r="BM149" s="576">
        <f t="shared" ref="BM149:BM172" si="30">BL149+BL149</f>
        <v>4.8</v>
      </c>
      <c r="BN149" s="576" t="s">
        <v>796</v>
      </c>
      <c r="BO149" s="611">
        <v>5.25</v>
      </c>
      <c r="BP149" s="611">
        <f t="shared" ref="BP149:BP172" si="31">BM149-BO149</f>
        <v>-0.45000000000000018</v>
      </c>
      <c r="BQ149" s="612"/>
      <c r="BR149" s="612">
        <v>1</v>
      </c>
      <c r="BS149" s="576" t="s">
        <v>888</v>
      </c>
      <c r="BT149" s="576"/>
      <c r="BU149" s="581"/>
      <c r="BY149" s="576"/>
      <c r="BZ149" s="576"/>
      <c r="DD149" s="561"/>
      <c r="DE149" s="577"/>
      <c r="DF149" s="562">
        <v>0.25</v>
      </c>
      <c r="DG149" s="562"/>
      <c r="DH149" s="562"/>
      <c r="DI149" s="562"/>
      <c r="DJ149" s="562"/>
      <c r="DK149" s="562"/>
      <c r="DL149" s="562"/>
      <c r="DM149" s="562"/>
      <c r="DN149" s="562"/>
      <c r="DO149" s="649"/>
      <c r="DP149" s="649"/>
      <c r="DQ149" s="657"/>
      <c r="DR149" s="657"/>
    </row>
    <row r="150" spans="2:122" s="560" customFormat="1">
      <c r="C150" s="560">
        <v>1.3</v>
      </c>
      <c r="P150" s="561"/>
      <c r="Q150" s="562"/>
      <c r="R150" s="562">
        <v>0.5</v>
      </c>
      <c r="S150" s="562"/>
      <c r="T150" s="562"/>
      <c r="U150" s="562"/>
      <c r="V150" s="562"/>
      <c r="W150" s="562"/>
      <c r="X150" s="562"/>
      <c r="Y150" s="562"/>
      <c r="Z150" s="562"/>
      <c r="AA150" s="562"/>
      <c r="AB150" s="562"/>
      <c r="AC150" s="562"/>
      <c r="AD150" s="563"/>
      <c r="AE150" s="587"/>
      <c r="AF150" s="588" t="s">
        <v>755</v>
      </c>
      <c r="AG150" s="588" t="s">
        <v>756</v>
      </c>
      <c r="AH150" s="590" t="s">
        <v>757</v>
      </c>
      <c r="AI150" s="590" t="s">
        <v>758</v>
      </c>
      <c r="AJ150" s="590" t="s">
        <v>765</v>
      </c>
      <c r="AK150" s="590" t="s">
        <v>766</v>
      </c>
      <c r="AL150" s="591" t="s">
        <v>767</v>
      </c>
      <c r="AM150" s="592" t="s">
        <v>768</v>
      </c>
      <c r="AN150" s="588" t="s">
        <v>759</v>
      </c>
      <c r="AO150" s="593" t="s">
        <v>769</v>
      </c>
      <c r="AP150" s="588" t="s">
        <v>760</v>
      </c>
      <c r="AQ150" s="663" t="s">
        <v>770</v>
      </c>
      <c r="AR150" s="663" t="s">
        <v>771</v>
      </c>
      <c r="AS150" s="595" t="s">
        <v>772</v>
      </c>
      <c r="AT150" s="595" t="s">
        <v>773</v>
      </c>
      <c r="AU150" s="588" t="s">
        <v>761</v>
      </c>
      <c r="AV150" s="588" t="s">
        <v>762</v>
      </c>
      <c r="AW150" s="588" t="s">
        <v>763</v>
      </c>
      <c r="AX150" s="562"/>
      <c r="AY150" s="562"/>
      <c r="AZ150" s="562"/>
      <c r="BA150" s="588" t="s">
        <v>764</v>
      </c>
      <c r="BB150" s="589"/>
      <c r="BD150" s="576">
        <v>2</v>
      </c>
      <c r="BE150" s="576"/>
      <c r="BF150" s="576">
        <v>2.6</v>
      </c>
      <c r="BG150" s="576" t="s">
        <v>828</v>
      </c>
      <c r="BH150" s="576"/>
      <c r="BI150" s="576">
        <v>1</v>
      </c>
      <c r="BJ150" s="576"/>
      <c r="BK150" s="576"/>
      <c r="BL150" s="576">
        <v>2.7</v>
      </c>
      <c r="BM150" s="576">
        <f t="shared" si="30"/>
        <v>5.4</v>
      </c>
      <c r="BN150" s="576" t="s">
        <v>796</v>
      </c>
      <c r="BO150" s="611">
        <v>5.25</v>
      </c>
      <c r="BP150" s="611">
        <f t="shared" si="31"/>
        <v>0.15000000000000036</v>
      </c>
      <c r="BQ150" s="612"/>
      <c r="BR150" s="612">
        <v>1</v>
      </c>
      <c r="BS150" s="576" t="s">
        <v>859</v>
      </c>
      <c r="BT150" s="576"/>
      <c r="BY150" s="585" t="s">
        <v>780</v>
      </c>
      <c r="BZ150" s="585" t="s">
        <v>616</v>
      </c>
      <c r="DD150" s="561"/>
      <c r="DE150" s="577" t="s">
        <v>925</v>
      </c>
      <c r="DF150" s="562">
        <v>0.43</v>
      </c>
      <c r="DG150" s="562"/>
      <c r="DH150" s="562"/>
      <c r="DI150" s="562"/>
      <c r="DJ150" s="562"/>
      <c r="DK150" s="562"/>
      <c r="DL150" s="562"/>
      <c r="DM150" s="562"/>
      <c r="DN150" s="562"/>
      <c r="DO150" s="649"/>
      <c r="DP150" s="649"/>
      <c r="DQ150" s="657"/>
      <c r="DR150" s="657"/>
    </row>
    <row r="151" spans="2:122" s="560" customFormat="1">
      <c r="C151" s="560">
        <v>1.3</v>
      </c>
      <c r="P151" s="561"/>
      <c r="Q151" s="562"/>
      <c r="R151" s="562">
        <v>0.5</v>
      </c>
      <c r="S151" s="562"/>
      <c r="T151" s="562"/>
      <c r="U151" s="562"/>
      <c r="V151" s="562"/>
      <c r="W151" s="562"/>
      <c r="X151" s="562"/>
      <c r="Y151" s="562"/>
      <c r="Z151" s="562"/>
      <c r="AA151" s="562"/>
      <c r="AB151" s="562"/>
      <c r="AC151" s="562"/>
      <c r="AD151" s="563"/>
      <c r="AE151" s="561"/>
      <c r="AF151" s="568">
        <v>0.5</v>
      </c>
      <c r="AG151" s="562"/>
      <c r="AH151" s="577">
        <v>0.1</v>
      </c>
      <c r="AI151" s="577"/>
      <c r="AJ151" s="577"/>
      <c r="AK151" s="577"/>
      <c r="AL151" s="577"/>
      <c r="AM151" s="577"/>
      <c r="AN151" s="562"/>
      <c r="AO151" s="562"/>
      <c r="AP151" s="598"/>
      <c r="AQ151" s="599"/>
      <c r="AR151" s="599"/>
      <c r="AS151" s="600"/>
      <c r="AT151" s="600"/>
      <c r="AU151" s="577"/>
      <c r="AV151" s="584">
        <v>1612</v>
      </c>
      <c r="AW151" s="562"/>
      <c r="AX151" s="562"/>
      <c r="AY151" s="562"/>
      <c r="AZ151" s="562"/>
      <c r="BA151" s="577"/>
      <c r="BB151" s="589"/>
      <c r="BD151" s="576">
        <v>3</v>
      </c>
      <c r="BE151" s="576"/>
      <c r="BF151" s="576"/>
      <c r="BG151" s="576"/>
      <c r="BH151" s="576"/>
      <c r="BI151" s="576">
        <v>1</v>
      </c>
      <c r="BJ151" s="576"/>
      <c r="BK151" s="576"/>
      <c r="BL151" s="576">
        <v>2.2999999999999998</v>
      </c>
      <c r="BM151" s="576">
        <f t="shared" si="30"/>
        <v>4.5999999999999996</v>
      </c>
      <c r="BN151" s="576" t="s">
        <v>796</v>
      </c>
      <c r="BO151" s="611">
        <v>5.25</v>
      </c>
      <c r="BP151" s="611">
        <f t="shared" si="31"/>
        <v>-0.65000000000000036</v>
      </c>
      <c r="BQ151" s="612"/>
      <c r="BR151" s="612">
        <v>1</v>
      </c>
      <c r="BS151" s="576" t="s">
        <v>888</v>
      </c>
      <c r="BT151" s="576"/>
      <c r="BY151" s="585" t="s">
        <v>785</v>
      </c>
      <c r="BZ151" s="585" t="s">
        <v>542</v>
      </c>
      <c r="DD151" s="561"/>
      <c r="DE151" s="577"/>
      <c r="DF151" s="562">
        <v>0.35</v>
      </c>
      <c r="DG151" s="562"/>
      <c r="DH151" s="562"/>
      <c r="DI151" s="562"/>
      <c r="DJ151" s="562"/>
      <c r="DK151" s="562"/>
      <c r="DL151" s="562"/>
      <c r="DM151" s="562"/>
      <c r="DN151" s="562"/>
      <c r="DO151" s="649"/>
      <c r="DP151" s="649"/>
      <c r="DQ151" s="657"/>
      <c r="DR151" s="657"/>
    </row>
    <row r="152" spans="2:122" s="560" customFormat="1">
      <c r="C152" s="560">
        <v>1.3</v>
      </c>
      <c r="P152" s="561"/>
      <c r="Q152" s="562"/>
      <c r="R152" s="562">
        <v>0.5</v>
      </c>
      <c r="S152" s="562"/>
      <c r="T152" s="562"/>
      <c r="U152" s="562"/>
      <c r="V152" s="562"/>
      <c r="W152" s="562"/>
      <c r="X152" s="562"/>
      <c r="Y152" s="562"/>
      <c r="Z152" s="562"/>
      <c r="AA152" s="562"/>
      <c r="AB152" s="562"/>
      <c r="AC152" s="562"/>
      <c r="AD152" s="563"/>
      <c r="AE152" s="561"/>
      <c r="AF152" s="568">
        <v>1</v>
      </c>
      <c r="AG152" s="562"/>
      <c r="AH152" s="569"/>
      <c r="AI152" s="577"/>
      <c r="AJ152" s="577"/>
      <c r="AK152" s="577">
        <v>1</v>
      </c>
      <c r="AL152" s="577"/>
      <c r="AM152" s="577"/>
      <c r="AN152" s="562">
        <v>2.2000000000000002</v>
      </c>
      <c r="AO152" s="562">
        <f t="shared" ref="AO152:AO159" si="32">AN152+AN152</f>
        <v>4.4000000000000004</v>
      </c>
      <c r="AP152" s="598">
        <v>0.140625</v>
      </c>
      <c r="AQ152" s="599">
        <v>4.21</v>
      </c>
      <c r="AR152" s="599">
        <f t="shared" ref="AR152:AR159" si="33">AO152-AQ152</f>
        <v>0.19000000000000039</v>
      </c>
      <c r="AS152" s="600"/>
      <c r="AT152" s="600">
        <v>1</v>
      </c>
      <c r="AU152" s="577" t="s">
        <v>778</v>
      </c>
      <c r="AV152" s="609"/>
      <c r="AW152" s="562"/>
      <c r="AX152" s="562"/>
      <c r="AY152" s="562"/>
      <c r="AZ152" s="562"/>
      <c r="BA152" s="607" t="s">
        <v>780</v>
      </c>
      <c r="BB152" s="608" t="s">
        <v>616</v>
      </c>
      <c r="BD152" s="576">
        <v>4</v>
      </c>
      <c r="BE152" s="576"/>
      <c r="BF152" s="576"/>
      <c r="BG152" s="576"/>
      <c r="BH152" s="576"/>
      <c r="BI152" s="576">
        <v>1</v>
      </c>
      <c r="BJ152" s="576"/>
      <c r="BK152" s="576"/>
      <c r="BL152" s="576">
        <v>2.2999999999999998</v>
      </c>
      <c r="BM152" s="576">
        <f t="shared" si="30"/>
        <v>4.5999999999999996</v>
      </c>
      <c r="BN152" s="576" t="s">
        <v>779</v>
      </c>
      <c r="BO152" s="611">
        <v>4.25</v>
      </c>
      <c r="BP152" s="611">
        <f t="shared" si="31"/>
        <v>0.34999999999999964</v>
      </c>
      <c r="BQ152" s="612">
        <v>1</v>
      </c>
      <c r="BR152" s="612"/>
      <c r="BS152" s="576" t="s">
        <v>859</v>
      </c>
      <c r="BT152" s="576"/>
      <c r="BY152" s="585" t="s">
        <v>789</v>
      </c>
      <c r="BZ152" s="585" t="s">
        <v>790</v>
      </c>
      <c r="DD152" s="561"/>
      <c r="DE152" s="577"/>
      <c r="DF152" s="562">
        <v>0.35</v>
      </c>
      <c r="DG152" s="562"/>
      <c r="DH152" s="562"/>
      <c r="DI152" s="562"/>
      <c r="DJ152" s="562"/>
      <c r="DK152" s="562"/>
      <c r="DL152" s="562"/>
      <c r="DM152" s="562"/>
      <c r="DN152" s="562"/>
      <c r="DO152" s="649"/>
      <c r="DP152" s="649"/>
      <c r="DQ152" s="657"/>
      <c r="DR152" s="657"/>
    </row>
    <row r="153" spans="2:122" s="560" customFormat="1">
      <c r="C153" s="560">
        <v>1</v>
      </c>
      <c r="P153" s="561"/>
      <c r="Q153" s="562"/>
      <c r="R153" s="562">
        <v>0.5</v>
      </c>
      <c r="S153" s="562"/>
      <c r="T153" s="562"/>
      <c r="U153" s="562"/>
      <c r="V153" s="562"/>
      <c r="W153" s="562"/>
      <c r="X153" s="562"/>
      <c r="Y153" s="562"/>
      <c r="Z153" s="562"/>
      <c r="AA153" s="562"/>
      <c r="AB153" s="562"/>
      <c r="AC153" s="562"/>
      <c r="AD153" s="563"/>
      <c r="AE153" s="561"/>
      <c r="AF153" s="568">
        <v>2</v>
      </c>
      <c r="AG153" s="562"/>
      <c r="AH153" s="577">
        <v>0.2</v>
      </c>
      <c r="AI153" s="577" t="s">
        <v>793</v>
      </c>
      <c r="AJ153" s="577"/>
      <c r="AK153" s="577">
        <v>1</v>
      </c>
      <c r="AL153" s="577"/>
      <c r="AM153" s="577">
        <v>1</v>
      </c>
      <c r="AN153" s="562">
        <v>2.2000000000000002</v>
      </c>
      <c r="AO153" s="562">
        <f t="shared" si="32"/>
        <v>4.4000000000000004</v>
      </c>
      <c r="AP153" s="598">
        <v>0.140625</v>
      </c>
      <c r="AQ153" s="599">
        <v>4.2061290322580644</v>
      </c>
      <c r="AR153" s="599">
        <f t="shared" si="33"/>
        <v>0.19387096774193591</v>
      </c>
      <c r="AS153" s="600"/>
      <c r="AT153" s="600">
        <v>1</v>
      </c>
      <c r="AU153" s="577" t="s">
        <v>778</v>
      </c>
      <c r="AV153" s="584">
        <v>1611</v>
      </c>
      <c r="AW153" s="562"/>
      <c r="AX153" s="562"/>
      <c r="AY153" s="562"/>
      <c r="AZ153" s="562"/>
      <c r="BA153" s="607" t="s">
        <v>785</v>
      </c>
      <c r="BB153" s="608" t="s">
        <v>542</v>
      </c>
      <c r="BD153" s="576">
        <v>5</v>
      </c>
      <c r="BE153" s="576"/>
      <c r="BF153" s="576">
        <v>0.2</v>
      </c>
      <c r="BG153" s="576" t="s">
        <v>802</v>
      </c>
      <c r="BH153" s="576"/>
      <c r="BI153" s="576">
        <v>1</v>
      </c>
      <c r="BJ153" s="576">
        <v>1</v>
      </c>
      <c r="BK153" s="576"/>
      <c r="BL153" s="576">
        <v>2.7</v>
      </c>
      <c r="BM153" s="576">
        <f t="shared" si="30"/>
        <v>5.4</v>
      </c>
      <c r="BN153" s="576" t="s">
        <v>796</v>
      </c>
      <c r="BO153" s="611">
        <v>5.25</v>
      </c>
      <c r="BP153" s="611">
        <f t="shared" si="31"/>
        <v>0.15000000000000036</v>
      </c>
      <c r="BQ153" s="612"/>
      <c r="BR153" s="612">
        <v>1</v>
      </c>
      <c r="BS153" s="576" t="s">
        <v>859</v>
      </c>
      <c r="BT153" s="622" t="s">
        <v>926</v>
      </c>
      <c r="BY153" s="585" t="s">
        <v>791</v>
      </c>
      <c r="BZ153" s="585" t="s">
        <v>792</v>
      </c>
      <c r="DD153" s="561"/>
      <c r="DE153" s="577"/>
      <c r="DF153" s="562">
        <v>0.09</v>
      </c>
      <c r="DG153" s="562"/>
      <c r="DH153" s="562"/>
      <c r="DI153" s="562"/>
      <c r="DJ153" s="562"/>
      <c r="DK153" s="562"/>
      <c r="DL153" s="562"/>
      <c r="DM153" s="562"/>
      <c r="DN153" s="562"/>
      <c r="DO153" s="649"/>
      <c r="DP153" s="649"/>
      <c r="DQ153" s="657"/>
      <c r="DR153" s="657"/>
    </row>
    <row r="154" spans="2:122" s="560" customFormat="1">
      <c r="B154" s="560" t="s">
        <v>799</v>
      </c>
      <c r="P154" s="561"/>
      <c r="Q154" s="562"/>
      <c r="R154" s="562">
        <v>46</v>
      </c>
      <c r="S154" s="562"/>
      <c r="T154" s="562"/>
      <c r="U154" s="562"/>
      <c r="V154" s="562"/>
      <c r="W154" s="562"/>
      <c r="X154" s="562"/>
      <c r="Y154" s="562"/>
      <c r="Z154" s="562"/>
      <c r="AA154" s="562"/>
      <c r="AB154" s="562"/>
      <c r="AC154" s="562"/>
      <c r="AD154" s="563"/>
      <c r="AE154" s="561"/>
      <c r="AF154" s="568">
        <v>3</v>
      </c>
      <c r="AG154" s="562"/>
      <c r="AH154" s="577">
        <v>0.6</v>
      </c>
      <c r="AI154" s="577" t="s">
        <v>793</v>
      </c>
      <c r="AJ154" s="577"/>
      <c r="AK154" s="577">
        <v>1</v>
      </c>
      <c r="AL154" s="577"/>
      <c r="AM154" s="577">
        <v>1</v>
      </c>
      <c r="AN154" s="562">
        <v>2.25</v>
      </c>
      <c r="AO154" s="562">
        <f t="shared" si="32"/>
        <v>4.5</v>
      </c>
      <c r="AP154" s="598">
        <v>0.140625</v>
      </c>
      <c r="AQ154" s="599">
        <v>4.2022580645161289</v>
      </c>
      <c r="AR154" s="599">
        <f t="shared" si="33"/>
        <v>0.29774193548387107</v>
      </c>
      <c r="AS154" s="600"/>
      <c r="AT154" s="600">
        <v>1</v>
      </c>
      <c r="AU154" s="577" t="s">
        <v>778</v>
      </c>
      <c r="AV154" s="584">
        <v>1610</v>
      </c>
      <c r="AW154" s="562"/>
      <c r="AX154" s="562"/>
      <c r="AY154" s="562"/>
      <c r="AZ154" s="562"/>
      <c r="BA154" s="607" t="s">
        <v>789</v>
      </c>
      <c r="BB154" s="608" t="s">
        <v>790</v>
      </c>
      <c r="BD154" s="576">
        <v>6</v>
      </c>
      <c r="BE154" s="576"/>
      <c r="BF154" s="576"/>
      <c r="BG154" s="576"/>
      <c r="BH154" s="576"/>
      <c r="BI154" s="576">
        <v>1</v>
      </c>
      <c r="BJ154" s="576"/>
      <c r="BK154" s="576"/>
      <c r="BL154" s="576">
        <v>2.8</v>
      </c>
      <c r="BM154" s="576">
        <f t="shared" si="30"/>
        <v>5.6</v>
      </c>
      <c r="BN154" s="576" t="s">
        <v>796</v>
      </c>
      <c r="BO154" s="611">
        <v>5.25</v>
      </c>
      <c r="BP154" s="611">
        <f t="shared" si="31"/>
        <v>0.34999999999999964</v>
      </c>
      <c r="BQ154" s="612"/>
      <c r="BR154" s="612">
        <v>1</v>
      </c>
      <c r="BS154" s="576" t="s">
        <v>859</v>
      </c>
      <c r="BT154" s="576"/>
      <c r="BV154" s="627" t="s">
        <v>806</v>
      </c>
      <c r="BW154" s="627">
        <f>COUNT(BP149:BP175)</f>
        <v>26</v>
      </c>
      <c r="BY154" s="585" t="s">
        <v>794</v>
      </c>
      <c r="BZ154" s="585" t="s">
        <v>795</v>
      </c>
      <c r="DD154" s="561"/>
      <c r="DE154" s="577"/>
      <c r="DF154" s="562">
        <v>7.4999999999999997E-2</v>
      </c>
      <c r="DG154" s="562"/>
      <c r="DH154" s="562"/>
      <c r="DI154" s="562"/>
      <c r="DJ154" s="562"/>
      <c r="DK154" s="562"/>
      <c r="DL154" s="562"/>
      <c r="DM154" s="562"/>
      <c r="DN154" s="562"/>
      <c r="DO154" s="649"/>
      <c r="DP154" s="649"/>
      <c r="DQ154" s="657"/>
      <c r="DR154" s="657"/>
    </row>
    <row r="155" spans="2:122" s="560" customFormat="1">
      <c r="C155" s="560">
        <v>1.3</v>
      </c>
      <c r="P155" s="561"/>
      <c r="Q155" s="562"/>
      <c r="R155" s="562">
        <v>0.5</v>
      </c>
      <c r="S155" s="562"/>
      <c r="T155" s="562"/>
      <c r="U155" s="562"/>
      <c r="V155" s="562"/>
      <c r="W155" s="562"/>
      <c r="X155" s="562"/>
      <c r="Y155" s="562"/>
      <c r="Z155" s="562"/>
      <c r="AA155" s="562"/>
      <c r="AB155" s="562"/>
      <c r="AC155" s="562"/>
      <c r="AD155" s="563"/>
      <c r="AE155" s="561"/>
      <c r="AF155" s="568">
        <v>4</v>
      </c>
      <c r="AG155" s="562"/>
      <c r="AH155" s="577"/>
      <c r="AI155" s="577"/>
      <c r="AJ155" s="577"/>
      <c r="AK155" s="577">
        <v>1</v>
      </c>
      <c r="AL155" s="577"/>
      <c r="AM155" s="577"/>
      <c r="AN155" s="562">
        <v>2.25</v>
      </c>
      <c r="AO155" s="562">
        <f t="shared" si="32"/>
        <v>4.5</v>
      </c>
      <c r="AP155" s="598">
        <v>0.140625</v>
      </c>
      <c r="AQ155" s="599">
        <v>4.1983870967741934</v>
      </c>
      <c r="AR155" s="599">
        <f t="shared" si="33"/>
        <v>0.30161290322580658</v>
      </c>
      <c r="AS155" s="600"/>
      <c r="AT155" s="600">
        <v>1</v>
      </c>
      <c r="AU155" s="577" t="s">
        <v>778</v>
      </c>
      <c r="AV155" s="584"/>
      <c r="AW155" s="562"/>
      <c r="AX155" s="562"/>
      <c r="AY155" s="562"/>
      <c r="AZ155" s="562"/>
      <c r="BA155" s="607" t="s">
        <v>791</v>
      </c>
      <c r="BB155" s="608" t="s">
        <v>792</v>
      </c>
      <c r="BD155" s="576">
        <v>7</v>
      </c>
      <c r="BE155" s="576"/>
      <c r="BF155" s="576">
        <v>0.4</v>
      </c>
      <c r="BG155" s="576" t="s">
        <v>802</v>
      </c>
      <c r="BH155" s="576"/>
      <c r="BI155" s="576">
        <v>1</v>
      </c>
      <c r="BJ155" s="576"/>
      <c r="BK155" s="576"/>
      <c r="BL155" s="576">
        <v>2.7</v>
      </c>
      <c r="BM155" s="576">
        <f t="shared" si="30"/>
        <v>5.4</v>
      </c>
      <c r="BN155" s="576" t="s">
        <v>796</v>
      </c>
      <c r="BO155" s="611">
        <v>5.25</v>
      </c>
      <c r="BP155" s="611">
        <f t="shared" si="31"/>
        <v>0.15000000000000036</v>
      </c>
      <c r="BQ155" s="612"/>
      <c r="BR155" s="612">
        <v>1</v>
      </c>
      <c r="BS155" s="576" t="s">
        <v>859</v>
      </c>
      <c r="BT155" s="622" t="s">
        <v>927</v>
      </c>
      <c r="BV155" s="627" t="s">
        <v>812</v>
      </c>
      <c r="BW155" s="628">
        <f>SUM(BP149:BP175)</f>
        <v>8.3000000000000025</v>
      </c>
      <c r="BY155" s="585" t="s">
        <v>798</v>
      </c>
      <c r="BZ155" s="585" t="s">
        <v>546</v>
      </c>
      <c r="DD155" s="561"/>
      <c r="DE155" s="577"/>
      <c r="DF155" s="562">
        <v>0.1</v>
      </c>
      <c r="DG155" s="562"/>
      <c r="DH155" s="562"/>
      <c r="DI155" s="562"/>
      <c r="DJ155" s="562"/>
      <c r="DK155" s="562"/>
      <c r="DL155" s="562"/>
      <c r="DM155" s="562"/>
      <c r="DN155" s="562"/>
      <c r="DO155" s="649"/>
      <c r="DP155" s="649"/>
      <c r="DQ155" s="657"/>
      <c r="DR155" s="657"/>
    </row>
    <row r="156" spans="2:122" s="560" customFormat="1">
      <c r="C156" s="560">
        <v>1.3</v>
      </c>
      <c r="P156" s="561"/>
      <c r="Q156" s="562"/>
      <c r="R156" s="562">
        <v>0.45</v>
      </c>
      <c r="S156" s="562"/>
      <c r="T156" s="562"/>
      <c r="U156" s="562"/>
      <c r="V156" s="562"/>
      <c r="W156" s="562"/>
      <c r="X156" s="562"/>
      <c r="Y156" s="562"/>
      <c r="Z156" s="562"/>
      <c r="AA156" s="562"/>
      <c r="AB156" s="562"/>
      <c r="AC156" s="562"/>
      <c r="AD156" s="563"/>
      <c r="AE156" s="561"/>
      <c r="AF156" s="568">
        <v>5</v>
      </c>
      <c r="AG156" s="562"/>
      <c r="AH156" s="577">
        <v>0.5</v>
      </c>
      <c r="AI156" s="577" t="s">
        <v>793</v>
      </c>
      <c r="AJ156" s="577"/>
      <c r="AK156" s="577">
        <v>1</v>
      </c>
      <c r="AL156" s="577"/>
      <c r="AM156" s="577">
        <v>1</v>
      </c>
      <c r="AN156" s="562">
        <v>2.2000000000000002</v>
      </c>
      <c r="AO156" s="562">
        <f t="shared" si="32"/>
        <v>4.4000000000000004</v>
      </c>
      <c r="AP156" s="598">
        <v>0.140625</v>
      </c>
      <c r="AQ156" s="599">
        <v>4.1945161290322579</v>
      </c>
      <c r="AR156" s="599">
        <f t="shared" si="33"/>
        <v>0.20548387096774245</v>
      </c>
      <c r="AS156" s="600"/>
      <c r="AT156" s="600">
        <v>1</v>
      </c>
      <c r="AU156" s="577" t="s">
        <v>778</v>
      </c>
      <c r="AV156" s="577">
        <v>1609</v>
      </c>
      <c r="AW156" s="562"/>
      <c r="AX156" s="562"/>
      <c r="AY156" s="562"/>
      <c r="AZ156" s="562"/>
      <c r="BA156" s="607" t="s">
        <v>794</v>
      </c>
      <c r="BB156" s="608" t="s">
        <v>795</v>
      </c>
      <c r="BD156" s="576">
        <v>8</v>
      </c>
      <c r="BE156" s="576"/>
      <c r="BF156" s="576">
        <v>0.5</v>
      </c>
      <c r="BG156" s="576" t="s">
        <v>793</v>
      </c>
      <c r="BH156" s="576"/>
      <c r="BI156" s="576">
        <v>1</v>
      </c>
      <c r="BJ156" s="576"/>
      <c r="BK156" s="576">
        <v>1</v>
      </c>
      <c r="BL156" s="576">
        <v>2.2000000000000002</v>
      </c>
      <c r="BM156" s="576">
        <f t="shared" si="30"/>
        <v>4.4000000000000004</v>
      </c>
      <c r="BN156" s="576" t="s">
        <v>796</v>
      </c>
      <c r="BO156" s="611">
        <v>5.25</v>
      </c>
      <c r="BP156" s="611">
        <f t="shared" si="31"/>
        <v>-0.84999999999999964</v>
      </c>
      <c r="BQ156" s="612"/>
      <c r="BR156" s="612">
        <v>1</v>
      </c>
      <c r="BS156" s="576" t="s">
        <v>859</v>
      </c>
      <c r="BT156" s="622" t="s">
        <v>928</v>
      </c>
      <c r="BV156" s="627" t="s">
        <v>811</v>
      </c>
      <c r="BW156" s="628">
        <f>MAX(BP149:BP175)</f>
        <v>1.1500000000000004</v>
      </c>
      <c r="BY156" s="585" t="s">
        <v>800</v>
      </c>
      <c r="BZ156" s="585" t="s">
        <v>801</v>
      </c>
      <c r="DD156" s="561"/>
      <c r="DE156" s="577"/>
      <c r="DF156" s="562" t="s">
        <v>115</v>
      </c>
      <c r="DG156" s="562"/>
      <c r="DH156" s="562"/>
      <c r="DI156" s="562"/>
      <c r="DJ156" s="562"/>
      <c r="DK156" s="562"/>
      <c r="DL156" s="562"/>
      <c r="DM156" s="562"/>
      <c r="DN156" s="562"/>
      <c r="DO156" s="649"/>
      <c r="DP156" s="649"/>
      <c r="DQ156" s="657"/>
      <c r="DR156" s="657"/>
    </row>
    <row r="157" spans="2:122" s="560" customFormat="1">
      <c r="C157" s="560">
        <v>1.3</v>
      </c>
      <c r="P157" s="561"/>
      <c r="Q157" s="562"/>
      <c r="R157" s="562">
        <v>0.45</v>
      </c>
      <c r="S157" s="562"/>
      <c r="T157" s="562"/>
      <c r="U157" s="562"/>
      <c r="V157" s="562"/>
      <c r="W157" s="562"/>
      <c r="X157" s="562"/>
      <c r="Y157" s="562"/>
      <c r="Z157" s="562"/>
      <c r="AA157" s="562"/>
      <c r="AB157" s="562"/>
      <c r="AC157" s="562"/>
      <c r="AD157" s="563"/>
      <c r="AE157" s="561"/>
      <c r="AF157" s="568">
        <v>6</v>
      </c>
      <c r="AG157" s="562"/>
      <c r="AH157" s="577"/>
      <c r="AI157" s="577"/>
      <c r="AJ157" s="577"/>
      <c r="AK157" s="577">
        <v>1</v>
      </c>
      <c r="AL157" s="577"/>
      <c r="AM157" s="577"/>
      <c r="AN157" s="562">
        <v>2.25</v>
      </c>
      <c r="AO157" s="562">
        <f t="shared" si="32"/>
        <v>4.5</v>
      </c>
      <c r="AP157" s="598">
        <v>0.140625</v>
      </c>
      <c r="AQ157" s="599">
        <v>4.1906451612903224</v>
      </c>
      <c r="AR157" s="599">
        <f t="shared" si="33"/>
        <v>0.30935483870967762</v>
      </c>
      <c r="AS157" s="600"/>
      <c r="AT157" s="600">
        <v>1</v>
      </c>
      <c r="AU157" s="577" t="s">
        <v>778</v>
      </c>
      <c r="AV157" s="577"/>
      <c r="AW157" s="562"/>
      <c r="AX157" s="562"/>
      <c r="AY157" s="562"/>
      <c r="AZ157" s="562"/>
      <c r="BA157" s="607" t="s">
        <v>798</v>
      </c>
      <c r="BB157" s="608" t="s">
        <v>546</v>
      </c>
      <c r="BD157" s="576">
        <v>9</v>
      </c>
      <c r="BE157" s="576"/>
      <c r="BF157" s="576"/>
      <c r="BG157" s="576"/>
      <c r="BH157" s="576"/>
      <c r="BI157" s="576">
        <v>1</v>
      </c>
      <c r="BJ157" s="576"/>
      <c r="BK157" s="576"/>
      <c r="BL157" s="576">
        <v>2.7</v>
      </c>
      <c r="BM157" s="576">
        <f t="shared" si="30"/>
        <v>5.4</v>
      </c>
      <c r="BN157" s="576" t="s">
        <v>779</v>
      </c>
      <c r="BO157" s="611">
        <v>4.25</v>
      </c>
      <c r="BP157" s="611">
        <f t="shared" si="31"/>
        <v>1.1500000000000004</v>
      </c>
      <c r="BQ157" s="612">
        <v>1</v>
      </c>
      <c r="BR157" s="612"/>
      <c r="BS157" s="576" t="s">
        <v>859</v>
      </c>
      <c r="BT157" s="576"/>
      <c r="BV157" s="627" t="s">
        <v>814</v>
      </c>
      <c r="BW157" s="628">
        <f>MIN(BP149:BP175)</f>
        <v>-0.84999999999999964</v>
      </c>
      <c r="BY157" s="585" t="s">
        <v>804</v>
      </c>
      <c r="BZ157" s="585" t="s">
        <v>805</v>
      </c>
      <c r="DD157" s="561"/>
      <c r="DE157" s="577"/>
      <c r="DF157" s="562">
        <v>0.6</v>
      </c>
      <c r="DG157" s="562"/>
      <c r="DH157" s="562"/>
      <c r="DI157" s="562"/>
      <c r="DJ157" s="562"/>
      <c r="DK157" s="562"/>
      <c r="DL157" s="562"/>
      <c r="DM157" s="562"/>
      <c r="DN157" s="562"/>
      <c r="DO157" s="649"/>
      <c r="DP157" s="649"/>
      <c r="DQ157" s="657"/>
      <c r="DR157" s="657"/>
    </row>
    <row r="158" spans="2:122" s="560" customFormat="1">
      <c r="C158" s="560">
        <v>1.3</v>
      </c>
      <c r="P158" s="561"/>
      <c r="Q158" s="562"/>
      <c r="R158" s="562">
        <v>0.55000000000000004</v>
      </c>
      <c r="S158" s="562"/>
      <c r="T158" s="562"/>
      <c r="U158" s="562"/>
      <c r="V158" s="562"/>
      <c r="W158" s="562"/>
      <c r="X158" s="562"/>
      <c r="Y158" s="562"/>
      <c r="Z158" s="562"/>
      <c r="AA158" s="562"/>
      <c r="AB158" s="562"/>
      <c r="AC158" s="562"/>
      <c r="AD158" s="563"/>
      <c r="AE158" s="561"/>
      <c r="AF158" s="568">
        <v>7</v>
      </c>
      <c r="AG158" s="562"/>
      <c r="AH158" s="577"/>
      <c r="AI158" s="577"/>
      <c r="AJ158" s="577"/>
      <c r="AK158" s="577">
        <v>1</v>
      </c>
      <c r="AL158" s="577"/>
      <c r="AM158" s="577"/>
      <c r="AN158" s="562">
        <v>2.35</v>
      </c>
      <c r="AO158" s="562">
        <f t="shared" si="32"/>
        <v>4.7</v>
      </c>
      <c r="AP158" s="598">
        <v>0.140625</v>
      </c>
      <c r="AQ158" s="599">
        <v>4.1867741935483869</v>
      </c>
      <c r="AR158" s="599">
        <f t="shared" si="33"/>
        <v>0.51322580645161331</v>
      </c>
      <c r="AS158" s="600"/>
      <c r="AT158" s="600">
        <v>1</v>
      </c>
      <c r="AU158" s="577" t="s">
        <v>778</v>
      </c>
      <c r="AV158" s="577"/>
      <c r="AW158" s="562"/>
      <c r="AX158" s="562"/>
      <c r="AY158" s="562"/>
      <c r="AZ158" s="562"/>
      <c r="BA158" s="607" t="s">
        <v>800</v>
      </c>
      <c r="BB158" s="608" t="s">
        <v>801</v>
      </c>
      <c r="BD158" s="576">
        <v>10</v>
      </c>
      <c r="BE158" s="576"/>
      <c r="BF158" s="576"/>
      <c r="BG158" s="576"/>
      <c r="BH158" s="576"/>
      <c r="BI158" s="576">
        <v>1</v>
      </c>
      <c r="BJ158" s="576"/>
      <c r="BK158" s="576"/>
      <c r="BL158" s="576">
        <v>2.4</v>
      </c>
      <c r="BM158" s="576">
        <f t="shared" si="30"/>
        <v>4.8</v>
      </c>
      <c r="BN158" s="576" t="s">
        <v>796</v>
      </c>
      <c r="BO158" s="611">
        <v>5.25</v>
      </c>
      <c r="BP158" s="611">
        <f t="shared" si="31"/>
        <v>-0.45000000000000018</v>
      </c>
      <c r="BQ158" s="612"/>
      <c r="BR158" s="612">
        <v>1</v>
      </c>
      <c r="BS158" s="576" t="s">
        <v>859</v>
      </c>
      <c r="BT158" s="576"/>
      <c r="BV158" s="627" t="s">
        <v>817</v>
      </c>
      <c r="BW158" s="628">
        <f>AVERAGE(BP149:BP175)</f>
        <v>0.31923076923076932</v>
      </c>
      <c r="BY158" s="585" t="s">
        <v>807</v>
      </c>
      <c r="BZ158" s="585" t="s">
        <v>808</v>
      </c>
      <c r="DD158" s="561"/>
      <c r="DE158" s="577" t="s">
        <v>929</v>
      </c>
      <c r="DF158" s="562" t="s">
        <v>930</v>
      </c>
      <c r="DG158" s="562"/>
      <c r="DH158" s="562"/>
      <c r="DI158" s="562"/>
      <c r="DJ158" s="562"/>
      <c r="DK158" s="562"/>
      <c r="DL158" s="562"/>
      <c r="DM158" s="562"/>
      <c r="DN158" s="562"/>
      <c r="DO158" s="649"/>
      <c r="DP158" s="649"/>
      <c r="DQ158" s="657"/>
      <c r="DR158" s="657"/>
    </row>
    <row r="159" spans="2:122" s="560" customFormat="1">
      <c r="C159" s="560">
        <v>1.4</v>
      </c>
      <c r="P159" s="561"/>
      <c r="Q159" s="562"/>
      <c r="R159" s="562">
        <v>0.6</v>
      </c>
      <c r="S159" s="562"/>
      <c r="T159" s="562"/>
      <c r="U159" s="562"/>
      <c r="V159" s="562"/>
      <c r="W159" s="562"/>
      <c r="X159" s="562"/>
      <c r="Y159" s="562"/>
      <c r="Z159" s="562"/>
      <c r="AA159" s="562"/>
      <c r="AB159" s="562"/>
      <c r="AC159" s="562"/>
      <c r="AD159" s="563"/>
      <c r="AE159" s="561"/>
      <c r="AF159" s="568">
        <v>8</v>
      </c>
      <c r="AG159" s="562"/>
      <c r="AH159" s="577">
        <v>0.25</v>
      </c>
      <c r="AI159" s="577" t="s">
        <v>777</v>
      </c>
      <c r="AJ159" s="577">
        <v>1</v>
      </c>
      <c r="AK159" s="577"/>
      <c r="AL159" s="577"/>
      <c r="AM159" s="577"/>
      <c r="AN159" s="562">
        <v>2.2000000000000002</v>
      </c>
      <c r="AO159" s="562">
        <f t="shared" si="32"/>
        <v>4.4000000000000004</v>
      </c>
      <c r="AP159" s="598">
        <v>0.140625</v>
      </c>
      <c r="AQ159" s="599">
        <v>4.1829032258064514</v>
      </c>
      <c r="AR159" s="599">
        <f t="shared" si="33"/>
        <v>0.217096774193549</v>
      </c>
      <c r="AS159" s="600"/>
      <c r="AT159" s="600">
        <v>1</v>
      </c>
      <c r="AU159" s="577" t="s">
        <v>778</v>
      </c>
      <c r="AV159" s="577">
        <v>1608</v>
      </c>
      <c r="AW159" s="562"/>
      <c r="AX159" s="562"/>
      <c r="AY159" s="562"/>
      <c r="AZ159" s="562"/>
      <c r="BA159" s="607" t="s">
        <v>804</v>
      </c>
      <c r="BB159" s="608" t="s">
        <v>805</v>
      </c>
      <c r="BD159" s="576">
        <v>11</v>
      </c>
      <c r="BE159" s="576"/>
      <c r="BF159" s="576"/>
      <c r="BG159" s="576"/>
      <c r="BH159" s="576"/>
      <c r="BI159" s="576">
        <v>1</v>
      </c>
      <c r="BJ159" s="576"/>
      <c r="BK159" s="576"/>
      <c r="BL159" s="576">
        <v>2.7</v>
      </c>
      <c r="BM159" s="576">
        <f t="shared" si="30"/>
        <v>5.4</v>
      </c>
      <c r="BN159" s="576" t="s">
        <v>779</v>
      </c>
      <c r="BO159" s="611">
        <v>4.25</v>
      </c>
      <c r="BP159" s="611">
        <f t="shared" si="31"/>
        <v>1.1500000000000004</v>
      </c>
      <c r="BQ159" s="612">
        <v>1</v>
      </c>
      <c r="BR159" s="612"/>
      <c r="BS159" s="576" t="s">
        <v>859</v>
      </c>
      <c r="BT159" s="576"/>
      <c r="BV159" s="627" t="s">
        <v>818</v>
      </c>
      <c r="BW159" s="627" t="e">
        <f ca="1">_xlfn.STDEV.S(BP149:BP175)</f>
        <v>#NAME?</v>
      </c>
      <c r="BY159" s="585" t="s">
        <v>810</v>
      </c>
      <c r="BZ159" s="585" t="s">
        <v>550</v>
      </c>
      <c r="DD159" s="561"/>
      <c r="DE159" s="577"/>
      <c r="DF159" s="562" t="s">
        <v>930</v>
      </c>
      <c r="DG159" s="562"/>
      <c r="DH159" s="562"/>
      <c r="DI159" s="562"/>
      <c r="DJ159" s="562"/>
      <c r="DK159" s="562"/>
      <c r="DL159" s="562"/>
      <c r="DM159" s="562"/>
      <c r="DN159" s="562"/>
      <c r="DO159" s="649"/>
      <c r="DP159" s="649"/>
      <c r="DQ159" s="657"/>
      <c r="DR159" s="657"/>
    </row>
    <row r="160" spans="2:122" s="560" customFormat="1">
      <c r="C160" s="560">
        <v>4.2</v>
      </c>
      <c r="P160" s="561"/>
      <c r="Q160" s="562"/>
      <c r="R160" s="562">
        <v>0.5</v>
      </c>
      <c r="S160" s="562"/>
      <c r="T160" s="562"/>
      <c r="U160" s="562"/>
      <c r="V160" s="562"/>
      <c r="W160" s="562"/>
      <c r="X160" s="562"/>
      <c r="Y160" s="562"/>
      <c r="Z160" s="562"/>
      <c r="AA160" s="562"/>
      <c r="AB160" s="562"/>
      <c r="AC160" s="562"/>
      <c r="AD160" s="563"/>
      <c r="AE160" s="561"/>
      <c r="AF160" s="562" t="s">
        <v>778</v>
      </c>
      <c r="AG160" s="562"/>
      <c r="AH160" s="577">
        <v>5</v>
      </c>
      <c r="AI160" s="577" t="s">
        <v>793</v>
      </c>
      <c r="AJ160" s="577"/>
      <c r="AK160" s="577"/>
      <c r="AL160" s="577"/>
      <c r="AM160" s="577">
        <v>1</v>
      </c>
      <c r="AN160" s="562"/>
      <c r="AO160" s="562"/>
      <c r="AP160" s="598"/>
      <c r="AQ160" s="599"/>
      <c r="AR160" s="599"/>
      <c r="AS160" s="600"/>
      <c r="AT160" s="600"/>
      <c r="AU160" s="606"/>
      <c r="AV160" s="577">
        <v>1607</v>
      </c>
      <c r="AW160" s="562"/>
      <c r="AX160" s="562"/>
      <c r="AY160" s="562"/>
      <c r="AZ160" s="562"/>
      <c r="BA160" s="607" t="s">
        <v>807</v>
      </c>
      <c r="BB160" s="608" t="s">
        <v>808</v>
      </c>
      <c r="BD160" s="576">
        <v>12</v>
      </c>
      <c r="BE160" s="576"/>
      <c r="BF160" s="576"/>
      <c r="BG160" s="576"/>
      <c r="BH160" s="576"/>
      <c r="BI160" s="576">
        <v>1</v>
      </c>
      <c r="BJ160" s="576"/>
      <c r="BK160" s="576"/>
      <c r="BL160" s="576">
        <v>2.9</v>
      </c>
      <c r="BM160" s="576">
        <f t="shared" si="30"/>
        <v>5.8</v>
      </c>
      <c r="BN160" s="576" t="s">
        <v>796</v>
      </c>
      <c r="BO160" s="611">
        <v>5.25</v>
      </c>
      <c r="BP160" s="611">
        <f t="shared" si="31"/>
        <v>0.54999999999999982</v>
      </c>
      <c r="BQ160" s="612"/>
      <c r="BR160" s="612">
        <v>1</v>
      </c>
      <c r="BS160" s="576" t="s">
        <v>859</v>
      </c>
      <c r="BT160" s="576"/>
      <c r="BY160" s="585" t="s">
        <v>813</v>
      </c>
      <c r="BZ160" s="585" t="s">
        <v>552</v>
      </c>
      <c r="DD160" s="561"/>
      <c r="DE160" s="577"/>
      <c r="DF160" s="562">
        <v>1</v>
      </c>
      <c r="DG160" s="562"/>
      <c r="DH160" s="562"/>
      <c r="DI160" s="562"/>
      <c r="DJ160" s="562"/>
      <c r="DK160" s="562"/>
      <c r="DL160" s="562"/>
      <c r="DM160" s="562"/>
      <c r="DN160" s="562"/>
      <c r="DO160" s="649"/>
      <c r="DP160" s="649"/>
      <c r="DQ160" s="657"/>
      <c r="DR160" s="657"/>
    </row>
    <row r="161" spans="1:122" s="560" customFormat="1">
      <c r="C161" s="560">
        <v>1</v>
      </c>
      <c r="P161" s="561"/>
      <c r="Q161" s="562"/>
      <c r="R161" s="562">
        <v>0.5</v>
      </c>
      <c r="S161" s="562"/>
      <c r="T161" s="562"/>
      <c r="U161" s="562"/>
      <c r="V161" s="562"/>
      <c r="W161" s="562"/>
      <c r="X161" s="562"/>
      <c r="Y161" s="562"/>
      <c r="Z161" s="562"/>
      <c r="AA161" s="562"/>
      <c r="AB161" s="562"/>
      <c r="AC161" s="562"/>
      <c r="AD161" s="563"/>
      <c r="AE161" s="561"/>
      <c r="AF161" s="568">
        <v>9</v>
      </c>
      <c r="AG161" s="562"/>
      <c r="AH161" s="577">
        <v>3.5</v>
      </c>
      <c r="AI161" s="577" t="s">
        <v>793</v>
      </c>
      <c r="AJ161" s="577"/>
      <c r="AK161" s="577">
        <v>1</v>
      </c>
      <c r="AL161" s="577"/>
      <c r="AM161" s="577">
        <v>1</v>
      </c>
      <c r="AN161" s="562">
        <v>2.2999999999999998</v>
      </c>
      <c r="AO161" s="562">
        <f t="shared" ref="AO161:AO167" si="34">AN161+AN161</f>
        <v>4.5999999999999996</v>
      </c>
      <c r="AP161" s="598">
        <v>0.140625</v>
      </c>
      <c r="AQ161" s="599">
        <v>4.1751612903225803</v>
      </c>
      <c r="AR161" s="599">
        <f t="shared" ref="AR161:AR167" si="35">AO161-AQ161</f>
        <v>0.42483870967741932</v>
      </c>
      <c r="AS161" s="600"/>
      <c r="AT161" s="600">
        <v>1</v>
      </c>
      <c r="AU161" s="577" t="s">
        <v>778</v>
      </c>
      <c r="AV161" s="577">
        <v>1606</v>
      </c>
      <c r="AW161" s="562"/>
      <c r="AX161" s="562"/>
      <c r="AY161" s="562"/>
      <c r="AZ161" s="562"/>
      <c r="BA161" s="607" t="s">
        <v>810</v>
      </c>
      <c r="BB161" s="608" t="s">
        <v>550</v>
      </c>
      <c r="BD161" s="576">
        <v>13</v>
      </c>
      <c r="BE161" s="576"/>
      <c r="BF161" s="576"/>
      <c r="BG161" s="576"/>
      <c r="BH161" s="576"/>
      <c r="BI161" s="576">
        <v>1</v>
      </c>
      <c r="BJ161" s="576"/>
      <c r="BK161" s="576"/>
      <c r="BL161" s="576">
        <v>2.5</v>
      </c>
      <c r="BM161" s="576">
        <f t="shared" si="30"/>
        <v>5</v>
      </c>
      <c r="BN161" s="576" t="s">
        <v>796</v>
      </c>
      <c r="BO161" s="611">
        <v>5.25</v>
      </c>
      <c r="BP161" s="611">
        <f t="shared" si="31"/>
        <v>-0.25</v>
      </c>
      <c r="BQ161" s="612"/>
      <c r="BR161" s="612">
        <v>1</v>
      </c>
      <c r="BS161" s="576" t="s">
        <v>859</v>
      </c>
      <c r="BT161" s="576"/>
      <c r="BY161" s="585" t="s">
        <v>815</v>
      </c>
      <c r="BZ161" s="585" t="s">
        <v>816</v>
      </c>
      <c r="DD161" s="561"/>
      <c r="DE161" s="577"/>
      <c r="DF161" s="562">
        <v>0.65</v>
      </c>
      <c r="DG161" s="562"/>
      <c r="DH161" s="562"/>
      <c r="DI161" s="562"/>
      <c r="DJ161" s="562"/>
      <c r="DK161" s="562"/>
      <c r="DL161" s="562"/>
      <c r="DM161" s="562"/>
      <c r="DN161" s="562"/>
      <c r="DO161" s="649"/>
      <c r="DP161" s="649"/>
      <c r="DQ161" s="657"/>
      <c r="DR161" s="657"/>
    </row>
    <row r="162" spans="1:122" s="560" customFormat="1">
      <c r="C162" s="560">
        <v>0.9</v>
      </c>
      <c r="P162" s="561"/>
      <c r="Q162" s="562"/>
      <c r="R162" s="562">
        <v>0.47</v>
      </c>
      <c r="S162" s="562"/>
      <c r="T162" s="562"/>
      <c r="U162" s="562"/>
      <c r="V162" s="562"/>
      <c r="W162" s="562"/>
      <c r="X162" s="562"/>
      <c r="Y162" s="562"/>
      <c r="Z162" s="562"/>
      <c r="AA162" s="562"/>
      <c r="AB162" s="562"/>
      <c r="AC162" s="562"/>
      <c r="AD162" s="563"/>
      <c r="AE162" s="561"/>
      <c r="AF162" s="568">
        <v>10</v>
      </c>
      <c r="AG162" s="562"/>
      <c r="AH162" s="577">
        <v>5</v>
      </c>
      <c r="AI162" s="577" t="s">
        <v>793</v>
      </c>
      <c r="AJ162" s="577"/>
      <c r="AK162" s="577">
        <v>1</v>
      </c>
      <c r="AL162" s="577"/>
      <c r="AM162" s="577">
        <v>1</v>
      </c>
      <c r="AN162" s="562">
        <v>2.4500000000000002</v>
      </c>
      <c r="AO162" s="562">
        <f t="shared" si="34"/>
        <v>4.9000000000000004</v>
      </c>
      <c r="AP162" s="598">
        <v>0.140625</v>
      </c>
      <c r="AQ162" s="599">
        <v>4.1712903225806448</v>
      </c>
      <c r="AR162" s="599">
        <f t="shared" si="35"/>
        <v>0.72870967741935555</v>
      </c>
      <c r="AS162" s="600"/>
      <c r="AT162" s="600">
        <v>1</v>
      </c>
      <c r="AU162" s="577" t="s">
        <v>778</v>
      </c>
      <c r="AV162" s="577">
        <v>1605</v>
      </c>
      <c r="AW162" s="562"/>
      <c r="AX162" s="625" t="s">
        <v>806</v>
      </c>
      <c r="AY162" s="562">
        <f>COUNT(AR152:AR183)</f>
        <v>30</v>
      </c>
      <c r="AZ162" s="562"/>
      <c r="BA162" s="607" t="s">
        <v>813</v>
      </c>
      <c r="BB162" s="608" t="s">
        <v>552</v>
      </c>
      <c r="BD162" s="576">
        <v>14</v>
      </c>
      <c r="BF162" s="576"/>
      <c r="BG162" s="576"/>
      <c r="BH162" s="576"/>
      <c r="BI162" s="576">
        <v>1</v>
      </c>
      <c r="BJ162" s="576"/>
      <c r="BK162" s="576"/>
      <c r="BL162" s="576">
        <v>2.7</v>
      </c>
      <c r="BM162" s="576">
        <f t="shared" si="30"/>
        <v>5.4</v>
      </c>
      <c r="BN162" s="576" t="s">
        <v>779</v>
      </c>
      <c r="BO162" s="611">
        <v>4.25</v>
      </c>
      <c r="BP162" s="611">
        <f t="shared" si="31"/>
        <v>1.1500000000000004</v>
      </c>
      <c r="BQ162" s="612">
        <v>1</v>
      </c>
      <c r="BR162" s="612"/>
      <c r="BS162" s="576" t="s">
        <v>859</v>
      </c>
      <c r="BT162" s="576"/>
      <c r="DD162" s="561"/>
      <c r="DE162" s="577"/>
      <c r="DF162" s="562">
        <v>0.4</v>
      </c>
      <c r="DG162" s="562"/>
      <c r="DH162" s="562"/>
      <c r="DI162" s="562"/>
      <c r="DJ162" s="562"/>
      <c r="DK162" s="562"/>
      <c r="DL162" s="562"/>
      <c r="DM162" s="562"/>
      <c r="DN162" s="562"/>
      <c r="DO162" s="649"/>
      <c r="DP162" s="649"/>
      <c r="DQ162" s="657"/>
      <c r="DR162" s="657"/>
    </row>
    <row r="163" spans="1:122" s="560" customFormat="1">
      <c r="C163" s="560">
        <v>0.9</v>
      </c>
      <c r="P163" s="561"/>
      <c r="Q163" s="562"/>
      <c r="R163" s="562">
        <v>0.5</v>
      </c>
      <c r="S163" s="562"/>
      <c r="T163" s="562"/>
      <c r="U163" s="562"/>
      <c r="V163" s="562"/>
      <c r="W163" s="562"/>
      <c r="X163" s="562"/>
      <c r="Y163" s="562"/>
      <c r="Z163" s="562"/>
      <c r="AA163" s="562"/>
      <c r="AB163" s="562"/>
      <c r="AC163" s="562"/>
      <c r="AD163" s="563"/>
      <c r="AE163" s="561"/>
      <c r="AF163" s="568">
        <v>11</v>
      </c>
      <c r="AG163" s="562"/>
      <c r="AH163" s="577"/>
      <c r="AI163" s="577"/>
      <c r="AJ163" s="577"/>
      <c r="AK163" s="577">
        <v>1</v>
      </c>
      <c r="AL163" s="577"/>
      <c r="AM163" s="577"/>
      <c r="AN163" s="562">
        <v>2.2999999999999998</v>
      </c>
      <c r="AO163" s="562">
        <f t="shared" si="34"/>
        <v>4.5999999999999996</v>
      </c>
      <c r="AP163" s="598">
        <v>0.140625</v>
      </c>
      <c r="AQ163" s="599">
        <v>4.1674193548387093</v>
      </c>
      <c r="AR163" s="599">
        <f t="shared" si="35"/>
        <v>0.43258064516129036</v>
      </c>
      <c r="AS163" s="600"/>
      <c r="AT163" s="600">
        <v>1</v>
      </c>
      <c r="AU163" s="577" t="s">
        <v>778</v>
      </c>
      <c r="AV163" s="577"/>
      <c r="AW163" s="562"/>
      <c r="AX163" s="625" t="s">
        <v>809</v>
      </c>
      <c r="AY163" s="649">
        <f>SUM(AR152:AR183)</f>
        <v>10.227096774193553</v>
      </c>
      <c r="AZ163" s="562"/>
      <c r="BA163" s="607" t="s">
        <v>815</v>
      </c>
      <c r="BB163" s="608" t="s">
        <v>816</v>
      </c>
      <c r="BD163" s="576">
        <v>15</v>
      </c>
      <c r="BF163" s="576"/>
      <c r="BG163" s="576"/>
      <c r="BH163" s="576"/>
      <c r="BI163" s="576">
        <v>1</v>
      </c>
      <c r="BJ163" s="576"/>
      <c r="BK163" s="576"/>
      <c r="BL163" s="576">
        <v>3</v>
      </c>
      <c r="BM163" s="576">
        <f t="shared" si="30"/>
        <v>6</v>
      </c>
      <c r="BN163" s="576" t="s">
        <v>796</v>
      </c>
      <c r="BO163" s="611">
        <v>5.25</v>
      </c>
      <c r="BP163" s="611">
        <f t="shared" si="31"/>
        <v>0.75</v>
      </c>
      <c r="BQ163" s="612"/>
      <c r="BR163" s="612">
        <v>1</v>
      </c>
      <c r="BS163" s="576" t="s">
        <v>859</v>
      </c>
      <c r="BT163" s="576"/>
      <c r="DD163" s="561"/>
      <c r="DE163" s="577"/>
      <c r="DF163" s="562">
        <v>0.15</v>
      </c>
      <c r="DG163" s="562"/>
      <c r="DH163" s="562"/>
      <c r="DI163" s="562"/>
      <c r="DJ163" s="562"/>
      <c r="DK163" s="562"/>
      <c r="DL163" s="562"/>
      <c r="DM163" s="562"/>
      <c r="DN163" s="562"/>
      <c r="DO163" s="649"/>
      <c r="DP163" s="649"/>
      <c r="DQ163" s="657"/>
      <c r="DR163" s="657"/>
    </row>
    <row r="164" spans="1:122" s="560" customFormat="1">
      <c r="C164" s="560">
        <v>1</v>
      </c>
      <c r="P164" s="561"/>
      <c r="Q164" s="562"/>
      <c r="R164" s="562">
        <v>0.47</v>
      </c>
      <c r="S164" s="562"/>
      <c r="T164" s="562"/>
      <c r="U164" s="562"/>
      <c r="V164" s="562"/>
      <c r="W164" s="562"/>
      <c r="X164" s="562"/>
      <c r="Y164" s="562"/>
      <c r="Z164" s="562"/>
      <c r="AA164" s="562"/>
      <c r="AB164" s="562"/>
      <c r="AC164" s="562"/>
      <c r="AD164" s="563"/>
      <c r="AE164" s="561"/>
      <c r="AF164" s="568">
        <v>12</v>
      </c>
      <c r="AG164" s="562"/>
      <c r="AH164" s="577">
        <v>2.5</v>
      </c>
      <c r="AI164" s="577" t="s">
        <v>793</v>
      </c>
      <c r="AJ164" s="577"/>
      <c r="AK164" s="577">
        <v>1</v>
      </c>
      <c r="AL164" s="577"/>
      <c r="AM164" s="577">
        <v>1</v>
      </c>
      <c r="AN164" s="562">
        <v>2.25</v>
      </c>
      <c r="AO164" s="562">
        <f t="shared" si="34"/>
        <v>4.5</v>
      </c>
      <c r="AP164" s="598">
        <v>0.140625</v>
      </c>
      <c r="AQ164" s="599">
        <v>4.1635483870967738</v>
      </c>
      <c r="AR164" s="599">
        <f t="shared" si="35"/>
        <v>0.33645161290322623</v>
      </c>
      <c r="AS164" s="600"/>
      <c r="AT164" s="600">
        <v>1</v>
      </c>
      <c r="AU164" s="577" t="s">
        <v>778</v>
      </c>
      <c r="AV164" s="577">
        <v>1604</v>
      </c>
      <c r="AW164" s="562"/>
      <c r="AX164" s="625" t="s">
        <v>811</v>
      </c>
      <c r="AY164" s="649">
        <f>MAX(AR152:AR183)</f>
        <v>0.72870967741935555</v>
      </c>
      <c r="AZ164" s="562"/>
      <c r="BA164" s="562"/>
      <c r="BB164" s="563"/>
      <c r="BD164" s="576">
        <v>16</v>
      </c>
      <c r="BF164" s="576">
        <v>0.1</v>
      </c>
      <c r="BG164" s="576" t="s">
        <v>778</v>
      </c>
      <c r="BH164" s="576">
        <v>1</v>
      </c>
      <c r="BI164" s="576"/>
      <c r="BJ164" s="576"/>
      <c r="BK164" s="576"/>
      <c r="BL164" s="576">
        <v>3</v>
      </c>
      <c r="BM164" s="576">
        <f t="shared" si="30"/>
        <v>6</v>
      </c>
      <c r="BN164" s="576" t="s">
        <v>796</v>
      </c>
      <c r="BO164" s="611">
        <v>5.25</v>
      </c>
      <c r="BP164" s="611">
        <f t="shared" si="31"/>
        <v>0.75</v>
      </c>
      <c r="BQ164" s="612"/>
      <c r="BR164" s="612">
        <v>1</v>
      </c>
      <c r="BS164" s="576" t="s">
        <v>859</v>
      </c>
      <c r="BT164" s="622" t="s">
        <v>931</v>
      </c>
      <c r="DD164" s="561"/>
      <c r="DE164" s="577"/>
      <c r="DF164" s="562">
        <v>16</v>
      </c>
      <c r="DG164" s="562"/>
      <c r="DH164" s="562"/>
      <c r="DI164" s="562"/>
      <c r="DJ164" s="562"/>
      <c r="DK164" s="562"/>
      <c r="DL164" s="562"/>
      <c r="DM164" s="562"/>
      <c r="DN164" s="562"/>
      <c r="DO164" s="649"/>
      <c r="DP164" s="649"/>
      <c r="DQ164" s="657"/>
      <c r="DR164" s="657"/>
    </row>
    <row r="165" spans="1:122" s="560" customFormat="1">
      <c r="C165" s="560">
        <v>0.8</v>
      </c>
      <c r="P165" s="561"/>
      <c r="Q165" s="562"/>
      <c r="R165" s="562">
        <v>0.55000000000000004</v>
      </c>
      <c r="S165" s="562"/>
      <c r="T165" s="562"/>
      <c r="U165" s="562"/>
      <c r="V165" s="562"/>
      <c r="W165" s="562"/>
      <c r="X165" s="562"/>
      <c r="Y165" s="562"/>
      <c r="Z165" s="562"/>
      <c r="AA165" s="562"/>
      <c r="AB165" s="562"/>
      <c r="AC165" s="562"/>
      <c r="AD165" s="563"/>
      <c r="AE165" s="561"/>
      <c r="AF165" s="568">
        <v>13</v>
      </c>
      <c r="AG165" s="562"/>
      <c r="AH165" s="577"/>
      <c r="AI165" s="577"/>
      <c r="AJ165" s="577"/>
      <c r="AK165" s="577">
        <v>1</v>
      </c>
      <c r="AL165" s="577"/>
      <c r="AM165" s="577"/>
      <c r="AN165" s="562">
        <v>2.25</v>
      </c>
      <c r="AO165" s="562">
        <f t="shared" si="34"/>
        <v>4.5</v>
      </c>
      <c r="AP165" s="598">
        <v>0.140625</v>
      </c>
      <c r="AQ165" s="599">
        <v>4.1596774193548383</v>
      </c>
      <c r="AR165" s="599">
        <f t="shared" si="35"/>
        <v>0.34032258064516174</v>
      </c>
      <c r="AS165" s="600"/>
      <c r="AT165" s="600">
        <v>1</v>
      </c>
      <c r="AU165" s="577" t="s">
        <v>778</v>
      </c>
      <c r="AV165" s="577"/>
      <c r="AW165" s="562"/>
      <c r="AX165" s="625" t="s">
        <v>814</v>
      </c>
      <c r="AY165" s="649">
        <f>MIN(AR152:AR183)</f>
        <v>-8.9999999999999858E-2</v>
      </c>
      <c r="AZ165" s="562"/>
      <c r="BA165" s="562"/>
      <c r="BB165" s="563"/>
      <c r="BD165" s="576">
        <v>17</v>
      </c>
      <c r="BF165" s="576"/>
      <c r="BG165" s="576"/>
      <c r="BH165" s="576"/>
      <c r="BI165" s="576">
        <v>1</v>
      </c>
      <c r="BJ165" s="576"/>
      <c r="BK165" s="576"/>
      <c r="BL165" s="576">
        <v>2.8</v>
      </c>
      <c r="BM165" s="576">
        <f t="shared" si="30"/>
        <v>5.6</v>
      </c>
      <c r="BN165" s="576" t="s">
        <v>796</v>
      </c>
      <c r="BO165" s="611">
        <v>5.25</v>
      </c>
      <c r="BP165" s="611">
        <f t="shared" si="31"/>
        <v>0.34999999999999964</v>
      </c>
      <c r="BQ165" s="612"/>
      <c r="BR165" s="612">
        <v>1</v>
      </c>
      <c r="BS165" s="576" t="s">
        <v>859</v>
      </c>
      <c r="BT165" s="576"/>
      <c r="DD165" s="561"/>
      <c r="DE165" s="577"/>
      <c r="DF165" s="562">
        <v>0.2</v>
      </c>
      <c r="DG165" s="562"/>
      <c r="DH165" s="562"/>
      <c r="DI165" s="562"/>
      <c r="DJ165" s="562"/>
      <c r="DK165" s="562"/>
      <c r="DL165" s="562"/>
      <c r="DM165" s="562"/>
      <c r="DN165" s="562"/>
      <c r="DO165" s="649"/>
      <c r="DP165" s="649"/>
      <c r="DQ165" s="657"/>
      <c r="DR165" s="657"/>
    </row>
    <row r="166" spans="1:122" s="560" customFormat="1">
      <c r="C166" s="560">
        <f>COUNT(C115:C165)</f>
        <v>49</v>
      </c>
      <c r="P166" s="561"/>
      <c r="Q166" s="562"/>
      <c r="R166" s="562">
        <v>0.54</v>
      </c>
      <c r="S166" s="562"/>
      <c r="T166" s="562"/>
      <c r="U166" s="562"/>
      <c r="V166" s="562"/>
      <c r="W166" s="562"/>
      <c r="X166" s="562"/>
      <c r="Y166" s="562"/>
      <c r="Z166" s="562"/>
      <c r="AA166" s="562"/>
      <c r="AB166" s="562"/>
      <c r="AC166" s="562"/>
      <c r="AD166" s="563"/>
      <c r="AE166" s="561"/>
      <c r="AF166" s="568">
        <v>14</v>
      </c>
      <c r="AG166" s="562"/>
      <c r="AH166" s="577">
        <v>0.7</v>
      </c>
      <c r="AI166" s="577" t="s">
        <v>793</v>
      </c>
      <c r="AJ166" s="577"/>
      <c r="AK166" s="577">
        <v>1</v>
      </c>
      <c r="AL166" s="577"/>
      <c r="AM166" s="577">
        <v>1</v>
      </c>
      <c r="AN166" s="562">
        <v>2.25</v>
      </c>
      <c r="AO166" s="562">
        <f t="shared" si="34"/>
        <v>4.5</v>
      </c>
      <c r="AP166" s="598">
        <v>0.140625</v>
      </c>
      <c r="AQ166" s="599">
        <v>4.1558064516129027</v>
      </c>
      <c r="AR166" s="599">
        <f t="shared" si="35"/>
        <v>0.34419354838709726</v>
      </c>
      <c r="AS166" s="600"/>
      <c r="AT166" s="600">
        <v>1</v>
      </c>
      <c r="AU166" s="577" t="s">
        <v>778</v>
      </c>
      <c r="AV166" s="577">
        <v>1603</v>
      </c>
      <c r="AW166" s="562"/>
      <c r="AX166" s="625" t="s">
        <v>817</v>
      </c>
      <c r="AY166" s="649">
        <f>AVERAGE(AR152:AR183)</f>
        <v>0.34090322580645177</v>
      </c>
      <c r="AZ166" s="562"/>
      <c r="BA166" s="562"/>
      <c r="BB166" s="563"/>
      <c r="BD166" s="576">
        <v>18</v>
      </c>
      <c r="BF166" s="576"/>
      <c r="BG166" s="576"/>
      <c r="BH166" s="576"/>
      <c r="BI166" s="576">
        <v>1</v>
      </c>
      <c r="BJ166" s="576"/>
      <c r="BK166" s="576"/>
      <c r="BL166" s="576">
        <v>3</v>
      </c>
      <c r="BM166" s="576">
        <f t="shared" si="30"/>
        <v>6</v>
      </c>
      <c r="BN166" s="576" t="s">
        <v>796</v>
      </c>
      <c r="BO166" s="611">
        <v>5.25</v>
      </c>
      <c r="BP166" s="611">
        <f t="shared" si="31"/>
        <v>0.75</v>
      </c>
      <c r="BQ166" s="612"/>
      <c r="BR166" s="612">
        <v>1</v>
      </c>
      <c r="BS166" s="576" t="s">
        <v>859</v>
      </c>
      <c r="BT166" s="576"/>
      <c r="DD166" s="561"/>
      <c r="DE166" s="577" t="s">
        <v>932</v>
      </c>
      <c r="DF166" s="562">
        <v>0.16</v>
      </c>
      <c r="DG166" s="562"/>
      <c r="DH166" s="562"/>
      <c r="DI166" s="562"/>
      <c r="DJ166" s="562"/>
      <c r="DK166" s="562"/>
      <c r="DL166" s="562"/>
      <c r="DM166" s="562"/>
      <c r="DN166" s="562"/>
      <c r="DO166" s="649"/>
      <c r="DP166" s="649"/>
      <c r="DQ166" s="657"/>
      <c r="DR166" s="657"/>
    </row>
    <row r="167" spans="1:122" s="560" customFormat="1">
      <c r="A167" s="564">
        <v>41129</v>
      </c>
      <c r="B167" s="565" t="s">
        <v>725</v>
      </c>
      <c r="C167" s="565"/>
      <c r="D167" s="565" t="s">
        <v>891</v>
      </c>
      <c r="E167" s="566" t="s">
        <v>727</v>
      </c>
      <c r="F167" s="566" t="s">
        <v>728</v>
      </c>
      <c r="G167" s="566" t="s">
        <v>729</v>
      </c>
      <c r="H167" s="566" t="s">
        <v>730</v>
      </c>
      <c r="I167" s="566" t="s">
        <v>731</v>
      </c>
      <c r="J167" s="565"/>
      <c r="P167" s="561"/>
      <c r="Q167" s="562"/>
      <c r="R167" s="562">
        <v>0.5</v>
      </c>
      <c r="S167" s="562"/>
      <c r="T167" s="562"/>
      <c r="U167" s="562"/>
      <c r="V167" s="562"/>
      <c r="W167" s="562"/>
      <c r="X167" s="562"/>
      <c r="Y167" s="562"/>
      <c r="Z167" s="562"/>
      <c r="AA167" s="562"/>
      <c r="AB167" s="562"/>
      <c r="AC167" s="562"/>
      <c r="AD167" s="563"/>
      <c r="AE167" s="561"/>
      <c r="AF167" s="568">
        <v>15</v>
      </c>
      <c r="AG167" s="562"/>
      <c r="AH167" s="577">
        <v>0.8</v>
      </c>
      <c r="AI167" s="577" t="s">
        <v>793</v>
      </c>
      <c r="AJ167" s="577"/>
      <c r="AK167" s="577">
        <v>1</v>
      </c>
      <c r="AL167" s="577"/>
      <c r="AM167" s="577">
        <v>1</v>
      </c>
      <c r="AN167" s="562">
        <v>2.25</v>
      </c>
      <c r="AO167" s="562">
        <f t="shared" si="34"/>
        <v>4.5</v>
      </c>
      <c r="AP167" s="598">
        <v>0.140625</v>
      </c>
      <c r="AQ167" s="599">
        <v>4.1519354838709681</v>
      </c>
      <c r="AR167" s="599">
        <f t="shared" si="35"/>
        <v>0.34806451612903189</v>
      </c>
      <c r="AS167" s="600"/>
      <c r="AT167" s="600">
        <v>1</v>
      </c>
      <c r="AU167" s="577" t="s">
        <v>778</v>
      </c>
      <c r="AV167" s="577">
        <v>1602</v>
      </c>
      <c r="AW167" s="562"/>
      <c r="AX167" s="625" t="s">
        <v>818</v>
      </c>
      <c r="AY167" s="625" t="e">
        <f ca="1">_xlfn.STDEV.S(AR154:AR187)</f>
        <v>#NAME?</v>
      </c>
      <c r="AZ167" s="562"/>
      <c r="BA167" s="562"/>
      <c r="BB167" s="563"/>
      <c r="BD167" s="576">
        <v>19</v>
      </c>
      <c r="BF167" s="576"/>
      <c r="BG167" s="576"/>
      <c r="BH167" s="576"/>
      <c r="BI167" s="576">
        <v>1</v>
      </c>
      <c r="BJ167" s="576"/>
      <c r="BK167" s="576"/>
      <c r="BL167" s="576">
        <v>2.5</v>
      </c>
      <c r="BM167" s="576">
        <f t="shared" si="30"/>
        <v>5</v>
      </c>
      <c r="BN167" s="576" t="s">
        <v>796</v>
      </c>
      <c r="BO167" s="611">
        <v>5.25</v>
      </c>
      <c r="BP167" s="611">
        <f t="shared" si="31"/>
        <v>-0.25</v>
      </c>
      <c r="BQ167" s="612"/>
      <c r="BR167" s="612">
        <v>1</v>
      </c>
      <c r="BS167" s="576" t="s">
        <v>859</v>
      </c>
      <c r="BT167" s="576"/>
      <c r="DD167" s="561"/>
      <c r="DE167" s="577"/>
      <c r="DF167" s="562">
        <v>0.17</v>
      </c>
      <c r="DG167" s="562"/>
      <c r="DH167" s="562"/>
      <c r="DI167" s="562"/>
      <c r="DJ167" s="562"/>
      <c r="DK167" s="562"/>
      <c r="DL167" s="562"/>
      <c r="DM167" s="562"/>
      <c r="DN167" s="562"/>
      <c r="DO167" s="649"/>
      <c r="DP167" s="649"/>
      <c r="DQ167" s="657"/>
      <c r="DR167" s="657"/>
    </row>
    <row r="168" spans="1:122" s="560" customFormat="1">
      <c r="B168" s="565"/>
      <c r="C168" s="565"/>
      <c r="D168" s="565"/>
      <c r="E168" s="566" t="s">
        <v>903</v>
      </c>
      <c r="F168" s="566" t="s">
        <v>904</v>
      </c>
      <c r="G168" s="576">
        <v>58</v>
      </c>
      <c r="H168" s="576">
        <v>55</v>
      </c>
      <c r="I168" s="566" t="s">
        <v>905</v>
      </c>
      <c r="J168" s="565"/>
      <c r="P168" s="561"/>
      <c r="Q168" s="562"/>
      <c r="R168" s="562">
        <v>0.55000000000000004</v>
      </c>
      <c r="S168" s="562"/>
      <c r="T168" s="562"/>
      <c r="U168" s="562"/>
      <c r="V168" s="562"/>
      <c r="W168" s="562"/>
      <c r="X168" s="562"/>
      <c r="Y168" s="562"/>
      <c r="Z168" s="562"/>
      <c r="AA168" s="562"/>
      <c r="AB168" s="562"/>
      <c r="AC168" s="562"/>
      <c r="AD168" s="563"/>
      <c r="AE168" s="561"/>
      <c r="AF168" s="562" t="s">
        <v>778</v>
      </c>
      <c r="AG168" s="562"/>
      <c r="AH168" s="577">
        <v>1.9</v>
      </c>
      <c r="AI168" s="577" t="s">
        <v>793</v>
      </c>
      <c r="AJ168" s="577"/>
      <c r="AK168" s="577"/>
      <c r="AL168" s="577"/>
      <c r="AM168" s="577">
        <v>1</v>
      </c>
      <c r="AN168" s="562"/>
      <c r="AO168" s="562"/>
      <c r="AP168" s="598"/>
      <c r="AQ168" s="599"/>
      <c r="AR168" s="599"/>
      <c r="AS168" s="600"/>
      <c r="AT168" s="600"/>
      <c r="AU168" s="577"/>
      <c r="AV168" s="577">
        <v>1601</v>
      </c>
      <c r="AW168" s="562"/>
      <c r="AX168" s="562"/>
      <c r="AY168" s="562"/>
      <c r="AZ168" s="562"/>
      <c r="BA168" s="562"/>
      <c r="BB168" s="563"/>
      <c r="BD168" s="576">
        <v>20</v>
      </c>
      <c r="BF168" s="576">
        <v>1.6</v>
      </c>
      <c r="BG168" s="576" t="s">
        <v>778</v>
      </c>
      <c r="BH168" s="576">
        <v>1</v>
      </c>
      <c r="BI168" s="576"/>
      <c r="BJ168" s="576"/>
      <c r="BK168" s="576"/>
      <c r="BL168" s="576">
        <v>3</v>
      </c>
      <c r="BM168" s="576">
        <f t="shared" si="30"/>
        <v>6</v>
      </c>
      <c r="BN168" s="576" t="s">
        <v>796</v>
      </c>
      <c r="BO168" s="611">
        <v>5.25</v>
      </c>
      <c r="BP168" s="611">
        <f t="shared" si="31"/>
        <v>0.75</v>
      </c>
      <c r="BQ168" s="612"/>
      <c r="BR168" s="612">
        <v>1</v>
      </c>
      <c r="BS168" s="576" t="s">
        <v>859</v>
      </c>
      <c r="BT168" s="622" t="s">
        <v>933</v>
      </c>
      <c r="DD168" s="561"/>
      <c r="DE168" s="577"/>
      <c r="DF168" s="562">
        <v>0.2</v>
      </c>
      <c r="DG168" s="562"/>
      <c r="DH168" s="562"/>
      <c r="DI168" s="562"/>
      <c r="DJ168" s="562"/>
      <c r="DK168" s="562"/>
      <c r="DL168" s="562"/>
      <c r="DM168" s="562"/>
      <c r="DN168" s="562"/>
      <c r="DO168" s="649"/>
      <c r="DP168" s="649"/>
      <c r="DQ168" s="657"/>
      <c r="DR168" s="657"/>
    </row>
    <row r="169" spans="1:122" s="560" customFormat="1">
      <c r="A169" s="560" t="s">
        <v>571</v>
      </c>
      <c r="B169" s="582" t="s">
        <v>909</v>
      </c>
      <c r="C169" s="582"/>
      <c r="D169" s="566"/>
      <c r="E169" s="565"/>
      <c r="F169" s="565"/>
      <c r="G169" s="582" t="s">
        <v>934</v>
      </c>
      <c r="H169" s="566"/>
      <c r="I169" s="566"/>
      <c r="J169" s="566"/>
      <c r="P169" s="561"/>
      <c r="Q169" s="562"/>
      <c r="R169" s="562">
        <v>0.6</v>
      </c>
      <c r="S169" s="562"/>
      <c r="T169" s="562"/>
      <c r="U169" s="562"/>
      <c r="V169" s="562"/>
      <c r="W169" s="562"/>
      <c r="X169" s="562"/>
      <c r="Y169" s="562"/>
      <c r="Z169" s="562"/>
      <c r="AA169" s="562"/>
      <c r="AB169" s="562"/>
      <c r="AC169" s="562"/>
      <c r="AD169" s="563"/>
      <c r="AE169" s="561"/>
      <c r="AF169" s="568">
        <v>16</v>
      </c>
      <c r="AG169" s="562"/>
      <c r="AH169" s="577">
        <v>1.8</v>
      </c>
      <c r="AI169" s="577" t="s">
        <v>793</v>
      </c>
      <c r="AJ169" s="577"/>
      <c r="AK169" s="577">
        <v>1</v>
      </c>
      <c r="AL169" s="577"/>
      <c r="AM169" s="577">
        <v>1</v>
      </c>
      <c r="AN169" s="562">
        <v>2.25</v>
      </c>
      <c r="AO169" s="562">
        <f t="shared" ref="AO169:AO183" si="36">AN169+AN169</f>
        <v>4.5</v>
      </c>
      <c r="AP169" s="598">
        <v>0.140625</v>
      </c>
      <c r="AQ169" s="599">
        <v>4.1441935483870971</v>
      </c>
      <c r="AR169" s="599">
        <f t="shared" ref="AR169:AR183" si="37">AO169-AQ169</f>
        <v>0.35580645161290292</v>
      </c>
      <c r="AS169" s="600"/>
      <c r="AT169" s="600">
        <v>1</v>
      </c>
      <c r="AU169" s="577" t="s">
        <v>778</v>
      </c>
      <c r="AV169" s="577">
        <v>1600</v>
      </c>
      <c r="AW169" s="562"/>
      <c r="AX169" s="562"/>
      <c r="AY169" s="562"/>
      <c r="AZ169" s="562"/>
      <c r="BA169" s="562"/>
      <c r="BB169" s="563"/>
      <c r="BD169" s="576">
        <v>21</v>
      </c>
      <c r="BF169" s="576"/>
      <c r="BG169" s="576"/>
      <c r="BH169" s="576"/>
      <c r="BI169" s="576">
        <v>1</v>
      </c>
      <c r="BJ169" s="576"/>
      <c r="BK169" s="576"/>
      <c r="BL169" s="576">
        <v>2.7</v>
      </c>
      <c r="BM169" s="576">
        <f t="shared" si="30"/>
        <v>5.4</v>
      </c>
      <c r="BN169" s="576" t="s">
        <v>796</v>
      </c>
      <c r="BO169" s="611">
        <v>5.25</v>
      </c>
      <c r="BP169" s="611">
        <f t="shared" si="31"/>
        <v>0.15000000000000036</v>
      </c>
      <c r="BQ169" s="612"/>
      <c r="BR169" s="612">
        <v>1</v>
      </c>
      <c r="BS169" s="576" t="s">
        <v>859</v>
      </c>
      <c r="BT169" s="576"/>
      <c r="DD169" s="561"/>
      <c r="DE169" s="577"/>
      <c r="DF169" s="562">
        <v>0.24</v>
      </c>
      <c r="DG169" s="562"/>
      <c r="DH169" s="562"/>
      <c r="DI169" s="562"/>
      <c r="DJ169" s="562"/>
      <c r="DK169" s="562"/>
      <c r="DL169" s="562"/>
      <c r="DM169" s="562"/>
      <c r="DN169" s="562"/>
      <c r="DO169" s="649"/>
      <c r="DP169" s="649"/>
      <c r="DQ169" s="657"/>
      <c r="DR169" s="657"/>
    </row>
    <row r="170" spans="1:122" s="560" customFormat="1">
      <c r="A170" s="585"/>
      <c r="B170" s="586" t="s">
        <v>755</v>
      </c>
      <c r="C170" s="586" t="s">
        <v>756</v>
      </c>
      <c r="D170" s="586" t="s">
        <v>757</v>
      </c>
      <c r="E170" s="586" t="s">
        <v>758</v>
      </c>
      <c r="F170" s="586" t="s">
        <v>759</v>
      </c>
      <c r="G170" s="586" t="s">
        <v>760</v>
      </c>
      <c r="H170" s="586" t="s">
        <v>761</v>
      </c>
      <c r="I170" s="586" t="s">
        <v>762</v>
      </c>
      <c r="J170" s="586" t="s">
        <v>763</v>
      </c>
      <c r="N170" s="586" t="s">
        <v>764</v>
      </c>
      <c r="O170" s="576"/>
      <c r="P170" s="561"/>
      <c r="Q170" s="562"/>
      <c r="R170" s="562">
        <v>0.5</v>
      </c>
      <c r="S170" s="562"/>
      <c r="T170" s="562"/>
      <c r="U170" s="562"/>
      <c r="V170" s="562"/>
      <c r="W170" s="562"/>
      <c r="X170" s="562"/>
      <c r="Y170" s="562"/>
      <c r="Z170" s="562"/>
      <c r="AA170" s="562"/>
      <c r="AB170" s="562"/>
      <c r="AC170" s="562"/>
      <c r="AD170" s="563"/>
      <c r="AE170" s="561"/>
      <c r="AF170" s="568">
        <v>17</v>
      </c>
      <c r="AG170" s="562"/>
      <c r="AH170" s="577"/>
      <c r="AI170" s="577"/>
      <c r="AJ170" s="577"/>
      <c r="AK170" s="577">
        <v>1</v>
      </c>
      <c r="AL170" s="577"/>
      <c r="AM170" s="577"/>
      <c r="AN170" s="562">
        <v>2.25</v>
      </c>
      <c r="AO170" s="562">
        <f t="shared" si="36"/>
        <v>4.5</v>
      </c>
      <c r="AP170" s="598">
        <v>0.140625</v>
      </c>
      <c r="AQ170" s="599">
        <v>4.1403225806451616</v>
      </c>
      <c r="AR170" s="599">
        <f t="shared" si="37"/>
        <v>0.35967741935483843</v>
      </c>
      <c r="AS170" s="600"/>
      <c r="AT170" s="600">
        <v>1</v>
      </c>
      <c r="AU170" s="577" t="s">
        <v>778</v>
      </c>
      <c r="AV170" s="577"/>
      <c r="AW170" s="562"/>
      <c r="AX170" s="562"/>
      <c r="AY170" s="562"/>
      <c r="AZ170" s="562"/>
      <c r="BA170" s="562"/>
      <c r="BB170" s="563"/>
      <c r="BD170" s="576">
        <v>22</v>
      </c>
      <c r="BF170" s="576">
        <v>0.5</v>
      </c>
      <c r="BG170" s="576" t="s">
        <v>793</v>
      </c>
      <c r="BH170" s="576"/>
      <c r="BI170" s="576">
        <v>1</v>
      </c>
      <c r="BJ170" s="576"/>
      <c r="BK170" s="576">
        <v>1</v>
      </c>
      <c r="BL170" s="576">
        <v>3</v>
      </c>
      <c r="BM170" s="576">
        <f t="shared" si="30"/>
        <v>6</v>
      </c>
      <c r="BN170" s="576" t="s">
        <v>796</v>
      </c>
      <c r="BO170" s="611">
        <v>5.25</v>
      </c>
      <c r="BP170" s="611">
        <f t="shared" si="31"/>
        <v>0.75</v>
      </c>
      <c r="BQ170" s="612"/>
      <c r="BR170" s="612">
        <v>1</v>
      </c>
      <c r="BS170" s="576" t="s">
        <v>859</v>
      </c>
      <c r="BT170" s="622" t="s">
        <v>935</v>
      </c>
      <c r="DD170" s="561"/>
      <c r="DE170" s="577"/>
      <c r="DF170" s="562">
        <v>0.2</v>
      </c>
      <c r="DG170" s="562"/>
      <c r="DH170" s="562"/>
      <c r="DI170" s="562"/>
      <c r="DJ170" s="562"/>
      <c r="DK170" s="562"/>
      <c r="DL170" s="562"/>
      <c r="DM170" s="562"/>
      <c r="DN170" s="562"/>
      <c r="DO170" s="649"/>
      <c r="DP170" s="649"/>
      <c r="DQ170" s="657"/>
      <c r="DR170" s="657"/>
    </row>
    <row r="171" spans="1:122" s="560" customFormat="1">
      <c r="B171" s="560">
        <v>1</v>
      </c>
      <c r="F171" s="560">
        <v>1.8</v>
      </c>
      <c r="N171" s="576"/>
      <c r="O171" s="576"/>
      <c r="P171" s="561"/>
      <c r="Q171" s="562"/>
      <c r="R171" s="562">
        <v>0.5</v>
      </c>
      <c r="S171" s="562"/>
      <c r="T171" s="562"/>
      <c r="U171" s="562"/>
      <c r="V171" s="562"/>
      <c r="W171" s="562"/>
      <c r="X171" s="562"/>
      <c r="Y171" s="562"/>
      <c r="Z171" s="562"/>
      <c r="AA171" s="562"/>
      <c r="AB171" s="562"/>
      <c r="AC171" s="562"/>
      <c r="AD171" s="563"/>
      <c r="AE171" s="561"/>
      <c r="AF171" s="568">
        <v>18</v>
      </c>
      <c r="AG171" s="562"/>
      <c r="AH171" s="577"/>
      <c r="AI171" s="577"/>
      <c r="AJ171" s="577"/>
      <c r="AK171" s="577">
        <v>1</v>
      </c>
      <c r="AL171" s="577"/>
      <c r="AM171" s="577"/>
      <c r="AN171" s="562">
        <v>2.2000000000000002</v>
      </c>
      <c r="AO171" s="562">
        <f t="shared" si="36"/>
        <v>4.4000000000000004</v>
      </c>
      <c r="AP171" s="598">
        <v>0.140625</v>
      </c>
      <c r="AQ171" s="599">
        <v>4.136451612903226</v>
      </c>
      <c r="AR171" s="599">
        <f t="shared" si="37"/>
        <v>0.26354838709677431</v>
      </c>
      <c r="AS171" s="600"/>
      <c r="AT171" s="600">
        <v>1</v>
      </c>
      <c r="AU171" s="577" t="s">
        <v>778</v>
      </c>
      <c r="AV171" s="577"/>
      <c r="AW171" s="562"/>
      <c r="AX171" s="562"/>
      <c r="AY171" s="562"/>
      <c r="AZ171" s="562"/>
      <c r="BA171" s="562"/>
      <c r="BB171" s="563"/>
      <c r="BD171" s="576">
        <v>23</v>
      </c>
      <c r="BF171" s="576">
        <v>0.3</v>
      </c>
      <c r="BG171" s="576" t="s">
        <v>778</v>
      </c>
      <c r="BH171" s="576"/>
      <c r="BI171" s="576">
        <v>1</v>
      </c>
      <c r="BJ171" s="576"/>
      <c r="BK171" s="576"/>
      <c r="BL171" s="576">
        <v>2.7</v>
      </c>
      <c r="BM171" s="576">
        <f t="shared" si="30"/>
        <v>5.4</v>
      </c>
      <c r="BN171" s="576" t="s">
        <v>796</v>
      </c>
      <c r="BO171" s="611">
        <v>5.25</v>
      </c>
      <c r="BP171" s="611">
        <f t="shared" si="31"/>
        <v>0.15000000000000036</v>
      </c>
      <c r="BQ171" s="612"/>
      <c r="BR171" s="612">
        <v>1</v>
      </c>
      <c r="BS171" s="576" t="s">
        <v>859</v>
      </c>
      <c r="BT171" s="622" t="s">
        <v>936</v>
      </c>
      <c r="DD171" s="561"/>
      <c r="DE171" s="577"/>
      <c r="DF171" s="562">
        <v>0.19</v>
      </c>
      <c r="DG171" s="562"/>
      <c r="DH171" s="562"/>
      <c r="DI171" s="562"/>
      <c r="DJ171" s="562"/>
      <c r="DK171" s="562"/>
      <c r="DL171" s="562"/>
      <c r="DM171" s="562"/>
      <c r="DN171" s="562"/>
      <c r="DO171" s="649"/>
      <c r="DP171" s="649"/>
      <c r="DQ171" s="657"/>
      <c r="DR171" s="657"/>
    </row>
    <row r="172" spans="1:122" s="560" customFormat="1">
      <c r="B172" s="560">
        <v>2</v>
      </c>
      <c r="F172" s="560">
        <v>2.2000000000000002</v>
      </c>
      <c r="N172" s="585" t="s">
        <v>780</v>
      </c>
      <c r="O172" s="585" t="s">
        <v>616</v>
      </c>
      <c r="P172" s="561"/>
      <c r="Q172" s="562"/>
      <c r="R172" s="562">
        <v>0.4</v>
      </c>
      <c r="S172" s="562"/>
      <c r="T172" s="562"/>
      <c r="U172" s="562"/>
      <c r="V172" s="562"/>
      <c r="W172" s="562"/>
      <c r="X172" s="562"/>
      <c r="Y172" s="562"/>
      <c r="Z172" s="562"/>
      <c r="AA172" s="562"/>
      <c r="AB172" s="562"/>
      <c r="AC172" s="562"/>
      <c r="AD172" s="563"/>
      <c r="AE172" s="561"/>
      <c r="AF172" s="568">
        <v>19</v>
      </c>
      <c r="AG172" s="562"/>
      <c r="AH172" s="577">
        <v>1.5</v>
      </c>
      <c r="AI172" s="577" t="s">
        <v>793</v>
      </c>
      <c r="AJ172" s="577"/>
      <c r="AK172" s="577">
        <v>1</v>
      </c>
      <c r="AL172" s="577"/>
      <c r="AM172" s="577">
        <v>1</v>
      </c>
      <c r="AN172" s="562">
        <v>2.2999999999999998</v>
      </c>
      <c r="AO172" s="562">
        <f t="shared" si="36"/>
        <v>4.5999999999999996</v>
      </c>
      <c r="AP172" s="598">
        <v>0.140625</v>
      </c>
      <c r="AQ172" s="599">
        <v>4.1325806451612905</v>
      </c>
      <c r="AR172" s="599">
        <f t="shared" si="37"/>
        <v>0.46741935483870911</v>
      </c>
      <c r="AS172" s="600"/>
      <c r="AT172" s="600">
        <v>1</v>
      </c>
      <c r="AU172" s="577" t="s">
        <v>778</v>
      </c>
      <c r="AV172" s="577">
        <v>1599</v>
      </c>
      <c r="AW172" s="562"/>
      <c r="AX172" s="562"/>
      <c r="AY172" s="562"/>
      <c r="AZ172" s="562"/>
      <c r="BA172" s="562"/>
      <c r="BB172" s="563"/>
      <c r="BD172" s="576">
        <v>24</v>
      </c>
      <c r="BF172" s="576">
        <v>0.2</v>
      </c>
      <c r="BG172" s="576" t="s">
        <v>793</v>
      </c>
      <c r="BH172" s="576"/>
      <c r="BI172" s="576">
        <v>1</v>
      </c>
      <c r="BJ172" s="576"/>
      <c r="BK172" s="576">
        <v>1</v>
      </c>
      <c r="BL172" s="576">
        <v>3</v>
      </c>
      <c r="BM172" s="576">
        <f t="shared" si="30"/>
        <v>6</v>
      </c>
      <c r="BN172" s="576" t="s">
        <v>796</v>
      </c>
      <c r="BO172" s="611">
        <v>5.25</v>
      </c>
      <c r="BP172" s="611">
        <f t="shared" si="31"/>
        <v>0.75</v>
      </c>
      <c r="BQ172" s="612"/>
      <c r="BR172" s="612">
        <v>1</v>
      </c>
      <c r="BS172" s="576" t="s">
        <v>859</v>
      </c>
      <c r="BT172" s="622" t="s">
        <v>937</v>
      </c>
      <c r="DD172" s="561"/>
      <c r="DE172" s="577"/>
      <c r="DF172" s="562">
        <v>0.22</v>
      </c>
      <c r="DG172" s="562"/>
      <c r="DH172" s="562"/>
      <c r="DI172" s="562"/>
      <c r="DJ172" s="562"/>
      <c r="DK172" s="562"/>
      <c r="DL172" s="562"/>
      <c r="DM172" s="562"/>
      <c r="DN172" s="562"/>
      <c r="DO172" s="649"/>
      <c r="DP172" s="649"/>
      <c r="DQ172" s="657"/>
      <c r="DR172" s="657"/>
    </row>
    <row r="173" spans="1:122" s="560" customFormat="1">
      <c r="B173" s="560">
        <v>3</v>
      </c>
      <c r="F173" s="560">
        <v>3</v>
      </c>
      <c r="N173" s="585" t="s">
        <v>785</v>
      </c>
      <c r="O173" s="585" t="s">
        <v>542</v>
      </c>
      <c r="P173" s="561"/>
      <c r="Q173" s="562"/>
      <c r="R173" s="562">
        <v>0.4</v>
      </c>
      <c r="S173" s="562"/>
      <c r="T173" s="562"/>
      <c r="U173" s="562"/>
      <c r="V173" s="562"/>
      <c r="W173" s="562"/>
      <c r="X173" s="562"/>
      <c r="Y173" s="562"/>
      <c r="Z173" s="562"/>
      <c r="AA173" s="562"/>
      <c r="AB173" s="562"/>
      <c r="AC173" s="562"/>
      <c r="AD173" s="563"/>
      <c r="AE173" s="561"/>
      <c r="AF173" s="568">
        <v>20</v>
      </c>
      <c r="AG173" s="562"/>
      <c r="AH173" s="577"/>
      <c r="AI173" s="577"/>
      <c r="AJ173" s="577"/>
      <c r="AK173" s="577">
        <v>1</v>
      </c>
      <c r="AL173" s="577"/>
      <c r="AM173" s="577"/>
      <c r="AN173" s="562">
        <v>2.4</v>
      </c>
      <c r="AO173" s="562">
        <f t="shared" si="36"/>
        <v>4.8</v>
      </c>
      <c r="AP173" s="598">
        <v>0.140625</v>
      </c>
      <c r="AQ173" s="599">
        <v>4.128709677419355</v>
      </c>
      <c r="AR173" s="599">
        <f t="shared" si="37"/>
        <v>0.6712903225806448</v>
      </c>
      <c r="AS173" s="600"/>
      <c r="AT173" s="600">
        <v>1</v>
      </c>
      <c r="AU173" s="577" t="s">
        <v>778</v>
      </c>
      <c r="AV173" s="577"/>
      <c r="AW173" s="562"/>
      <c r="AX173" s="562"/>
      <c r="AY173" s="562"/>
      <c r="AZ173" s="562"/>
      <c r="BA173" s="562"/>
      <c r="BB173" s="563"/>
      <c r="BD173" s="576" t="s">
        <v>778</v>
      </c>
      <c r="BF173" s="576">
        <v>2.6</v>
      </c>
      <c r="BG173" s="576" t="s">
        <v>828</v>
      </c>
      <c r="BH173" s="576"/>
      <c r="BI173" s="576"/>
      <c r="BJ173" s="576"/>
      <c r="BK173" s="576"/>
      <c r="BL173" s="576"/>
      <c r="BM173" s="576"/>
      <c r="BO173" s="611"/>
      <c r="BP173" s="611"/>
      <c r="BQ173" s="658"/>
      <c r="BR173" s="658"/>
      <c r="BS173" s="576" t="s">
        <v>859</v>
      </c>
      <c r="BT173" s="622" t="s">
        <v>938</v>
      </c>
      <c r="DD173" s="561"/>
      <c r="DE173" s="577"/>
      <c r="DF173" s="562">
        <v>0.3</v>
      </c>
      <c r="DG173" s="562"/>
      <c r="DH173" s="562"/>
      <c r="DI173" s="562"/>
      <c r="DJ173" s="562"/>
      <c r="DK173" s="562"/>
      <c r="DL173" s="562"/>
      <c r="DM173" s="562"/>
      <c r="DN173" s="562"/>
      <c r="DO173" s="649"/>
      <c r="DP173" s="649"/>
      <c r="DQ173" s="657"/>
      <c r="DR173" s="657"/>
    </row>
    <row r="174" spans="1:122" s="560" customFormat="1">
      <c r="B174" s="560">
        <v>4</v>
      </c>
      <c r="F174" s="560">
        <v>2.5</v>
      </c>
      <c r="N174" s="585" t="s">
        <v>789</v>
      </c>
      <c r="O174" s="585" t="s">
        <v>790</v>
      </c>
      <c r="P174" s="561"/>
      <c r="Q174" s="562"/>
      <c r="R174" s="562">
        <v>0.48</v>
      </c>
      <c r="S174" s="562"/>
      <c r="T174" s="562"/>
      <c r="U174" s="562"/>
      <c r="V174" s="562"/>
      <c r="W174" s="562"/>
      <c r="X174" s="562"/>
      <c r="Y174" s="562"/>
      <c r="Z174" s="562"/>
      <c r="AA174" s="562"/>
      <c r="AB174" s="562"/>
      <c r="AC174" s="562"/>
      <c r="AD174" s="563"/>
      <c r="AE174" s="561"/>
      <c r="AF174" s="568">
        <v>21</v>
      </c>
      <c r="AG174" s="562"/>
      <c r="AH174" s="577">
        <v>2.4</v>
      </c>
      <c r="AI174" s="577" t="s">
        <v>793</v>
      </c>
      <c r="AJ174" s="577"/>
      <c r="AK174" s="577">
        <v>1</v>
      </c>
      <c r="AL174" s="577"/>
      <c r="AM174" s="577">
        <v>1</v>
      </c>
      <c r="AN174" s="562">
        <v>2.2000000000000002</v>
      </c>
      <c r="AO174" s="562">
        <f t="shared" si="36"/>
        <v>4.4000000000000004</v>
      </c>
      <c r="AP174" s="598">
        <v>0.140625</v>
      </c>
      <c r="AQ174" s="599">
        <v>4.1248387096774195</v>
      </c>
      <c r="AR174" s="599">
        <f t="shared" si="37"/>
        <v>0.27516129032258085</v>
      </c>
      <c r="AS174" s="600"/>
      <c r="AT174" s="600">
        <v>1</v>
      </c>
      <c r="AU174" s="577" t="s">
        <v>778</v>
      </c>
      <c r="AV174" s="577"/>
      <c r="AW174" s="562"/>
      <c r="AX174" s="562"/>
      <c r="AY174" s="562"/>
      <c r="AZ174" s="562"/>
      <c r="BA174" s="562"/>
      <c r="BB174" s="563"/>
      <c r="BD174" s="576">
        <v>25</v>
      </c>
      <c r="BF174" s="576">
        <v>0.3</v>
      </c>
      <c r="BG174" s="576" t="s">
        <v>793</v>
      </c>
      <c r="BH174" s="576"/>
      <c r="BI174" s="576">
        <v>1</v>
      </c>
      <c r="BJ174" s="576"/>
      <c r="BK174" s="576">
        <v>1</v>
      </c>
      <c r="BL174" s="576">
        <v>3</v>
      </c>
      <c r="BM174" s="576">
        <f>BL174+BL174</f>
        <v>6</v>
      </c>
      <c r="BN174" s="576" t="s">
        <v>796</v>
      </c>
      <c r="BO174" s="611">
        <v>5.25</v>
      </c>
      <c r="BP174" s="611">
        <f>BM174-BO174</f>
        <v>0.75</v>
      </c>
      <c r="BQ174" s="612"/>
      <c r="BR174" s="612">
        <v>1</v>
      </c>
      <c r="BS174" s="576" t="s">
        <v>859</v>
      </c>
      <c r="BT174" s="622" t="s">
        <v>939</v>
      </c>
      <c r="DD174" s="561"/>
      <c r="DE174" s="577" t="s">
        <v>940</v>
      </c>
      <c r="DF174" s="562">
        <v>0.44</v>
      </c>
      <c r="DG174" s="562"/>
      <c r="DH174" s="562"/>
      <c r="DI174" s="562"/>
      <c r="DJ174" s="562"/>
      <c r="DK174" s="562"/>
      <c r="DL174" s="562"/>
      <c r="DM174" s="562"/>
      <c r="DN174" s="562"/>
      <c r="DO174" s="649"/>
      <c r="DP174" s="649"/>
      <c r="DQ174" s="657"/>
      <c r="DR174" s="657"/>
    </row>
    <row r="175" spans="1:122" s="560" customFormat="1">
      <c r="B175" s="560">
        <v>5</v>
      </c>
      <c r="F175" s="560">
        <v>2.1</v>
      </c>
      <c r="N175" s="585" t="s">
        <v>791</v>
      </c>
      <c r="O175" s="585" t="s">
        <v>792</v>
      </c>
      <c r="P175" s="561"/>
      <c r="Q175" s="562"/>
      <c r="R175" s="562">
        <v>0.5</v>
      </c>
      <c r="S175" s="562"/>
      <c r="T175" s="562"/>
      <c r="U175" s="562"/>
      <c r="V175" s="562"/>
      <c r="W175" s="562"/>
      <c r="X175" s="562"/>
      <c r="Y175" s="562"/>
      <c r="Z175" s="562"/>
      <c r="AA175" s="562"/>
      <c r="AB175" s="562"/>
      <c r="AC175" s="562"/>
      <c r="AD175" s="563"/>
      <c r="AE175" s="561"/>
      <c r="AF175" s="568">
        <v>22</v>
      </c>
      <c r="AG175" s="562"/>
      <c r="AH175" s="577"/>
      <c r="AI175" s="577"/>
      <c r="AJ175" s="577"/>
      <c r="AK175" s="577">
        <v>1</v>
      </c>
      <c r="AL175" s="577"/>
      <c r="AM175" s="577"/>
      <c r="AN175" s="562">
        <v>2.25</v>
      </c>
      <c r="AO175" s="562">
        <f t="shared" si="36"/>
        <v>4.5</v>
      </c>
      <c r="AP175" s="598">
        <v>0.140625</v>
      </c>
      <c r="AQ175" s="599">
        <v>4.120967741935484</v>
      </c>
      <c r="AR175" s="599">
        <f t="shared" si="37"/>
        <v>0.37903225806451601</v>
      </c>
      <c r="AS175" s="600"/>
      <c r="AT175" s="600">
        <v>1</v>
      </c>
      <c r="AU175" s="577" t="s">
        <v>778</v>
      </c>
      <c r="AV175" s="577"/>
      <c r="AW175" s="562" t="s">
        <v>829</v>
      </c>
      <c r="AX175" s="562"/>
      <c r="AY175" s="562"/>
      <c r="AZ175" s="562"/>
      <c r="BA175" s="562"/>
      <c r="BB175" s="563"/>
      <c r="BD175" s="576">
        <v>26</v>
      </c>
      <c r="BF175" s="576"/>
      <c r="BG175" s="576"/>
      <c r="BH175" s="576"/>
      <c r="BI175" s="576">
        <v>1</v>
      </c>
      <c r="BJ175" s="576"/>
      <c r="BK175" s="576"/>
      <c r="BL175" s="576">
        <v>2.7</v>
      </c>
      <c r="BM175" s="576">
        <f>BL175+BL175</f>
        <v>5.4</v>
      </c>
      <c r="BN175" s="576" t="s">
        <v>796</v>
      </c>
      <c r="BO175" s="611">
        <v>5.25</v>
      </c>
      <c r="BP175" s="611">
        <f>BM175-BO175</f>
        <v>0.15000000000000036</v>
      </c>
      <c r="BQ175" s="612"/>
      <c r="BR175" s="612">
        <v>1</v>
      </c>
      <c r="BS175" s="576" t="s">
        <v>888</v>
      </c>
      <c r="BT175" s="576"/>
      <c r="DD175" s="561"/>
      <c r="DE175" s="577"/>
      <c r="DF175" s="562">
        <v>0.37</v>
      </c>
      <c r="DG175" s="562"/>
      <c r="DH175" s="562"/>
      <c r="DI175" s="562"/>
      <c r="DJ175" s="562"/>
      <c r="DK175" s="562"/>
      <c r="DL175" s="562"/>
      <c r="DM175" s="562"/>
      <c r="DN175" s="562"/>
      <c r="DO175" s="649"/>
      <c r="DP175" s="649"/>
      <c r="DQ175" s="657"/>
      <c r="DR175" s="657"/>
    </row>
    <row r="176" spans="1:122" s="560" customFormat="1">
      <c r="B176" s="560">
        <v>6</v>
      </c>
      <c r="F176" s="560">
        <v>2.5</v>
      </c>
      <c r="N176" s="585" t="s">
        <v>794</v>
      </c>
      <c r="O176" s="585" t="s">
        <v>795</v>
      </c>
      <c r="P176" s="561"/>
      <c r="Q176" s="562"/>
      <c r="R176" s="562">
        <v>0.5</v>
      </c>
      <c r="S176" s="562"/>
      <c r="T176" s="562"/>
      <c r="U176" s="562"/>
      <c r="V176" s="562"/>
      <c r="W176" s="562"/>
      <c r="X176" s="562"/>
      <c r="Y176" s="562"/>
      <c r="Z176" s="562"/>
      <c r="AA176" s="562"/>
      <c r="AB176" s="562"/>
      <c r="AC176" s="562"/>
      <c r="AD176" s="563"/>
      <c r="AE176" s="561"/>
      <c r="AF176" s="568">
        <v>23</v>
      </c>
      <c r="AG176" s="562"/>
      <c r="AH176" s="577"/>
      <c r="AI176" s="577"/>
      <c r="AJ176" s="577"/>
      <c r="AK176" s="577">
        <v>1</v>
      </c>
      <c r="AL176" s="577"/>
      <c r="AM176" s="577"/>
      <c r="AN176" s="562">
        <v>2.25</v>
      </c>
      <c r="AO176" s="562">
        <f t="shared" si="36"/>
        <v>4.5</v>
      </c>
      <c r="AP176" s="598">
        <v>0.140625</v>
      </c>
      <c r="AQ176" s="599">
        <v>4.1170967741935485</v>
      </c>
      <c r="AR176" s="599">
        <f t="shared" si="37"/>
        <v>0.38290322580645153</v>
      </c>
      <c r="AS176" s="600"/>
      <c r="AT176" s="600">
        <v>1</v>
      </c>
      <c r="AU176" s="577" t="s">
        <v>778</v>
      </c>
      <c r="AV176" s="577"/>
      <c r="AW176" s="562"/>
      <c r="AX176" s="562"/>
      <c r="AY176" s="562"/>
      <c r="AZ176" s="562"/>
      <c r="BA176" s="562"/>
      <c r="BB176" s="563"/>
      <c r="BH176" s="640">
        <f>SUM(BH149:BH175)</f>
        <v>2</v>
      </c>
      <c r="BI176" s="640">
        <f>SUM(BI149:BI175)</f>
        <v>24</v>
      </c>
      <c r="BJ176" s="641">
        <f>SUM(BJ149:BJ175)</f>
        <v>1</v>
      </c>
      <c r="BK176" s="642">
        <f>SUM(BK149:BK175)</f>
        <v>4</v>
      </c>
      <c r="BM176" s="643">
        <f>SUM(BM149:BM175)</f>
        <v>140.80000000000001</v>
      </c>
      <c r="BN176" s="576"/>
      <c r="BO176" s="644">
        <f>SUM(BO149:BO175)</f>
        <v>132.5</v>
      </c>
      <c r="BP176" s="644">
        <f>SUM(BP149:BP175)</f>
        <v>8.3000000000000025</v>
      </c>
      <c r="BQ176" s="645">
        <f>SUM(BQ149:BQ175)</f>
        <v>4</v>
      </c>
      <c r="BR176" s="645">
        <f>SUM(BR149:BR175)</f>
        <v>22</v>
      </c>
      <c r="DD176" s="561"/>
      <c r="DE176" s="577"/>
      <c r="DF176" s="562">
        <v>0.3</v>
      </c>
      <c r="DG176" s="562"/>
      <c r="DH176" s="562"/>
      <c r="DI176" s="562"/>
      <c r="DJ176" s="562"/>
      <c r="DK176" s="562"/>
      <c r="DL176" s="562"/>
      <c r="DM176" s="562"/>
      <c r="DN176" s="562"/>
      <c r="DO176" s="649"/>
      <c r="DP176" s="649"/>
      <c r="DQ176" s="657"/>
      <c r="DR176" s="657"/>
    </row>
    <row r="177" spans="2:122" s="560" customFormat="1">
      <c r="B177" s="560">
        <v>7</v>
      </c>
      <c r="F177" s="560">
        <v>2.2000000000000002</v>
      </c>
      <c r="N177" s="585" t="s">
        <v>798</v>
      </c>
      <c r="O177" s="585" t="s">
        <v>546</v>
      </c>
      <c r="P177" s="561"/>
      <c r="Q177" s="562"/>
      <c r="R177" s="562">
        <v>0.5</v>
      </c>
      <c r="S177" s="562"/>
      <c r="T177" s="562"/>
      <c r="U177" s="562"/>
      <c r="V177" s="562"/>
      <c r="W177" s="562"/>
      <c r="X177" s="562"/>
      <c r="Y177" s="562"/>
      <c r="Z177" s="562"/>
      <c r="AA177" s="562"/>
      <c r="AB177" s="562"/>
      <c r="AC177" s="562"/>
      <c r="AD177" s="563"/>
      <c r="AE177" s="561"/>
      <c r="AF177" s="568">
        <v>24</v>
      </c>
      <c r="AG177" s="562"/>
      <c r="AH177" s="577"/>
      <c r="AI177" s="577"/>
      <c r="AJ177" s="577"/>
      <c r="AK177" s="577">
        <v>1</v>
      </c>
      <c r="AL177" s="577"/>
      <c r="AM177" s="577"/>
      <c r="AN177" s="562">
        <v>2.25</v>
      </c>
      <c r="AO177" s="562">
        <f t="shared" si="36"/>
        <v>4.5</v>
      </c>
      <c r="AP177" s="598">
        <v>0.140625</v>
      </c>
      <c r="AQ177" s="599">
        <v>4.113225806451613</v>
      </c>
      <c r="AR177" s="599">
        <f t="shared" si="37"/>
        <v>0.38677419354838705</v>
      </c>
      <c r="AS177" s="600"/>
      <c r="AT177" s="600">
        <v>1</v>
      </c>
      <c r="AU177" s="577" t="s">
        <v>778</v>
      </c>
      <c r="AV177" s="577"/>
      <c r="AW177" s="562"/>
      <c r="AX177" s="562"/>
      <c r="AY177" s="562"/>
      <c r="AZ177" s="562"/>
      <c r="BA177" s="562"/>
      <c r="BB177" s="563"/>
      <c r="BC177" s="564">
        <v>41086</v>
      </c>
      <c r="BD177" s="565" t="s">
        <v>725</v>
      </c>
      <c r="BE177" s="565"/>
      <c r="BF177" s="565" t="s">
        <v>726</v>
      </c>
      <c r="BG177" s="566" t="s">
        <v>727</v>
      </c>
      <c r="BH177" s="566"/>
      <c r="BI177" s="566"/>
      <c r="BJ177" s="566"/>
      <c r="BK177" s="566"/>
      <c r="BL177" s="566" t="s">
        <v>728</v>
      </c>
      <c r="BM177" s="566"/>
      <c r="BN177" s="566" t="s">
        <v>729</v>
      </c>
      <c r="BO177" s="603"/>
      <c r="BP177" s="646">
        <f>+BP176/BO176</f>
        <v>6.2641509433962281E-2</v>
      </c>
      <c r="BQ177" s="604"/>
      <c r="BR177" s="604"/>
      <c r="BS177" s="566" t="s">
        <v>730</v>
      </c>
      <c r="BT177" s="566" t="s">
        <v>731</v>
      </c>
      <c r="BU177" s="565"/>
      <c r="DD177" s="561"/>
      <c r="DE177" s="577"/>
      <c r="DF177" s="562">
        <v>0.22</v>
      </c>
      <c r="DG177" s="562"/>
      <c r="DH177" s="562"/>
      <c r="DI177" s="562"/>
      <c r="DJ177" s="562"/>
      <c r="DK177" s="562"/>
      <c r="DL177" s="562"/>
      <c r="DM177" s="562"/>
      <c r="DN177" s="562"/>
      <c r="DO177" s="649"/>
      <c r="DP177" s="649"/>
      <c r="DQ177" s="657"/>
      <c r="DR177" s="657"/>
    </row>
    <row r="178" spans="2:122" s="560" customFormat="1">
      <c r="B178" s="560">
        <v>8</v>
      </c>
      <c r="F178" s="560">
        <v>2.6</v>
      </c>
      <c r="N178" s="585" t="s">
        <v>800</v>
      </c>
      <c r="O178" s="585" t="s">
        <v>801</v>
      </c>
      <c r="P178" s="561"/>
      <c r="Q178" s="562"/>
      <c r="R178" s="562">
        <v>0.5</v>
      </c>
      <c r="S178" s="562"/>
      <c r="T178" s="562"/>
      <c r="U178" s="562"/>
      <c r="V178" s="562"/>
      <c r="W178" s="562"/>
      <c r="X178" s="562"/>
      <c r="Y178" s="562"/>
      <c r="Z178" s="562"/>
      <c r="AA178" s="562"/>
      <c r="AB178" s="562"/>
      <c r="AC178" s="562"/>
      <c r="AD178" s="563"/>
      <c r="AE178" s="561"/>
      <c r="AF178" s="568">
        <v>25</v>
      </c>
      <c r="AG178" s="562"/>
      <c r="AH178" s="577"/>
      <c r="AI178" s="577"/>
      <c r="AJ178" s="577"/>
      <c r="AK178" s="577">
        <v>1</v>
      </c>
      <c r="AL178" s="577"/>
      <c r="AM178" s="577"/>
      <c r="AN178" s="562">
        <v>2.2000000000000002</v>
      </c>
      <c r="AO178" s="562">
        <f t="shared" si="36"/>
        <v>4.4000000000000004</v>
      </c>
      <c r="AP178" s="598">
        <v>0.140625</v>
      </c>
      <c r="AQ178" s="599">
        <v>4.1093548387096774</v>
      </c>
      <c r="AR178" s="599">
        <f t="shared" si="37"/>
        <v>0.29064516129032292</v>
      </c>
      <c r="AS178" s="600"/>
      <c r="AT178" s="600">
        <v>1</v>
      </c>
      <c r="AU178" s="577" t="s">
        <v>778</v>
      </c>
      <c r="AV178" s="577"/>
      <c r="AW178" s="562"/>
      <c r="AX178" s="562"/>
      <c r="AY178" s="562"/>
      <c r="AZ178" s="562"/>
      <c r="BA178" s="562"/>
      <c r="BB178" s="563"/>
      <c r="BD178" s="565"/>
      <c r="BE178" s="565"/>
      <c r="BF178" s="565"/>
      <c r="BG178" s="576" t="s">
        <v>941</v>
      </c>
      <c r="BH178" s="576"/>
      <c r="BI178" s="576"/>
      <c r="BJ178" s="576"/>
      <c r="BK178" s="576"/>
      <c r="BL178" s="576" t="s">
        <v>942</v>
      </c>
      <c r="BM178" s="576"/>
      <c r="BN178" s="623">
        <v>54</v>
      </c>
      <c r="BO178" s="611"/>
      <c r="BP178" s="611"/>
      <c r="BQ178" s="612"/>
      <c r="BR178" s="612"/>
      <c r="BS178" s="623">
        <v>57</v>
      </c>
      <c r="BT178" s="622"/>
      <c r="BU178" s="565"/>
      <c r="DD178" s="561"/>
      <c r="DE178" s="577"/>
      <c r="DF178" s="562">
        <v>0.2</v>
      </c>
      <c r="DG178" s="562"/>
      <c r="DH178" s="562"/>
      <c r="DI178" s="562"/>
      <c r="DJ178" s="562"/>
      <c r="DK178" s="562"/>
      <c r="DL178" s="562"/>
      <c r="DM178" s="562"/>
      <c r="DN178" s="562"/>
      <c r="DO178" s="649"/>
      <c r="DP178" s="649"/>
      <c r="DQ178" s="657"/>
      <c r="DR178" s="657"/>
    </row>
    <row r="179" spans="2:122" s="560" customFormat="1">
      <c r="B179" s="560">
        <v>9</v>
      </c>
      <c r="F179" s="560">
        <v>2.7</v>
      </c>
      <c r="N179" s="585" t="s">
        <v>804</v>
      </c>
      <c r="O179" s="585" t="s">
        <v>805</v>
      </c>
      <c r="P179" s="561"/>
      <c r="Q179" s="562"/>
      <c r="R179" s="562">
        <v>0.5</v>
      </c>
      <c r="S179" s="562"/>
      <c r="T179" s="562"/>
      <c r="U179" s="562"/>
      <c r="V179" s="562"/>
      <c r="W179" s="562"/>
      <c r="X179" s="562"/>
      <c r="Y179" s="562"/>
      <c r="Z179" s="562"/>
      <c r="AA179" s="562"/>
      <c r="AB179" s="562"/>
      <c r="AC179" s="562"/>
      <c r="AD179" s="563"/>
      <c r="AE179" s="561"/>
      <c r="AF179" s="568">
        <v>26</v>
      </c>
      <c r="AG179" s="562"/>
      <c r="AH179" s="577"/>
      <c r="AI179" s="577"/>
      <c r="AJ179" s="577"/>
      <c r="AK179" s="577">
        <v>1</v>
      </c>
      <c r="AL179" s="577"/>
      <c r="AM179" s="577"/>
      <c r="AN179" s="562">
        <v>2.2000000000000002</v>
      </c>
      <c r="AO179" s="562">
        <f t="shared" si="36"/>
        <v>4.4000000000000004</v>
      </c>
      <c r="AP179" s="598">
        <v>0.140625</v>
      </c>
      <c r="AQ179" s="599">
        <v>4.1054838709677419</v>
      </c>
      <c r="AR179" s="599">
        <f t="shared" si="37"/>
        <v>0.29451612903225843</v>
      </c>
      <c r="AS179" s="600"/>
      <c r="AT179" s="600">
        <v>1</v>
      </c>
      <c r="AU179" s="577" t="s">
        <v>778</v>
      </c>
      <c r="AV179" s="577"/>
      <c r="AW179" s="562"/>
      <c r="AX179" s="562"/>
      <c r="AY179" s="562"/>
      <c r="AZ179" s="562"/>
      <c r="BA179" s="562"/>
      <c r="BB179" s="563"/>
      <c r="BC179" s="560" t="s">
        <v>497</v>
      </c>
      <c r="BD179" s="581" t="s">
        <v>943</v>
      </c>
      <c r="BE179" s="582"/>
      <c r="BF179" s="566"/>
      <c r="BG179" s="565"/>
      <c r="BH179" s="565"/>
      <c r="BI179" s="565"/>
      <c r="BJ179" s="565"/>
      <c r="BK179" s="565"/>
      <c r="BL179" s="565"/>
      <c r="BM179" s="565"/>
      <c r="BN179" s="566"/>
      <c r="BO179" s="603" t="s">
        <v>944</v>
      </c>
      <c r="BP179" s="581" t="s">
        <v>945</v>
      </c>
      <c r="BQ179" s="604"/>
      <c r="BR179" s="604"/>
      <c r="BS179" s="566"/>
      <c r="BT179" s="576"/>
      <c r="BU179" s="566"/>
      <c r="DD179" s="561"/>
      <c r="DE179" s="577"/>
      <c r="DF179" s="562">
        <v>0.2</v>
      </c>
      <c r="DG179" s="562"/>
      <c r="DH179" s="562"/>
      <c r="DI179" s="562"/>
      <c r="DJ179" s="562"/>
      <c r="DK179" s="562"/>
      <c r="DL179" s="562"/>
      <c r="DM179" s="562"/>
      <c r="DN179" s="562"/>
      <c r="DO179" s="649"/>
      <c r="DP179" s="649"/>
      <c r="DQ179" s="657"/>
      <c r="DR179" s="657"/>
    </row>
    <row r="180" spans="2:122" s="560" customFormat="1">
      <c r="B180" s="560">
        <v>10</v>
      </c>
      <c r="F180" s="560">
        <v>3</v>
      </c>
      <c r="N180" s="585" t="s">
        <v>807</v>
      </c>
      <c r="O180" s="585" t="s">
        <v>808</v>
      </c>
      <c r="P180" s="561"/>
      <c r="Q180" s="562"/>
      <c r="R180" s="562">
        <v>0.5</v>
      </c>
      <c r="S180" s="562"/>
      <c r="T180" s="562"/>
      <c r="U180" s="562"/>
      <c r="V180" s="562"/>
      <c r="W180" s="562"/>
      <c r="X180" s="562"/>
      <c r="Y180" s="562"/>
      <c r="Z180" s="562"/>
      <c r="AA180" s="562"/>
      <c r="AB180" s="562"/>
      <c r="AC180" s="562"/>
      <c r="AD180" s="563"/>
      <c r="AE180" s="561"/>
      <c r="AF180" s="568">
        <v>27</v>
      </c>
      <c r="AG180" s="562"/>
      <c r="AH180" s="577"/>
      <c r="AI180" s="577"/>
      <c r="AJ180" s="577"/>
      <c r="AK180" s="577">
        <v>1</v>
      </c>
      <c r="AL180" s="577"/>
      <c r="AM180" s="577"/>
      <c r="AN180" s="562">
        <v>2.2000000000000002</v>
      </c>
      <c r="AO180" s="562">
        <f t="shared" si="36"/>
        <v>4.4000000000000004</v>
      </c>
      <c r="AP180" s="598">
        <v>0.140625</v>
      </c>
      <c r="AQ180" s="599">
        <v>4.1016129032258064</v>
      </c>
      <c r="AR180" s="599">
        <f t="shared" si="37"/>
        <v>0.29838709677419395</v>
      </c>
      <c r="AS180" s="600"/>
      <c r="AT180" s="600">
        <v>1</v>
      </c>
      <c r="AU180" s="577" t="s">
        <v>778</v>
      </c>
      <c r="AV180" s="577"/>
      <c r="AW180" s="562"/>
      <c r="AX180" s="562"/>
      <c r="AY180" s="562"/>
      <c r="AZ180" s="562"/>
      <c r="BA180" s="562"/>
      <c r="BB180" s="563"/>
      <c r="BC180" s="585"/>
      <c r="BD180" s="586" t="s">
        <v>755</v>
      </c>
      <c r="BE180" s="586" t="s">
        <v>756</v>
      </c>
      <c r="BF180" s="615" t="s">
        <v>757</v>
      </c>
      <c r="BG180" s="615" t="s">
        <v>758</v>
      </c>
      <c r="BH180" s="615" t="s">
        <v>765</v>
      </c>
      <c r="BI180" s="615" t="s">
        <v>766</v>
      </c>
      <c r="BJ180" s="616" t="s">
        <v>767</v>
      </c>
      <c r="BK180" s="617" t="s">
        <v>768</v>
      </c>
      <c r="BL180" s="586" t="s">
        <v>759</v>
      </c>
      <c r="BM180" s="618" t="s">
        <v>769</v>
      </c>
      <c r="BN180" s="586" t="s">
        <v>760</v>
      </c>
      <c r="BO180" s="619" t="s">
        <v>770</v>
      </c>
      <c r="BP180" s="619" t="s">
        <v>771</v>
      </c>
      <c r="BQ180" s="620" t="s">
        <v>772</v>
      </c>
      <c r="BR180" s="620" t="s">
        <v>773</v>
      </c>
      <c r="BS180" s="586" t="s">
        <v>761</v>
      </c>
      <c r="BT180" s="586" t="s">
        <v>762</v>
      </c>
      <c r="BU180" s="586" t="s">
        <v>763</v>
      </c>
      <c r="BY180" s="586" t="s">
        <v>764</v>
      </c>
      <c r="BZ180" s="576"/>
      <c r="DD180" s="561"/>
      <c r="DE180" s="577"/>
      <c r="DF180" s="562">
        <v>0.24</v>
      </c>
      <c r="DG180" s="562"/>
      <c r="DH180" s="562"/>
      <c r="DI180" s="562"/>
      <c r="DJ180" s="562"/>
      <c r="DK180" s="562"/>
      <c r="DL180" s="562"/>
      <c r="DM180" s="562"/>
      <c r="DN180" s="562"/>
      <c r="DO180" s="649"/>
      <c r="DP180" s="649"/>
      <c r="DQ180" s="657"/>
      <c r="DR180" s="657"/>
    </row>
    <row r="181" spans="2:122" s="560" customFormat="1">
      <c r="B181" s="560">
        <v>11</v>
      </c>
      <c r="D181" s="560">
        <v>0.4</v>
      </c>
      <c r="E181" s="560" t="s">
        <v>778</v>
      </c>
      <c r="F181" s="560">
        <v>2.2000000000000002</v>
      </c>
      <c r="I181" s="560">
        <v>2318</v>
      </c>
      <c r="N181" s="585" t="s">
        <v>810</v>
      </c>
      <c r="O181" s="585" t="s">
        <v>550</v>
      </c>
      <c r="P181" s="561"/>
      <c r="Q181" s="562"/>
      <c r="R181" s="562">
        <v>0.5</v>
      </c>
      <c r="S181" s="562"/>
      <c r="T181" s="562"/>
      <c r="U181" s="562"/>
      <c r="V181" s="562"/>
      <c r="W181" s="562"/>
      <c r="X181" s="562"/>
      <c r="Y181" s="562"/>
      <c r="Z181" s="562"/>
      <c r="AA181" s="562"/>
      <c r="AB181" s="562"/>
      <c r="AC181" s="562"/>
      <c r="AD181" s="563"/>
      <c r="AE181" s="561"/>
      <c r="AF181" s="568">
        <v>28</v>
      </c>
      <c r="AG181" s="562"/>
      <c r="AH181" s="577"/>
      <c r="AI181" s="577"/>
      <c r="AJ181" s="577"/>
      <c r="AK181" s="577">
        <v>1</v>
      </c>
      <c r="AL181" s="577"/>
      <c r="AM181" s="577"/>
      <c r="AN181" s="562">
        <v>2.25</v>
      </c>
      <c r="AO181" s="562">
        <f t="shared" si="36"/>
        <v>4.5</v>
      </c>
      <c r="AP181" s="598">
        <v>0.140625</v>
      </c>
      <c r="AQ181" s="599">
        <v>4.0977419354838709</v>
      </c>
      <c r="AR181" s="599">
        <f t="shared" si="37"/>
        <v>0.40225806451612911</v>
      </c>
      <c r="AS181" s="600"/>
      <c r="AT181" s="600">
        <v>1</v>
      </c>
      <c r="AU181" s="577" t="s">
        <v>778</v>
      </c>
      <c r="AV181" s="577"/>
      <c r="AW181" s="562"/>
      <c r="AX181" s="562"/>
      <c r="AY181" s="562"/>
      <c r="AZ181" s="562"/>
      <c r="BA181" s="562"/>
      <c r="BB181" s="563"/>
      <c r="BD181" s="576">
        <v>1</v>
      </c>
      <c r="BF181" s="576"/>
      <c r="BG181" s="576"/>
      <c r="BH181" s="576"/>
      <c r="BI181" s="576">
        <v>1</v>
      </c>
      <c r="BJ181" s="576"/>
      <c r="BK181" s="576"/>
      <c r="BL181" s="576">
        <v>2.5</v>
      </c>
      <c r="BM181" s="576">
        <f t="shared" ref="BM181:BM205" si="38">BL181+BL181</f>
        <v>5</v>
      </c>
      <c r="BN181" s="662" t="s">
        <v>796</v>
      </c>
      <c r="BO181" s="611">
        <v>4.25</v>
      </c>
      <c r="BP181" s="611">
        <f t="shared" ref="BP181:BP205" si="39">BM181-BO181</f>
        <v>0.75</v>
      </c>
      <c r="BQ181" s="612"/>
      <c r="BR181" s="612">
        <v>1</v>
      </c>
      <c r="BS181" s="576" t="s">
        <v>127</v>
      </c>
      <c r="BU181" s="581"/>
      <c r="BY181" s="576"/>
      <c r="BZ181" s="576"/>
      <c r="DD181" s="561"/>
      <c r="DE181" s="577"/>
      <c r="DF181" s="562">
        <v>0.3</v>
      </c>
      <c r="DG181" s="562"/>
      <c r="DH181" s="562"/>
      <c r="DI181" s="562"/>
      <c r="DJ181" s="562"/>
      <c r="DK181" s="562"/>
      <c r="DL181" s="562"/>
      <c r="DM181" s="562"/>
      <c r="DN181" s="562"/>
      <c r="DO181" s="649"/>
      <c r="DP181" s="649"/>
      <c r="DQ181" s="657"/>
      <c r="DR181" s="657"/>
    </row>
    <row r="182" spans="2:122" s="560" customFormat="1">
      <c r="B182" s="560">
        <v>12</v>
      </c>
      <c r="F182" s="560">
        <v>3</v>
      </c>
      <c r="N182" s="585" t="s">
        <v>813</v>
      </c>
      <c r="O182" s="585" t="s">
        <v>552</v>
      </c>
      <c r="P182" s="561"/>
      <c r="Q182" s="562"/>
      <c r="R182" s="562">
        <v>0.5</v>
      </c>
      <c r="S182" s="562"/>
      <c r="T182" s="562"/>
      <c r="U182" s="562"/>
      <c r="V182" s="562"/>
      <c r="W182" s="562"/>
      <c r="X182" s="562"/>
      <c r="Y182" s="562"/>
      <c r="Z182" s="562"/>
      <c r="AA182" s="562"/>
      <c r="AB182" s="562"/>
      <c r="AC182" s="562"/>
      <c r="AD182" s="563"/>
      <c r="AE182" s="561"/>
      <c r="AF182" s="568">
        <v>29</v>
      </c>
      <c r="AG182" s="562"/>
      <c r="AH182" s="577">
        <v>0.7</v>
      </c>
      <c r="AI182" s="577" t="s">
        <v>778</v>
      </c>
      <c r="AJ182" s="577">
        <v>1</v>
      </c>
      <c r="AK182" s="577"/>
      <c r="AL182" s="577"/>
      <c r="AM182" s="577"/>
      <c r="AN182" s="562">
        <v>2.2000000000000002</v>
      </c>
      <c r="AO182" s="562">
        <f t="shared" si="36"/>
        <v>4.4000000000000004</v>
      </c>
      <c r="AP182" s="598">
        <v>0.140625</v>
      </c>
      <c r="AQ182" s="599">
        <v>4.0938709677419354</v>
      </c>
      <c r="AR182" s="599">
        <f t="shared" si="37"/>
        <v>0.30612903225806498</v>
      </c>
      <c r="AS182" s="600"/>
      <c r="AT182" s="600">
        <v>1</v>
      </c>
      <c r="AU182" s="577" t="s">
        <v>778</v>
      </c>
      <c r="AV182" s="577">
        <v>1598</v>
      </c>
      <c r="AW182" s="562"/>
      <c r="AX182" s="562"/>
      <c r="AY182" s="562"/>
      <c r="AZ182" s="562"/>
      <c r="BA182" s="562"/>
      <c r="BB182" s="563"/>
      <c r="BD182" s="576">
        <v>2</v>
      </c>
      <c r="BE182" s="576"/>
      <c r="BF182" s="576"/>
      <c r="BG182" s="576"/>
      <c r="BH182" s="576"/>
      <c r="BI182" s="576">
        <v>1</v>
      </c>
      <c r="BJ182" s="576"/>
      <c r="BK182" s="576"/>
      <c r="BL182" s="576">
        <v>2.8</v>
      </c>
      <c r="BM182" s="576">
        <f t="shared" si="38"/>
        <v>5.6</v>
      </c>
      <c r="BN182" s="662" t="s">
        <v>779</v>
      </c>
      <c r="BO182" s="611">
        <v>4.2499999999999991</v>
      </c>
      <c r="BP182" s="611">
        <f t="shared" si="39"/>
        <v>1.3500000000000005</v>
      </c>
      <c r="BQ182" s="612">
        <v>1</v>
      </c>
      <c r="BR182" s="612"/>
      <c r="BS182" s="673" t="s">
        <v>778</v>
      </c>
      <c r="BY182" s="585" t="s">
        <v>780</v>
      </c>
      <c r="BZ182" s="585" t="s">
        <v>616</v>
      </c>
      <c r="DD182" s="561"/>
      <c r="DE182" s="577" t="s">
        <v>946</v>
      </c>
      <c r="DF182" s="562">
        <v>0.55000000000000004</v>
      </c>
      <c r="DG182" s="562"/>
      <c r="DH182" s="562"/>
      <c r="DI182" s="562"/>
      <c r="DJ182" s="562"/>
      <c r="DK182" s="562"/>
      <c r="DL182" s="562"/>
      <c r="DM182" s="562"/>
      <c r="DN182" s="562"/>
      <c r="DO182" s="649"/>
      <c r="DP182" s="649"/>
      <c r="DQ182" s="657"/>
      <c r="DR182" s="657"/>
    </row>
    <row r="183" spans="2:122" s="560" customFormat="1">
      <c r="B183" s="560">
        <v>13</v>
      </c>
      <c r="D183" s="560">
        <v>0.4</v>
      </c>
      <c r="E183" s="560" t="s">
        <v>778</v>
      </c>
      <c r="F183" s="560">
        <v>3.6</v>
      </c>
      <c r="I183" s="560">
        <v>2319</v>
      </c>
      <c r="N183" s="585" t="s">
        <v>815</v>
      </c>
      <c r="O183" s="585" t="s">
        <v>816</v>
      </c>
      <c r="P183" s="561"/>
      <c r="Q183" s="562"/>
      <c r="R183" s="562">
        <v>0.5</v>
      </c>
      <c r="S183" s="562"/>
      <c r="T183" s="562"/>
      <c r="U183" s="562"/>
      <c r="V183" s="562"/>
      <c r="W183" s="562"/>
      <c r="X183" s="562"/>
      <c r="Y183" s="562"/>
      <c r="Z183" s="562"/>
      <c r="AA183" s="562"/>
      <c r="AB183" s="562"/>
      <c r="AC183" s="562"/>
      <c r="AD183" s="563"/>
      <c r="AE183" s="561"/>
      <c r="AF183" s="568">
        <v>30</v>
      </c>
      <c r="AG183" s="562"/>
      <c r="AH183" s="577"/>
      <c r="AI183" s="577"/>
      <c r="AJ183" s="577"/>
      <c r="AK183" s="577">
        <v>1</v>
      </c>
      <c r="AL183" s="577"/>
      <c r="AM183" s="577"/>
      <c r="AN183" s="562">
        <v>2</v>
      </c>
      <c r="AO183" s="562">
        <f t="shared" si="36"/>
        <v>4</v>
      </c>
      <c r="AP183" s="598">
        <v>0.140625</v>
      </c>
      <c r="AQ183" s="599">
        <v>4.09</v>
      </c>
      <c r="AR183" s="599">
        <f t="shared" si="37"/>
        <v>-8.9999999999999858E-2</v>
      </c>
      <c r="AS183" s="600"/>
      <c r="AT183" s="600">
        <v>1</v>
      </c>
      <c r="AU183" s="577" t="s">
        <v>778</v>
      </c>
      <c r="AV183" s="562"/>
      <c r="AW183" s="562"/>
      <c r="AX183" s="562"/>
      <c r="AY183" s="562"/>
      <c r="AZ183" s="562"/>
      <c r="BA183" s="562"/>
      <c r="BB183" s="563"/>
      <c r="BD183" s="576">
        <v>3</v>
      </c>
      <c r="BE183" s="576"/>
      <c r="BF183" s="576">
        <v>3.5</v>
      </c>
      <c r="BG183" s="576" t="s">
        <v>802</v>
      </c>
      <c r="BH183" s="576"/>
      <c r="BI183" s="576">
        <v>1</v>
      </c>
      <c r="BJ183" s="576">
        <v>1</v>
      </c>
      <c r="BK183" s="576"/>
      <c r="BL183" s="576">
        <v>2.4</v>
      </c>
      <c r="BM183" s="576">
        <f t="shared" si="38"/>
        <v>4.8</v>
      </c>
      <c r="BN183" s="662" t="s">
        <v>796</v>
      </c>
      <c r="BO183" s="611">
        <v>4.2590909090909079</v>
      </c>
      <c r="BP183" s="611">
        <f t="shared" si="39"/>
        <v>0.54090909090909189</v>
      </c>
      <c r="BQ183" s="612"/>
      <c r="BR183" s="612">
        <v>1</v>
      </c>
      <c r="BS183" s="576" t="s">
        <v>127</v>
      </c>
      <c r="BT183" s="622" t="s">
        <v>947</v>
      </c>
      <c r="BW183" s="605">
        <v>4.2590909090909088</v>
      </c>
      <c r="BY183" s="585" t="s">
        <v>785</v>
      </c>
      <c r="BZ183" s="585" t="s">
        <v>542</v>
      </c>
      <c r="DD183" s="561"/>
      <c r="DE183" s="577"/>
      <c r="DF183" s="562">
        <v>0.55000000000000004</v>
      </c>
      <c r="DG183" s="562"/>
      <c r="DH183" s="562"/>
      <c r="DI183" s="562"/>
      <c r="DJ183" s="562"/>
      <c r="DK183" s="562"/>
      <c r="DL183" s="562"/>
      <c r="DM183" s="562"/>
      <c r="DN183" s="562"/>
      <c r="DO183" s="649"/>
      <c r="DP183" s="649"/>
      <c r="DQ183" s="657"/>
      <c r="DR183" s="657"/>
    </row>
    <row r="184" spans="2:122" s="560" customFormat="1">
      <c r="B184" s="560">
        <v>14</v>
      </c>
      <c r="D184" s="560">
        <v>0.6</v>
      </c>
      <c r="E184" s="560" t="s">
        <v>778</v>
      </c>
      <c r="F184" s="560">
        <v>3.8</v>
      </c>
      <c r="I184" s="560">
        <v>2320</v>
      </c>
      <c r="P184" s="561"/>
      <c r="Q184" s="562"/>
      <c r="R184" s="562">
        <v>0.5</v>
      </c>
      <c r="S184" s="562"/>
      <c r="T184" s="562"/>
      <c r="U184" s="562"/>
      <c r="V184" s="562"/>
      <c r="W184" s="562"/>
      <c r="X184" s="562"/>
      <c r="Y184" s="562"/>
      <c r="Z184" s="562"/>
      <c r="AA184" s="562"/>
      <c r="AB184" s="562"/>
      <c r="AC184" s="562"/>
      <c r="AD184" s="563"/>
      <c r="AE184" s="561"/>
      <c r="AF184" s="562"/>
      <c r="AG184" s="562"/>
      <c r="AH184" s="562"/>
      <c r="AI184" s="562"/>
      <c r="AJ184" s="632">
        <f>SUM(AJ151:AJ183)</f>
        <v>2</v>
      </c>
      <c r="AK184" s="632">
        <f>SUM(AK151:AK183)</f>
        <v>28</v>
      </c>
      <c r="AL184" s="633"/>
      <c r="AM184" s="634">
        <f>SUM(AM151:AM183)</f>
        <v>13</v>
      </c>
      <c r="AN184" s="562"/>
      <c r="AO184" s="635">
        <f>SUM(AO151:AO183)</f>
        <v>134.70000000000002</v>
      </c>
      <c r="AP184" s="659"/>
      <c r="AQ184" s="636">
        <f>SUM(AQ151:AQ183)</f>
        <v>124.47290322580645</v>
      </c>
      <c r="AR184" s="636">
        <f>SUM(AR151:AR183)</f>
        <v>10.227096774193553</v>
      </c>
      <c r="AS184" s="657"/>
      <c r="AT184" s="637">
        <f>SUM(AT151:AT183)</f>
        <v>30</v>
      </c>
      <c r="AU184" s="562"/>
      <c r="AV184" s="562"/>
      <c r="AW184" s="562"/>
      <c r="AX184" s="562"/>
      <c r="AY184" s="562"/>
      <c r="AZ184" s="562"/>
      <c r="BA184" s="562"/>
      <c r="BB184" s="563"/>
      <c r="BD184" s="576">
        <v>4</v>
      </c>
      <c r="BE184" s="576"/>
      <c r="BF184" s="576"/>
      <c r="BG184" s="576"/>
      <c r="BH184" s="576"/>
      <c r="BI184" s="576">
        <v>1</v>
      </c>
      <c r="BJ184" s="576"/>
      <c r="BK184" s="576"/>
      <c r="BL184" s="576">
        <v>2.4</v>
      </c>
      <c r="BM184" s="576">
        <f t="shared" si="38"/>
        <v>4.8</v>
      </c>
      <c r="BN184" s="662" t="s">
        <v>796</v>
      </c>
      <c r="BO184" s="611">
        <v>4.2681818181818176</v>
      </c>
      <c r="BP184" s="611">
        <f t="shared" si="39"/>
        <v>0.53181818181818219</v>
      </c>
      <c r="BQ184" s="612"/>
      <c r="BR184" s="612">
        <v>1</v>
      </c>
      <c r="BS184" s="576" t="s">
        <v>127</v>
      </c>
      <c r="BT184" s="576"/>
      <c r="BW184" s="605">
        <v>4.2681818181818176</v>
      </c>
      <c r="BY184" s="585" t="s">
        <v>789</v>
      </c>
      <c r="BZ184" s="585" t="s">
        <v>790</v>
      </c>
      <c r="DD184" s="561"/>
      <c r="DE184" s="577"/>
      <c r="DF184" s="562">
        <v>0.36</v>
      </c>
      <c r="DG184" s="562"/>
      <c r="DH184" s="562"/>
      <c r="DI184" s="562"/>
      <c r="DJ184" s="562"/>
      <c r="DK184" s="562"/>
      <c r="DL184" s="562"/>
      <c r="DM184" s="562"/>
      <c r="DN184" s="562"/>
      <c r="DO184" s="649"/>
      <c r="DP184" s="649"/>
      <c r="DQ184" s="657"/>
      <c r="DR184" s="657"/>
    </row>
    <row r="185" spans="2:122" s="560" customFormat="1">
      <c r="B185" s="560">
        <v>15</v>
      </c>
      <c r="F185" s="560">
        <v>3.6</v>
      </c>
      <c r="P185" s="561"/>
      <c r="Q185" s="562"/>
      <c r="R185" s="562">
        <v>0.5</v>
      </c>
      <c r="S185" s="562"/>
      <c r="T185" s="562"/>
      <c r="U185" s="562"/>
      <c r="V185" s="562"/>
      <c r="W185" s="562"/>
      <c r="X185" s="562"/>
      <c r="Y185" s="562"/>
      <c r="Z185" s="562"/>
      <c r="AA185" s="562"/>
      <c r="AB185" s="562"/>
      <c r="AC185" s="562"/>
      <c r="AD185" s="563"/>
      <c r="AE185" s="567">
        <v>41123</v>
      </c>
      <c r="AF185" s="568" t="s">
        <v>725</v>
      </c>
      <c r="AG185" s="568"/>
      <c r="AH185" s="568" t="s">
        <v>726</v>
      </c>
      <c r="AI185" s="569" t="s">
        <v>727</v>
      </c>
      <c r="AJ185" s="569"/>
      <c r="AK185" s="569"/>
      <c r="AL185" s="569"/>
      <c r="AM185" s="569"/>
      <c r="AN185" s="569" t="s">
        <v>728</v>
      </c>
      <c r="AO185" s="569"/>
      <c r="AP185" s="569" t="s">
        <v>729</v>
      </c>
      <c r="AQ185" s="651"/>
      <c r="AR185" s="638">
        <f>+AR184/AO184</f>
        <v>7.5924994611681895E-2</v>
      </c>
      <c r="AS185" s="639"/>
      <c r="AT185" s="639"/>
      <c r="AU185" s="569" t="s">
        <v>730</v>
      </c>
      <c r="AV185" s="569" t="s">
        <v>731</v>
      </c>
      <c r="AW185" s="568"/>
      <c r="AX185" s="562"/>
      <c r="AY185" s="562"/>
      <c r="AZ185" s="562"/>
      <c r="BA185" s="562"/>
      <c r="BB185" s="563"/>
      <c r="BD185" s="576">
        <v>5</v>
      </c>
      <c r="BE185" s="576"/>
      <c r="BF185" s="576">
        <v>7</v>
      </c>
      <c r="BG185" s="576" t="s">
        <v>892</v>
      </c>
      <c r="BH185" s="576"/>
      <c r="BI185" s="576">
        <v>1</v>
      </c>
      <c r="BJ185" s="576"/>
      <c r="BK185" s="576"/>
      <c r="BL185" s="576">
        <v>2.4</v>
      </c>
      <c r="BM185" s="576">
        <f t="shared" si="38"/>
        <v>4.8</v>
      </c>
      <c r="BN185" s="662" t="s">
        <v>796</v>
      </c>
      <c r="BO185" s="611">
        <v>4.2772727272727264</v>
      </c>
      <c r="BP185" s="611">
        <f t="shared" si="39"/>
        <v>0.52272727272727337</v>
      </c>
      <c r="BQ185" s="612"/>
      <c r="BR185" s="612">
        <v>1</v>
      </c>
      <c r="BS185" s="576" t="s">
        <v>127</v>
      </c>
      <c r="BT185" s="622" t="s">
        <v>948</v>
      </c>
      <c r="BW185" s="605">
        <v>4.2772727272727264</v>
      </c>
      <c r="BY185" s="585" t="s">
        <v>791</v>
      </c>
      <c r="BZ185" s="585" t="s">
        <v>792</v>
      </c>
      <c r="DD185" s="561"/>
      <c r="DE185" s="577"/>
      <c r="DF185" s="562">
        <v>0.25</v>
      </c>
      <c r="DG185" s="562"/>
      <c r="DH185" s="562"/>
      <c r="DI185" s="562"/>
      <c r="DJ185" s="562"/>
      <c r="DK185" s="562"/>
      <c r="DL185" s="562"/>
      <c r="DM185" s="562"/>
      <c r="DN185" s="562"/>
      <c r="DO185" s="649"/>
      <c r="DP185" s="649"/>
      <c r="DQ185" s="657"/>
      <c r="DR185" s="657"/>
    </row>
    <row r="186" spans="2:122" s="560" customFormat="1">
      <c r="B186" s="560">
        <v>16</v>
      </c>
      <c r="F186" s="560">
        <v>3.8</v>
      </c>
      <c r="P186" s="561"/>
      <c r="Q186" s="562"/>
      <c r="R186" s="562">
        <v>0.6</v>
      </c>
      <c r="S186" s="562"/>
      <c r="T186" s="562"/>
      <c r="U186" s="562"/>
      <c r="V186" s="562"/>
      <c r="W186" s="562"/>
      <c r="X186" s="562"/>
      <c r="Y186" s="562"/>
      <c r="Z186" s="562"/>
      <c r="AA186" s="562"/>
      <c r="AB186" s="562"/>
      <c r="AC186" s="562"/>
      <c r="AD186" s="563"/>
      <c r="AE186" s="561"/>
      <c r="AF186" s="568"/>
      <c r="AG186" s="568"/>
      <c r="AH186" s="568"/>
      <c r="AI186" s="577" t="s">
        <v>921</v>
      </c>
      <c r="AJ186" s="577"/>
      <c r="AK186" s="577"/>
      <c r="AL186" s="577"/>
      <c r="AM186" s="577"/>
      <c r="AN186" s="577" t="s">
        <v>949</v>
      </c>
      <c r="AO186" s="577"/>
      <c r="AP186" s="577">
        <v>55</v>
      </c>
      <c r="AQ186" s="599"/>
      <c r="AR186" s="599"/>
      <c r="AS186" s="600"/>
      <c r="AT186" s="600"/>
      <c r="AU186" s="577">
        <v>52</v>
      </c>
      <c r="AV186" s="577"/>
      <c r="AW186" s="568"/>
      <c r="AX186" s="562"/>
      <c r="AY186" s="562"/>
      <c r="AZ186" s="562"/>
      <c r="BA186" s="562"/>
      <c r="BB186" s="563"/>
      <c r="BD186" s="576">
        <v>6</v>
      </c>
      <c r="BE186" s="576"/>
      <c r="BF186" s="576">
        <v>1.7</v>
      </c>
      <c r="BG186" s="576" t="s">
        <v>802</v>
      </c>
      <c r="BH186" s="576"/>
      <c r="BI186" s="576">
        <v>1</v>
      </c>
      <c r="BJ186" s="576">
        <v>1</v>
      </c>
      <c r="BK186" s="576"/>
      <c r="BL186" s="576">
        <v>2.2999999999999998</v>
      </c>
      <c r="BM186" s="576">
        <f t="shared" si="38"/>
        <v>4.5999999999999996</v>
      </c>
      <c r="BN186" s="662" t="s">
        <v>796</v>
      </c>
      <c r="BO186" s="611">
        <v>4.2863636363636353</v>
      </c>
      <c r="BP186" s="611">
        <f t="shared" si="39"/>
        <v>0.31363636363636438</v>
      </c>
      <c r="BQ186" s="612"/>
      <c r="BR186" s="612">
        <v>1</v>
      </c>
      <c r="BS186" s="576" t="s">
        <v>127</v>
      </c>
      <c r="BT186" s="622" t="s">
        <v>950</v>
      </c>
      <c r="BW186" s="605">
        <v>4.2863636363636362</v>
      </c>
      <c r="BY186" s="585" t="s">
        <v>794</v>
      </c>
      <c r="BZ186" s="585" t="s">
        <v>795</v>
      </c>
      <c r="DD186" s="561"/>
      <c r="DE186" s="577"/>
      <c r="DF186" s="562">
        <v>0.2</v>
      </c>
      <c r="DG186" s="562"/>
      <c r="DH186" s="562"/>
      <c r="DI186" s="562"/>
      <c r="DJ186" s="562"/>
      <c r="DK186" s="562"/>
      <c r="DL186" s="562"/>
      <c r="DM186" s="562"/>
      <c r="DN186" s="562"/>
      <c r="DO186" s="649"/>
      <c r="DP186" s="649"/>
      <c r="DQ186" s="657"/>
      <c r="DR186" s="657"/>
    </row>
    <row r="187" spans="2:122" s="560" customFormat="1">
      <c r="B187" s="560">
        <v>17</v>
      </c>
      <c r="F187" s="560">
        <v>3.9</v>
      </c>
      <c r="P187" s="561"/>
      <c r="Q187" s="562"/>
      <c r="R187" s="562">
        <v>0.53</v>
      </c>
      <c r="S187" s="562"/>
      <c r="T187" s="562"/>
      <c r="U187" s="562"/>
      <c r="V187" s="562"/>
      <c r="W187" s="562"/>
      <c r="X187" s="562"/>
      <c r="Y187" s="562"/>
      <c r="Z187" s="562"/>
      <c r="AA187" s="562"/>
      <c r="AB187" s="562"/>
      <c r="AC187" s="562"/>
      <c r="AD187" s="563"/>
      <c r="AE187" s="561" t="s">
        <v>520</v>
      </c>
      <c r="AF187" s="583" t="s">
        <v>923</v>
      </c>
      <c r="AG187" s="578"/>
      <c r="AH187" s="569"/>
      <c r="AI187" s="568"/>
      <c r="AJ187" s="568"/>
      <c r="AK187" s="568"/>
      <c r="AL187" s="568"/>
      <c r="AM187" s="568"/>
      <c r="AN187" s="568"/>
      <c r="AO187" s="568"/>
      <c r="AP187" s="569"/>
      <c r="AQ187" s="583" t="s">
        <v>924</v>
      </c>
      <c r="AR187" s="651"/>
      <c r="AS187" s="639"/>
      <c r="AT187" s="639"/>
      <c r="AU187" s="569"/>
      <c r="AV187" s="577"/>
      <c r="AW187" s="569"/>
      <c r="AX187" s="562"/>
      <c r="AY187" s="562"/>
      <c r="AZ187" s="562"/>
      <c r="BA187" s="562"/>
      <c r="BB187" s="563"/>
      <c r="BD187" s="576">
        <v>7</v>
      </c>
      <c r="BE187" s="576"/>
      <c r="BF187" s="576"/>
      <c r="BG187" s="576"/>
      <c r="BH187" s="576"/>
      <c r="BI187" s="576">
        <v>1</v>
      </c>
      <c r="BJ187" s="576"/>
      <c r="BK187" s="576"/>
      <c r="BL187" s="576">
        <v>2.7</v>
      </c>
      <c r="BM187" s="576">
        <f t="shared" si="38"/>
        <v>5.4</v>
      </c>
      <c r="BN187" s="662" t="s">
        <v>779</v>
      </c>
      <c r="BO187" s="611">
        <v>4.295454545454545</v>
      </c>
      <c r="BP187" s="611">
        <f t="shared" si="39"/>
        <v>1.1045454545454554</v>
      </c>
      <c r="BQ187" s="612">
        <v>1</v>
      </c>
      <c r="BR187" s="612"/>
      <c r="BS187" s="673" t="s">
        <v>778</v>
      </c>
      <c r="BU187" s="627" t="s">
        <v>806</v>
      </c>
      <c r="BV187" s="627">
        <f>COUNT(BP181:BP205)</f>
        <v>25</v>
      </c>
      <c r="BY187" s="585" t="s">
        <v>798</v>
      </c>
      <c r="BZ187" s="585" t="s">
        <v>546</v>
      </c>
      <c r="DD187" s="561"/>
      <c r="DE187" s="577"/>
      <c r="DF187" s="562">
        <v>0.24</v>
      </c>
      <c r="DG187" s="562"/>
      <c r="DH187" s="562"/>
      <c r="DI187" s="562"/>
      <c r="DJ187" s="562"/>
      <c r="DK187" s="562"/>
      <c r="DL187" s="562"/>
      <c r="DM187" s="562"/>
      <c r="DN187" s="562"/>
      <c r="DO187" s="649"/>
      <c r="DP187" s="649"/>
      <c r="DQ187" s="657"/>
      <c r="DR187" s="657"/>
    </row>
    <row r="188" spans="2:122" s="560" customFormat="1">
      <c r="B188" s="560">
        <v>18</v>
      </c>
      <c r="F188" s="560">
        <v>4.5</v>
      </c>
      <c r="P188" s="561"/>
      <c r="Q188" s="562"/>
      <c r="R188" s="562">
        <v>0.5</v>
      </c>
      <c r="S188" s="562"/>
      <c r="T188" s="562"/>
      <c r="U188" s="562"/>
      <c r="V188" s="562"/>
      <c r="W188" s="562"/>
      <c r="X188" s="562"/>
      <c r="Y188" s="562"/>
      <c r="Z188" s="562"/>
      <c r="AA188" s="562"/>
      <c r="AB188" s="562"/>
      <c r="AC188" s="562"/>
      <c r="AD188" s="563"/>
      <c r="AE188" s="587"/>
      <c r="AF188" s="588" t="s">
        <v>755</v>
      </c>
      <c r="AG188" s="588" t="s">
        <v>756</v>
      </c>
      <c r="AH188" s="590" t="s">
        <v>757</v>
      </c>
      <c r="AI188" s="590" t="s">
        <v>758</v>
      </c>
      <c r="AJ188" s="590" t="s">
        <v>765</v>
      </c>
      <c r="AK188" s="590" t="s">
        <v>766</v>
      </c>
      <c r="AL188" s="591" t="s">
        <v>767</v>
      </c>
      <c r="AM188" s="592" t="s">
        <v>768</v>
      </c>
      <c r="AN188" s="588" t="s">
        <v>759</v>
      </c>
      <c r="AO188" s="593" t="s">
        <v>769</v>
      </c>
      <c r="AP188" s="588" t="s">
        <v>760</v>
      </c>
      <c r="AQ188" s="663" t="s">
        <v>770</v>
      </c>
      <c r="AR188" s="663" t="s">
        <v>771</v>
      </c>
      <c r="AS188" s="595" t="s">
        <v>772</v>
      </c>
      <c r="AT188" s="595" t="s">
        <v>773</v>
      </c>
      <c r="AU188" s="588" t="s">
        <v>761</v>
      </c>
      <c r="AV188" s="588" t="s">
        <v>762</v>
      </c>
      <c r="AW188" s="588" t="s">
        <v>763</v>
      </c>
      <c r="AX188" s="562"/>
      <c r="AY188" s="562"/>
      <c r="AZ188" s="562"/>
      <c r="BA188" s="588" t="s">
        <v>764</v>
      </c>
      <c r="BB188" s="589"/>
      <c r="BD188" s="576">
        <v>8</v>
      </c>
      <c r="BE188" s="576"/>
      <c r="BF188" s="576">
        <v>0.2</v>
      </c>
      <c r="BG188" s="576" t="s">
        <v>793</v>
      </c>
      <c r="BH188" s="576"/>
      <c r="BI188" s="576">
        <v>1</v>
      </c>
      <c r="BJ188" s="576"/>
      <c r="BK188" s="576">
        <v>1</v>
      </c>
      <c r="BL188" s="576">
        <v>2.5</v>
      </c>
      <c r="BM188" s="576">
        <f t="shared" si="38"/>
        <v>5</v>
      </c>
      <c r="BN188" s="662" t="s">
        <v>796</v>
      </c>
      <c r="BO188" s="611">
        <v>4.3045454545454538</v>
      </c>
      <c r="BP188" s="611">
        <f t="shared" si="39"/>
        <v>0.69545454545454621</v>
      </c>
      <c r="BQ188" s="612"/>
      <c r="BR188" s="612">
        <v>1</v>
      </c>
      <c r="BS188" s="576" t="s">
        <v>127</v>
      </c>
      <c r="BT188" s="622" t="s">
        <v>951</v>
      </c>
      <c r="BU188" s="627" t="s">
        <v>812</v>
      </c>
      <c r="BV188" s="628">
        <f>SUM(BP181:BP205)</f>
        <v>15.750000000000011</v>
      </c>
      <c r="BW188" s="605">
        <v>4.3045454545454538</v>
      </c>
      <c r="BY188" s="585" t="s">
        <v>800</v>
      </c>
      <c r="BZ188" s="585" t="s">
        <v>801</v>
      </c>
      <c r="DD188" s="561"/>
      <c r="DE188" s="577"/>
      <c r="DF188" s="562">
        <v>0.3</v>
      </c>
      <c r="DG188" s="562"/>
      <c r="DH188" s="562"/>
      <c r="DI188" s="562"/>
      <c r="DJ188" s="562"/>
      <c r="DK188" s="562"/>
      <c r="DL188" s="562"/>
      <c r="DM188" s="562"/>
      <c r="DN188" s="562"/>
      <c r="DO188" s="649"/>
      <c r="DP188" s="649"/>
      <c r="DQ188" s="657"/>
      <c r="DR188" s="657"/>
    </row>
    <row r="189" spans="2:122" s="560" customFormat="1">
      <c r="B189" s="560">
        <v>19</v>
      </c>
      <c r="F189" s="560">
        <v>4.5</v>
      </c>
      <c r="P189" s="561"/>
      <c r="Q189" s="562"/>
      <c r="R189" s="562">
        <v>0.5</v>
      </c>
      <c r="S189" s="562"/>
      <c r="T189" s="562"/>
      <c r="U189" s="562"/>
      <c r="V189" s="562"/>
      <c r="W189" s="562"/>
      <c r="X189" s="562"/>
      <c r="Y189" s="562"/>
      <c r="Z189" s="562"/>
      <c r="AA189" s="562"/>
      <c r="AB189" s="562"/>
      <c r="AC189" s="562"/>
      <c r="AD189" s="563"/>
      <c r="AE189" s="561"/>
      <c r="AF189" s="568">
        <v>1</v>
      </c>
      <c r="AG189" s="562"/>
      <c r="AH189" s="569">
        <v>0.3</v>
      </c>
      <c r="AI189" s="577" t="s">
        <v>793</v>
      </c>
      <c r="AJ189" s="577"/>
      <c r="AK189" s="577">
        <v>1</v>
      </c>
      <c r="AL189" s="577"/>
      <c r="AM189" s="577"/>
      <c r="AN189" s="562">
        <v>2.2000000000000002</v>
      </c>
      <c r="AO189" s="562">
        <f t="shared" ref="AO189:AO202" si="40">AN189+AN189</f>
        <v>4.4000000000000004</v>
      </c>
      <c r="AP189" s="598">
        <v>0.140625</v>
      </c>
      <c r="AQ189" s="599">
        <v>4.3</v>
      </c>
      <c r="AR189" s="599">
        <f t="shared" ref="AR189:AR202" si="41">AO189-AQ189</f>
        <v>0.10000000000000053</v>
      </c>
      <c r="AS189" s="600"/>
      <c r="AT189" s="600">
        <v>1</v>
      </c>
      <c r="AU189" s="577" t="s">
        <v>778</v>
      </c>
      <c r="AV189" s="584"/>
      <c r="AW189" s="562"/>
      <c r="AX189" s="562"/>
      <c r="AY189" s="562"/>
      <c r="AZ189" s="562"/>
      <c r="BA189" s="577"/>
      <c r="BB189" s="589"/>
      <c r="BD189" s="576">
        <v>9</v>
      </c>
      <c r="BE189" s="576"/>
      <c r="BF189" s="576">
        <v>0.9</v>
      </c>
      <c r="BG189" s="576" t="s">
        <v>802</v>
      </c>
      <c r="BH189" s="576"/>
      <c r="BI189" s="576">
        <v>1</v>
      </c>
      <c r="BJ189" s="576">
        <v>1</v>
      </c>
      <c r="BK189" s="576"/>
      <c r="BL189" s="576">
        <v>2.5</v>
      </c>
      <c r="BM189" s="576">
        <f t="shared" si="38"/>
        <v>5</v>
      </c>
      <c r="BN189" s="662">
        <v>0.125</v>
      </c>
      <c r="BO189" s="611">
        <v>4.3136363636363626</v>
      </c>
      <c r="BP189" s="611">
        <f t="shared" si="39"/>
        <v>0.6863636363636374</v>
      </c>
      <c r="BQ189" s="612">
        <v>1</v>
      </c>
      <c r="BR189" s="612"/>
      <c r="BS189" s="673" t="s">
        <v>778</v>
      </c>
      <c r="BT189" s="622" t="s">
        <v>952</v>
      </c>
      <c r="BU189" s="627" t="s">
        <v>811</v>
      </c>
      <c r="BV189" s="628">
        <f>MAX(BP181:BP205)</f>
        <v>1.7954545454545467</v>
      </c>
      <c r="BY189" s="585" t="s">
        <v>804</v>
      </c>
      <c r="BZ189" s="585" t="s">
        <v>805</v>
      </c>
      <c r="DD189" s="561"/>
      <c r="DE189" s="577" t="s">
        <v>953</v>
      </c>
      <c r="DF189" s="562">
        <v>0.7</v>
      </c>
      <c r="DG189" s="562"/>
      <c r="DH189" s="562"/>
      <c r="DI189" s="562"/>
      <c r="DJ189" s="562"/>
      <c r="DK189" s="562"/>
      <c r="DL189" s="562"/>
      <c r="DM189" s="562"/>
      <c r="DN189" s="562"/>
      <c r="DO189" s="649"/>
      <c r="DP189" s="649"/>
      <c r="DQ189" s="657"/>
      <c r="DR189" s="657"/>
    </row>
    <row r="190" spans="2:122" s="560" customFormat="1">
      <c r="B190" s="560">
        <v>20</v>
      </c>
      <c r="F190" s="560">
        <v>4.5</v>
      </c>
      <c r="P190" s="561"/>
      <c r="Q190" s="562"/>
      <c r="R190" s="562">
        <v>0.53</v>
      </c>
      <c r="S190" s="562"/>
      <c r="T190" s="562"/>
      <c r="U190" s="562"/>
      <c r="V190" s="562"/>
      <c r="W190" s="562"/>
      <c r="X190" s="562"/>
      <c r="Y190" s="562"/>
      <c r="Z190" s="562"/>
      <c r="AA190" s="562"/>
      <c r="AB190" s="562"/>
      <c r="AC190" s="562"/>
      <c r="AD190" s="563"/>
      <c r="AE190" s="561"/>
      <c r="AF190" s="568">
        <v>2</v>
      </c>
      <c r="AG190" s="562"/>
      <c r="AH190" s="577"/>
      <c r="AI190" s="577"/>
      <c r="AJ190" s="577"/>
      <c r="AK190" s="577">
        <v>1</v>
      </c>
      <c r="AL190" s="577"/>
      <c r="AM190" s="577"/>
      <c r="AN190" s="562">
        <v>2.2999999999999998</v>
      </c>
      <c r="AO190" s="562">
        <f t="shared" si="40"/>
        <v>4.5999999999999996</v>
      </c>
      <c r="AP190" s="598">
        <v>0.140625</v>
      </c>
      <c r="AQ190" s="599">
        <v>4.2949999999999999</v>
      </c>
      <c r="AR190" s="599">
        <f t="shared" si="41"/>
        <v>0.30499999999999972</v>
      </c>
      <c r="AS190" s="600"/>
      <c r="AT190" s="600">
        <v>1</v>
      </c>
      <c r="AU190" s="577" t="s">
        <v>778</v>
      </c>
      <c r="AV190" s="609"/>
      <c r="AW190" s="562"/>
      <c r="AX190" s="562"/>
      <c r="AY190" s="562"/>
      <c r="AZ190" s="562"/>
      <c r="BA190" s="607" t="s">
        <v>780</v>
      </c>
      <c r="BB190" s="608" t="s">
        <v>616</v>
      </c>
      <c r="BD190" s="576">
        <v>10</v>
      </c>
      <c r="BE190" s="576"/>
      <c r="BF190" s="576"/>
      <c r="BG190" s="576"/>
      <c r="BH190" s="576"/>
      <c r="BI190" s="576">
        <v>1</v>
      </c>
      <c r="BJ190" s="576"/>
      <c r="BK190" s="576"/>
      <c r="BL190" s="576">
        <v>2.5</v>
      </c>
      <c r="BM190" s="576">
        <f t="shared" si="38"/>
        <v>5</v>
      </c>
      <c r="BN190" s="662" t="s">
        <v>779</v>
      </c>
      <c r="BO190" s="611">
        <v>4.3227272727272723</v>
      </c>
      <c r="BP190" s="611">
        <f t="shared" si="39"/>
        <v>0.67727272727272769</v>
      </c>
      <c r="BQ190" s="612">
        <v>1</v>
      </c>
      <c r="BR190" s="612"/>
      <c r="BS190" s="673" t="s">
        <v>778</v>
      </c>
      <c r="BT190" s="576"/>
      <c r="BU190" s="627" t="s">
        <v>814</v>
      </c>
      <c r="BV190" s="628">
        <f>MIN(BP181:BP205)</f>
        <v>-0.35909090909090846</v>
      </c>
      <c r="BY190" s="585" t="s">
        <v>807</v>
      </c>
      <c r="BZ190" s="585" t="s">
        <v>808</v>
      </c>
      <c r="DD190" s="561"/>
      <c r="DE190" s="577"/>
      <c r="DF190" s="562">
        <v>0.55000000000000004</v>
      </c>
      <c r="DG190" s="562"/>
      <c r="DH190" s="562"/>
      <c r="DI190" s="562"/>
      <c r="DJ190" s="562"/>
      <c r="DK190" s="562"/>
      <c r="DL190" s="562"/>
      <c r="DM190" s="562"/>
      <c r="DN190" s="562"/>
      <c r="DO190" s="649"/>
      <c r="DP190" s="649"/>
      <c r="DQ190" s="657"/>
      <c r="DR190" s="657"/>
    </row>
    <row r="191" spans="2:122" s="560" customFormat="1">
      <c r="B191" s="560">
        <v>21</v>
      </c>
      <c r="D191" s="560">
        <v>0.7</v>
      </c>
      <c r="E191" s="560" t="s">
        <v>778</v>
      </c>
      <c r="F191" s="560">
        <v>5</v>
      </c>
      <c r="I191" s="560">
        <v>2324</v>
      </c>
      <c r="P191" s="561"/>
      <c r="Q191" s="562"/>
      <c r="R191" s="562">
        <v>0.53</v>
      </c>
      <c r="S191" s="562"/>
      <c r="T191" s="562"/>
      <c r="U191" s="562"/>
      <c r="V191" s="562"/>
      <c r="W191" s="562"/>
      <c r="X191" s="562"/>
      <c r="Y191" s="562"/>
      <c r="Z191" s="562"/>
      <c r="AA191" s="562"/>
      <c r="AB191" s="562"/>
      <c r="AC191" s="562"/>
      <c r="AD191" s="563"/>
      <c r="AE191" s="561"/>
      <c r="AF191" s="568">
        <v>3</v>
      </c>
      <c r="AG191" s="562"/>
      <c r="AH191" s="577"/>
      <c r="AI191" s="577"/>
      <c r="AJ191" s="577"/>
      <c r="AK191" s="577">
        <v>1</v>
      </c>
      <c r="AL191" s="577"/>
      <c r="AM191" s="577"/>
      <c r="AN191" s="562">
        <v>2.1</v>
      </c>
      <c r="AO191" s="562">
        <f t="shared" si="40"/>
        <v>4.2</v>
      </c>
      <c r="AP191" s="598">
        <v>0.140625</v>
      </c>
      <c r="AQ191" s="599">
        <v>4.29</v>
      </c>
      <c r="AR191" s="599">
        <f t="shared" si="41"/>
        <v>-8.9999999999999858E-2</v>
      </c>
      <c r="AS191" s="600"/>
      <c r="AT191" s="600">
        <v>1</v>
      </c>
      <c r="AU191" s="577" t="s">
        <v>778</v>
      </c>
      <c r="AV191" s="584"/>
      <c r="AW191" s="562"/>
      <c r="AX191" s="562"/>
      <c r="AY191" s="562"/>
      <c r="AZ191" s="562"/>
      <c r="BA191" s="607" t="s">
        <v>785</v>
      </c>
      <c r="BB191" s="608" t="s">
        <v>542</v>
      </c>
      <c r="BD191" s="576">
        <v>11</v>
      </c>
      <c r="BE191" s="576"/>
      <c r="BF191" s="576">
        <v>0.7</v>
      </c>
      <c r="BG191" s="576" t="s">
        <v>859</v>
      </c>
      <c r="BH191" s="576">
        <v>1</v>
      </c>
      <c r="BI191" s="576"/>
      <c r="BJ191" s="576"/>
      <c r="BK191" s="576"/>
      <c r="BL191" s="576">
        <v>2.6</v>
      </c>
      <c r="BM191" s="576">
        <f t="shared" si="38"/>
        <v>5.2</v>
      </c>
      <c r="BN191" s="662" t="s">
        <v>796</v>
      </c>
      <c r="BO191" s="611">
        <v>4.3318181818181811</v>
      </c>
      <c r="BP191" s="611">
        <f t="shared" si="39"/>
        <v>0.86818181818181905</v>
      </c>
      <c r="BQ191" s="612"/>
      <c r="BR191" s="612">
        <v>1</v>
      </c>
      <c r="BS191" s="576" t="s">
        <v>127</v>
      </c>
      <c r="BT191" s="622" t="s">
        <v>954</v>
      </c>
      <c r="BU191" s="627" t="s">
        <v>817</v>
      </c>
      <c r="BV191" s="628">
        <f>AVERAGE(BP181:BP205)</f>
        <v>0.63000000000000045</v>
      </c>
      <c r="BW191" s="605">
        <v>4.3318181818181811</v>
      </c>
      <c r="BY191" s="585" t="s">
        <v>810</v>
      </c>
      <c r="BZ191" s="585" t="s">
        <v>550</v>
      </c>
      <c r="DD191" s="561"/>
      <c r="DE191" s="577"/>
      <c r="DF191" s="562">
        <v>0.44</v>
      </c>
      <c r="DG191" s="562"/>
      <c r="DH191" s="562"/>
      <c r="DI191" s="562"/>
      <c r="DJ191" s="562"/>
      <c r="DK191" s="562"/>
      <c r="DL191" s="562"/>
      <c r="DM191" s="562"/>
      <c r="DN191" s="562"/>
      <c r="DO191" s="649"/>
      <c r="DP191" s="649"/>
      <c r="DQ191" s="657"/>
      <c r="DR191" s="657"/>
    </row>
    <row r="192" spans="2:122" s="560" customFormat="1">
      <c r="B192" s="560">
        <v>22</v>
      </c>
      <c r="F192" s="560">
        <v>5</v>
      </c>
      <c r="P192" s="561"/>
      <c r="Q192" s="562"/>
      <c r="R192" s="562">
        <v>0.5</v>
      </c>
      <c r="S192" s="562"/>
      <c r="T192" s="562"/>
      <c r="U192" s="562"/>
      <c r="V192" s="562"/>
      <c r="W192" s="562"/>
      <c r="X192" s="562"/>
      <c r="Y192" s="562"/>
      <c r="Z192" s="562"/>
      <c r="AA192" s="562"/>
      <c r="AB192" s="562"/>
      <c r="AC192" s="562"/>
      <c r="AD192" s="563"/>
      <c r="AE192" s="561"/>
      <c r="AF192" s="568">
        <v>4</v>
      </c>
      <c r="AG192" s="562"/>
      <c r="AH192" s="577"/>
      <c r="AI192" s="577"/>
      <c r="AJ192" s="577"/>
      <c r="AK192" s="577">
        <v>1</v>
      </c>
      <c r="AL192" s="577"/>
      <c r="AM192" s="577"/>
      <c r="AN192" s="562">
        <v>0.3</v>
      </c>
      <c r="AO192" s="562">
        <f t="shared" si="40"/>
        <v>0.6</v>
      </c>
      <c r="AP192" s="598">
        <v>0.140625</v>
      </c>
      <c r="AQ192" s="599">
        <v>4.2850000000000001</v>
      </c>
      <c r="AR192" s="599">
        <f t="shared" si="41"/>
        <v>-3.6850000000000001</v>
      </c>
      <c r="AS192" s="600"/>
      <c r="AT192" s="600">
        <v>1</v>
      </c>
      <c r="AU192" s="577" t="s">
        <v>778</v>
      </c>
      <c r="AV192" s="584"/>
      <c r="AW192" s="562" t="s">
        <v>955</v>
      </c>
      <c r="AX192" s="562"/>
      <c r="AY192" s="562"/>
      <c r="AZ192" s="562"/>
      <c r="BA192" s="607" t="s">
        <v>789</v>
      </c>
      <c r="BB192" s="608" t="s">
        <v>790</v>
      </c>
      <c r="BD192" s="576">
        <v>12</v>
      </c>
      <c r="BE192" s="576"/>
      <c r="BF192" s="576">
        <v>4</v>
      </c>
      <c r="BG192" s="576" t="s">
        <v>802</v>
      </c>
      <c r="BH192" s="576"/>
      <c r="BI192" s="576">
        <v>1</v>
      </c>
      <c r="BJ192" s="576">
        <v>1</v>
      </c>
      <c r="BK192" s="576"/>
      <c r="BL192" s="576">
        <v>2.5</v>
      </c>
      <c r="BM192" s="576">
        <f t="shared" si="38"/>
        <v>5</v>
      </c>
      <c r="BN192" s="662" t="s">
        <v>779</v>
      </c>
      <c r="BO192" s="611">
        <v>4.3409090909090899</v>
      </c>
      <c r="BP192" s="611">
        <f t="shared" si="39"/>
        <v>0.65909090909091006</v>
      </c>
      <c r="BQ192" s="612">
        <v>1</v>
      </c>
      <c r="BR192" s="612"/>
      <c r="BS192" s="673" t="s">
        <v>778</v>
      </c>
      <c r="BT192" s="622" t="s">
        <v>956</v>
      </c>
      <c r="BU192" s="627" t="s">
        <v>818</v>
      </c>
      <c r="BV192" s="628" t="e">
        <f ca="1">_xlfn.STDEV.S(BP181:BP205)</f>
        <v>#NAME?</v>
      </c>
      <c r="BY192" s="585" t="s">
        <v>813</v>
      </c>
      <c r="BZ192" s="585" t="s">
        <v>552</v>
      </c>
      <c r="DD192" s="561"/>
      <c r="DE192" s="577"/>
      <c r="DF192" s="562">
        <v>0.3</v>
      </c>
      <c r="DG192" s="562"/>
      <c r="DH192" s="562"/>
      <c r="DI192" s="562"/>
      <c r="DJ192" s="562"/>
      <c r="DK192" s="562"/>
      <c r="DL192" s="562"/>
      <c r="DM192" s="562"/>
      <c r="DN192" s="562"/>
      <c r="DO192" s="649"/>
      <c r="DP192" s="649"/>
      <c r="DQ192" s="657"/>
      <c r="DR192" s="657"/>
    </row>
    <row r="193" spans="1:122" s="560" customFormat="1">
      <c r="B193" s="560">
        <v>23</v>
      </c>
      <c r="D193" s="560">
        <v>1.3</v>
      </c>
      <c r="E193" s="560" t="s">
        <v>778</v>
      </c>
      <c r="F193" s="674" t="s">
        <v>957</v>
      </c>
      <c r="I193" s="560">
        <v>2325</v>
      </c>
      <c r="P193" s="561"/>
      <c r="Q193" s="562"/>
      <c r="R193" s="562">
        <v>0.45</v>
      </c>
      <c r="S193" s="562"/>
      <c r="T193" s="562"/>
      <c r="U193" s="562"/>
      <c r="V193" s="562"/>
      <c r="W193" s="562"/>
      <c r="X193" s="562"/>
      <c r="Y193" s="562"/>
      <c r="Z193" s="562"/>
      <c r="AA193" s="562"/>
      <c r="AB193" s="562"/>
      <c r="AC193" s="562"/>
      <c r="AD193" s="563"/>
      <c r="AE193" s="561"/>
      <c r="AF193" s="568">
        <v>5</v>
      </c>
      <c r="AG193" s="562"/>
      <c r="AH193" s="577"/>
      <c r="AI193" s="577"/>
      <c r="AJ193" s="577"/>
      <c r="AK193" s="577">
        <v>1</v>
      </c>
      <c r="AL193" s="577"/>
      <c r="AM193" s="577"/>
      <c r="AN193" s="562">
        <v>2.25</v>
      </c>
      <c r="AO193" s="562">
        <f t="shared" si="40"/>
        <v>4.5</v>
      </c>
      <c r="AP193" s="598">
        <v>0.140625</v>
      </c>
      <c r="AQ193" s="599">
        <v>4.28</v>
      </c>
      <c r="AR193" s="599">
        <f t="shared" si="41"/>
        <v>0.21999999999999975</v>
      </c>
      <c r="AS193" s="600"/>
      <c r="AT193" s="600">
        <v>1</v>
      </c>
      <c r="AU193" s="577" t="s">
        <v>778</v>
      </c>
      <c r="AV193" s="584"/>
      <c r="AW193" s="562"/>
      <c r="AX193" s="562"/>
      <c r="AY193" s="562"/>
      <c r="AZ193" s="562"/>
      <c r="BA193" s="607" t="s">
        <v>791</v>
      </c>
      <c r="BB193" s="608" t="s">
        <v>792</v>
      </c>
      <c r="BD193" s="576">
        <v>13</v>
      </c>
      <c r="BE193" s="576"/>
      <c r="BF193" s="576"/>
      <c r="BG193" s="576"/>
      <c r="BH193" s="576"/>
      <c r="BI193" s="576">
        <v>1</v>
      </c>
      <c r="BJ193" s="576"/>
      <c r="BK193" s="576"/>
      <c r="BL193" s="576">
        <v>2.6</v>
      </c>
      <c r="BM193" s="576">
        <f t="shared" si="38"/>
        <v>5.2</v>
      </c>
      <c r="BN193" s="662" t="s">
        <v>779</v>
      </c>
      <c r="BO193" s="611">
        <v>4.3499999999999996</v>
      </c>
      <c r="BP193" s="611">
        <f t="shared" si="39"/>
        <v>0.85000000000000053</v>
      </c>
      <c r="BQ193" s="612">
        <v>1</v>
      </c>
      <c r="BR193" s="612"/>
      <c r="BS193" s="673" t="s">
        <v>778</v>
      </c>
      <c r="BT193" s="576"/>
      <c r="BW193" s="605">
        <v>4.3499999999999996</v>
      </c>
      <c r="BY193" s="585" t="s">
        <v>815</v>
      </c>
      <c r="BZ193" s="585" t="s">
        <v>816</v>
      </c>
      <c r="DD193" s="561"/>
      <c r="DE193" s="577"/>
      <c r="DF193" s="562">
        <v>0.25</v>
      </c>
      <c r="DG193" s="562"/>
      <c r="DH193" s="562"/>
      <c r="DI193" s="562"/>
      <c r="DJ193" s="562"/>
      <c r="DK193" s="562"/>
      <c r="DL193" s="562"/>
      <c r="DM193" s="562"/>
      <c r="DN193" s="562"/>
      <c r="DO193" s="649"/>
      <c r="DP193" s="649"/>
      <c r="DQ193" s="657"/>
      <c r="DR193" s="657"/>
    </row>
    <row r="194" spans="1:122" s="560" customFormat="1">
      <c r="B194" s="560">
        <v>24</v>
      </c>
      <c r="D194" s="560">
        <v>0.1</v>
      </c>
      <c r="E194" s="560" t="s">
        <v>778</v>
      </c>
      <c r="F194" s="674" t="s">
        <v>958</v>
      </c>
      <c r="P194" s="561"/>
      <c r="Q194" s="562"/>
      <c r="R194" s="562">
        <v>0.3</v>
      </c>
      <c r="S194" s="562"/>
      <c r="T194" s="562"/>
      <c r="U194" s="562"/>
      <c r="V194" s="562"/>
      <c r="W194" s="562"/>
      <c r="X194" s="562"/>
      <c r="Y194" s="562"/>
      <c r="Z194" s="562"/>
      <c r="AA194" s="562"/>
      <c r="AB194" s="562"/>
      <c r="AC194" s="562"/>
      <c r="AD194" s="563"/>
      <c r="AE194" s="561"/>
      <c r="AF194" s="568">
        <v>6</v>
      </c>
      <c r="AG194" s="562"/>
      <c r="AH194" s="577"/>
      <c r="AI194" s="577"/>
      <c r="AJ194" s="577"/>
      <c r="AK194" s="577">
        <v>1</v>
      </c>
      <c r="AL194" s="577"/>
      <c r="AM194" s="577"/>
      <c r="AN194" s="562">
        <v>2.25</v>
      </c>
      <c r="AO194" s="562">
        <f t="shared" si="40"/>
        <v>4.5</v>
      </c>
      <c r="AP194" s="598">
        <v>0.140625</v>
      </c>
      <c r="AQ194" s="599">
        <v>4.2749999999999995</v>
      </c>
      <c r="AR194" s="599">
        <f t="shared" si="41"/>
        <v>0.22500000000000053</v>
      </c>
      <c r="AS194" s="600"/>
      <c r="AT194" s="600">
        <v>1</v>
      </c>
      <c r="AU194" s="577" t="s">
        <v>778</v>
      </c>
      <c r="AV194" s="577"/>
      <c r="AW194" s="562"/>
      <c r="AX194" s="562"/>
      <c r="AY194" s="562"/>
      <c r="AZ194" s="562"/>
      <c r="BA194" s="607" t="s">
        <v>794</v>
      </c>
      <c r="BB194" s="608" t="s">
        <v>795</v>
      </c>
      <c r="BD194" s="576">
        <v>14</v>
      </c>
      <c r="BF194" s="576"/>
      <c r="BG194" s="576"/>
      <c r="BH194" s="576"/>
      <c r="BI194" s="576">
        <v>1</v>
      </c>
      <c r="BJ194" s="576"/>
      <c r="BK194" s="576"/>
      <c r="BL194" s="576">
        <v>2</v>
      </c>
      <c r="BM194" s="576">
        <f t="shared" si="38"/>
        <v>4</v>
      </c>
      <c r="BN194" s="662" t="s">
        <v>797</v>
      </c>
      <c r="BO194" s="611">
        <v>4.3590909090909085</v>
      </c>
      <c r="BP194" s="611">
        <f t="shared" si="39"/>
        <v>-0.35909090909090846</v>
      </c>
      <c r="BQ194" s="612">
        <v>1</v>
      </c>
      <c r="BR194" s="612"/>
      <c r="BS194" s="673" t="s">
        <v>778</v>
      </c>
      <c r="BT194" s="576"/>
      <c r="BW194" s="605">
        <v>4.3590909090909085</v>
      </c>
      <c r="DD194" s="561"/>
      <c r="DE194" s="577"/>
      <c r="DF194" s="562">
        <v>0.2</v>
      </c>
      <c r="DG194" s="562"/>
      <c r="DH194" s="562"/>
      <c r="DI194" s="562"/>
      <c r="DJ194" s="562"/>
      <c r="DK194" s="562"/>
      <c r="DL194" s="562"/>
      <c r="DM194" s="562"/>
      <c r="DN194" s="562"/>
      <c r="DO194" s="649"/>
      <c r="DP194" s="649"/>
      <c r="DQ194" s="657"/>
      <c r="DR194" s="657"/>
    </row>
    <row r="195" spans="1:122" s="560" customFormat="1">
      <c r="B195" s="560">
        <v>25</v>
      </c>
      <c r="F195" s="674" t="s">
        <v>959</v>
      </c>
      <c r="P195" s="561"/>
      <c r="Q195" s="562"/>
      <c r="R195" s="562">
        <f>COUNT(R81:R194)</f>
        <v>114</v>
      </c>
      <c r="S195" s="562"/>
      <c r="T195" s="562"/>
      <c r="U195" s="562"/>
      <c r="V195" s="562"/>
      <c r="W195" s="562"/>
      <c r="X195" s="562"/>
      <c r="Y195" s="562"/>
      <c r="Z195" s="562"/>
      <c r="AA195" s="562"/>
      <c r="AB195" s="562"/>
      <c r="AC195" s="562"/>
      <c r="AD195" s="563"/>
      <c r="AE195" s="561"/>
      <c r="AF195" s="568">
        <v>7</v>
      </c>
      <c r="AG195" s="562"/>
      <c r="AH195" s="577"/>
      <c r="AI195" s="577"/>
      <c r="AJ195" s="577"/>
      <c r="AK195" s="577">
        <v>1</v>
      </c>
      <c r="AL195" s="577"/>
      <c r="AM195" s="577"/>
      <c r="AN195" s="562">
        <v>2.25</v>
      </c>
      <c r="AO195" s="562">
        <f t="shared" si="40"/>
        <v>4.5</v>
      </c>
      <c r="AP195" s="598">
        <v>0.140625</v>
      </c>
      <c r="AQ195" s="599">
        <v>4.2699999999999996</v>
      </c>
      <c r="AR195" s="599">
        <f t="shared" si="41"/>
        <v>0.23000000000000043</v>
      </c>
      <c r="AS195" s="600"/>
      <c r="AT195" s="600">
        <v>1</v>
      </c>
      <c r="AU195" s="577" t="s">
        <v>778</v>
      </c>
      <c r="AV195" s="577"/>
      <c r="AW195" s="562"/>
      <c r="AX195" s="562"/>
      <c r="AY195" s="562"/>
      <c r="AZ195" s="562"/>
      <c r="BA195" s="607" t="s">
        <v>798</v>
      </c>
      <c r="BB195" s="608" t="s">
        <v>546</v>
      </c>
      <c r="BD195" s="576">
        <v>15</v>
      </c>
      <c r="BF195" s="576"/>
      <c r="BG195" s="576"/>
      <c r="BH195" s="576"/>
      <c r="BI195" s="576">
        <v>1</v>
      </c>
      <c r="BJ195" s="576"/>
      <c r="BK195" s="576"/>
      <c r="BL195" s="576">
        <v>2.5</v>
      </c>
      <c r="BM195" s="576">
        <f t="shared" si="38"/>
        <v>5</v>
      </c>
      <c r="BN195" s="662" t="s">
        <v>796</v>
      </c>
      <c r="BO195" s="611">
        <v>4.3681818181818173</v>
      </c>
      <c r="BP195" s="611">
        <f t="shared" si="39"/>
        <v>0.63181818181818272</v>
      </c>
      <c r="BQ195" s="612"/>
      <c r="BR195" s="612">
        <v>1</v>
      </c>
      <c r="BS195" s="576" t="s">
        <v>127</v>
      </c>
      <c r="BT195" s="576"/>
      <c r="BW195" s="605">
        <v>4.3681818181818173</v>
      </c>
      <c r="DD195" s="561"/>
      <c r="DE195" s="577"/>
      <c r="DF195" s="562">
        <v>0.13</v>
      </c>
      <c r="DG195" s="562"/>
      <c r="DH195" s="562"/>
      <c r="DI195" s="562"/>
      <c r="DJ195" s="562"/>
      <c r="DK195" s="562"/>
      <c r="DL195" s="562"/>
      <c r="DM195" s="562"/>
      <c r="DN195" s="562"/>
      <c r="DO195" s="649"/>
      <c r="DP195" s="649"/>
      <c r="DQ195" s="657"/>
      <c r="DR195" s="657"/>
    </row>
    <row r="196" spans="1:122" s="560" customFormat="1">
      <c r="B196" s="560">
        <v>26</v>
      </c>
      <c r="D196" s="560">
        <v>0.1</v>
      </c>
      <c r="E196" s="560" t="s">
        <v>778</v>
      </c>
      <c r="F196" s="675" t="s">
        <v>960</v>
      </c>
      <c r="I196" s="560">
        <v>2326</v>
      </c>
      <c r="P196" s="567">
        <v>41101</v>
      </c>
      <c r="Q196" s="568" t="s">
        <v>725</v>
      </c>
      <c r="R196" s="568"/>
      <c r="S196" s="568" t="s">
        <v>832</v>
      </c>
      <c r="T196" s="569" t="s">
        <v>727</v>
      </c>
      <c r="U196" s="569" t="s">
        <v>728</v>
      </c>
      <c r="V196" s="569" t="s">
        <v>729</v>
      </c>
      <c r="W196" s="569" t="s">
        <v>730</v>
      </c>
      <c r="X196" s="569" t="s">
        <v>731</v>
      </c>
      <c r="Y196" s="568"/>
      <c r="Z196" s="562"/>
      <c r="AA196" s="562"/>
      <c r="AB196" s="562"/>
      <c r="AC196" s="562"/>
      <c r="AD196" s="563"/>
      <c r="AE196" s="561"/>
      <c r="AF196" s="568">
        <v>8</v>
      </c>
      <c r="AG196" s="562"/>
      <c r="AH196" s="577"/>
      <c r="AI196" s="577"/>
      <c r="AJ196" s="577"/>
      <c r="AK196" s="577">
        <v>1</v>
      </c>
      <c r="AL196" s="577"/>
      <c r="AM196" s="577"/>
      <c r="AN196" s="562">
        <v>2.25</v>
      </c>
      <c r="AO196" s="562">
        <f t="shared" si="40"/>
        <v>4.5</v>
      </c>
      <c r="AP196" s="598">
        <v>0.140625</v>
      </c>
      <c r="AQ196" s="599">
        <v>4.2649999999999997</v>
      </c>
      <c r="AR196" s="599">
        <f t="shared" si="41"/>
        <v>0.23500000000000032</v>
      </c>
      <c r="AS196" s="600"/>
      <c r="AT196" s="600">
        <v>1</v>
      </c>
      <c r="AU196" s="577" t="s">
        <v>778</v>
      </c>
      <c r="AV196" s="577"/>
      <c r="AW196" s="562"/>
      <c r="AX196" s="562"/>
      <c r="AY196" s="562"/>
      <c r="AZ196" s="562"/>
      <c r="BA196" s="607" t="s">
        <v>800</v>
      </c>
      <c r="BB196" s="608" t="s">
        <v>801</v>
      </c>
      <c r="BD196" s="576">
        <v>16</v>
      </c>
      <c r="BF196" s="576"/>
      <c r="BG196" s="576"/>
      <c r="BH196" s="576"/>
      <c r="BI196" s="576">
        <v>1</v>
      </c>
      <c r="BJ196" s="576"/>
      <c r="BK196" s="576"/>
      <c r="BL196" s="576">
        <v>2.2999999999999998</v>
      </c>
      <c r="BM196" s="576">
        <f t="shared" si="38"/>
        <v>4.5999999999999996</v>
      </c>
      <c r="BN196" s="662" t="s">
        <v>796</v>
      </c>
      <c r="BO196" s="611">
        <v>4.3772727272727261</v>
      </c>
      <c r="BP196" s="611">
        <f t="shared" si="39"/>
        <v>0.22272727272727355</v>
      </c>
      <c r="BQ196" s="612"/>
      <c r="BR196" s="612">
        <v>1</v>
      </c>
      <c r="BS196" s="576" t="s">
        <v>127</v>
      </c>
      <c r="BT196" s="576"/>
      <c r="BW196" s="605">
        <v>4.377272727272727</v>
      </c>
      <c r="DD196" s="561"/>
      <c r="DE196" s="562"/>
      <c r="DF196" s="562" t="s">
        <v>115</v>
      </c>
      <c r="DG196" s="562"/>
      <c r="DH196" s="562"/>
      <c r="DI196" s="562"/>
      <c r="DJ196" s="562"/>
      <c r="DK196" s="562"/>
      <c r="DL196" s="562"/>
      <c r="DM196" s="562"/>
      <c r="DN196" s="562"/>
      <c r="DO196" s="649"/>
      <c r="DP196" s="649"/>
      <c r="DQ196" s="657"/>
      <c r="DR196" s="657"/>
    </row>
    <row r="197" spans="1:122" s="560" customFormat="1">
      <c r="B197" s="560">
        <v>27</v>
      </c>
      <c r="F197" s="674" t="s">
        <v>961</v>
      </c>
      <c r="P197" s="561"/>
      <c r="Q197" s="568"/>
      <c r="R197" s="568"/>
      <c r="S197" s="568"/>
      <c r="T197" s="569" t="s">
        <v>962</v>
      </c>
      <c r="U197" s="569" t="s">
        <v>963</v>
      </c>
      <c r="V197" s="577"/>
      <c r="W197" s="577"/>
      <c r="X197" s="569" t="s">
        <v>964</v>
      </c>
      <c r="Y197" s="568"/>
      <c r="Z197" s="562"/>
      <c r="AA197" s="562"/>
      <c r="AB197" s="562"/>
      <c r="AC197" s="562"/>
      <c r="AD197" s="563"/>
      <c r="AE197" s="561"/>
      <c r="AF197" s="568">
        <v>9</v>
      </c>
      <c r="AG197" s="562"/>
      <c r="AH197" s="577"/>
      <c r="AI197" s="577"/>
      <c r="AJ197" s="577"/>
      <c r="AK197" s="577">
        <v>1</v>
      </c>
      <c r="AL197" s="577"/>
      <c r="AM197" s="577"/>
      <c r="AN197" s="562">
        <v>2.2999999999999998</v>
      </c>
      <c r="AO197" s="562">
        <f t="shared" si="40"/>
        <v>4.5999999999999996</v>
      </c>
      <c r="AP197" s="598">
        <v>0.140625</v>
      </c>
      <c r="AQ197" s="599">
        <v>4.26</v>
      </c>
      <c r="AR197" s="599">
        <f t="shared" si="41"/>
        <v>0.33999999999999986</v>
      </c>
      <c r="AS197" s="600"/>
      <c r="AT197" s="600">
        <v>1</v>
      </c>
      <c r="AU197" s="577" t="s">
        <v>778</v>
      </c>
      <c r="AV197" s="577"/>
      <c r="AW197" s="562"/>
      <c r="AX197" s="562"/>
      <c r="AY197" s="562"/>
      <c r="AZ197" s="562"/>
      <c r="BA197" s="607" t="s">
        <v>804</v>
      </c>
      <c r="BB197" s="608" t="s">
        <v>805</v>
      </c>
      <c r="BD197" s="576">
        <v>17</v>
      </c>
      <c r="BF197" s="576"/>
      <c r="BG197" s="576"/>
      <c r="BH197" s="576"/>
      <c r="BI197" s="576">
        <v>1</v>
      </c>
      <c r="BJ197" s="576"/>
      <c r="BK197" s="576"/>
      <c r="BL197" s="576">
        <v>2.2999999999999998</v>
      </c>
      <c r="BM197" s="576">
        <f t="shared" si="38"/>
        <v>4.5999999999999996</v>
      </c>
      <c r="BN197" s="662" t="s">
        <v>796</v>
      </c>
      <c r="BO197" s="611">
        <v>4.3863636363636358</v>
      </c>
      <c r="BP197" s="611">
        <f t="shared" si="39"/>
        <v>0.21363636363636385</v>
      </c>
      <c r="BQ197" s="612"/>
      <c r="BR197" s="612">
        <v>1</v>
      </c>
      <c r="BS197" s="576" t="s">
        <v>127</v>
      </c>
      <c r="BT197" s="576"/>
      <c r="BW197" s="605">
        <v>4.3863636363636358</v>
      </c>
      <c r="DD197" s="561"/>
      <c r="DE197" s="577" t="s">
        <v>965</v>
      </c>
      <c r="DF197" s="562">
        <v>0.6</v>
      </c>
      <c r="DG197" s="562"/>
      <c r="DH197" s="562"/>
      <c r="DI197" s="562"/>
      <c r="DJ197" s="562"/>
      <c r="DK197" s="562"/>
      <c r="DL197" s="562"/>
      <c r="DM197" s="562"/>
      <c r="DN197" s="562"/>
      <c r="DO197" s="649"/>
      <c r="DP197" s="649"/>
      <c r="DQ197" s="657"/>
      <c r="DR197" s="657"/>
    </row>
    <row r="198" spans="1:122" s="560" customFormat="1">
      <c r="B198" s="560">
        <v>28</v>
      </c>
      <c r="F198" s="674">
        <v>3</v>
      </c>
      <c r="P198" s="561" t="s">
        <v>577</v>
      </c>
      <c r="Q198" s="583" t="s">
        <v>966</v>
      </c>
      <c r="R198" s="578"/>
      <c r="S198" s="569"/>
      <c r="T198" s="568"/>
      <c r="U198" s="568"/>
      <c r="V198" s="569"/>
      <c r="W198" s="569"/>
      <c r="X198" s="569"/>
      <c r="Y198" s="569"/>
      <c r="Z198" s="562"/>
      <c r="AA198" s="562"/>
      <c r="AB198" s="562"/>
      <c r="AC198" s="562"/>
      <c r="AD198" s="563"/>
      <c r="AE198" s="561"/>
      <c r="AF198" s="568">
        <v>10</v>
      </c>
      <c r="AG198" s="562"/>
      <c r="AH198" s="577"/>
      <c r="AI198" s="577"/>
      <c r="AJ198" s="577"/>
      <c r="AK198" s="577">
        <v>1</v>
      </c>
      <c r="AL198" s="577"/>
      <c r="AM198" s="577"/>
      <c r="AN198" s="562">
        <v>2.25</v>
      </c>
      <c r="AO198" s="562">
        <f t="shared" si="40"/>
        <v>4.5</v>
      </c>
      <c r="AP198" s="598">
        <v>0.140625</v>
      </c>
      <c r="AQ198" s="599">
        <v>4.2549999999999999</v>
      </c>
      <c r="AR198" s="599">
        <f t="shared" si="41"/>
        <v>0.24500000000000011</v>
      </c>
      <c r="AS198" s="600"/>
      <c r="AT198" s="600">
        <v>1</v>
      </c>
      <c r="AU198" s="577" t="s">
        <v>778</v>
      </c>
      <c r="AV198" s="577"/>
      <c r="AW198" s="562"/>
      <c r="AX198" s="562"/>
      <c r="AY198" s="562"/>
      <c r="AZ198" s="562"/>
      <c r="BA198" s="607" t="s">
        <v>807</v>
      </c>
      <c r="BB198" s="608" t="s">
        <v>808</v>
      </c>
      <c r="BD198" s="576">
        <v>18</v>
      </c>
      <c r="BF198" s="576"/>
      <c r="BG198" s="576"/>
      <c r="BH198" s="576"/>
      <c r="BI198" s="576">
        <v>1</v>
      </c>
      <c r="BJ198" s="576"/>
      <c r="BK198" s="576"/>
      <c r="BL198" s="576">
        <v>2.2999999999999998</v>
      </c>
      <c r="BM198" s="576">
        <f t="shared" si="38"/>
        <v>4.5999999999999996</v>
      </c>
      <c r="BN198" s="662" t="s">
        <v>796</v>
      </c>
      <c r="BO198" s="611">
        <v>4.3954545454545446</v>
      </c>
      <c r="BP198" s="611">
        <f t="shared" si="39"/>
        <v>0.20454545454545503</v>
      </c>
      <c r="BQ198" s="612"/>
      <c r="BR198" s="612">
        <v>1</v>
      </c>
      <c r="BS198" s="576" t="s">
        <v>127</v>
      </c>
      <c r="BT198" s="576"/>
      <c r="BW198" s="605">
        <v>4.3954545454545446</v>
      </c>
      <c r="DD198" s="561"/>
      <c r="DE198" s="577"/>
      <c r="DF198" s="562">
        <v>0.43</v>
      </c>
      <c r="DG198" s="562"/>
      <c r="DH198" s="562"/>
      <c r="DI198" s="562"/>
      <c r="DJ198" s="562"/>
      <c r="DK198" s="562"/>
      <c r="DL198" s="562"/>
      <c r="DM198" s="562"/>
      <c r="DN198" s="562"/>
      <c r="DO198" s="649"/>
      <c r="DP198" s="649"/>
      <c r="DQ198" s="657"/>
      <c r="DR198" s="657"/>
    </row>
    <row r="199" spans="1:122" s="560" customFormat="1">
      <c r="B199" s="560">
        <v>29</v>
      </c>
      <c r="D199" s="560">
        <v>0.5</v>
      </c>
      <c r="E199" s="560" t="s">
        <v>778</v>
      </c>
      <c r="F199" s="674" t="s">
        <v>960</v>
      </c>
      <c r="I199" s="560">
        <v>2327</v>
      </c>
      <c r="P199" s="587"/>
      <c r="Q199" s="588" t="s">
        <v>755</v>
      </c>
      <c r="R199" s="588" t="s">
        <v>756</v>
      </c>
      <c r="S199" s="588" t="s">
        <v>757</v>
      </c>
      <c r="T199" s="588" t="s">
        <v>758</v>
      </c>
      <c r="U199" s="588" t="s">
        <v>759</v>
      </c>
      <c r="V199" s="588" t="s">
        <v>760</v>
      </c>
      <c r="W199" s="588" t="s">
        <v>761</v>
      </c>
      <c r="X199" s="588" t="s">
        <v>762</v>
      </c>
      <c r="Y199" s="588" t="s">
        <v>763</v>
      </c>
      <c r="Z199" s="562"/>
      <c r="AA199" s="562"/>
      <c r="AB199" s="562"/>
      <c r="AC199" s="588" t="s">
        <v>764</v>
      </c>
      <c r="AD199" s="589"/>
      <c r="AE199" s="561"/>
      <c r="AF199" s="568">
        <v>11</v>
      </c>
      <c r="AG199" s="562"/>
      <c r="AH199" s="577"/>
      <c r="AI199" s="577"/>
      <c r="AJ199" s="577"/>
      <c r="AK199" s="577">
        <v>1</v>
      </c>
      <c r="AL199" s="577"/>
      <c r="AM199" s="577"/>
      <c r="AN199" s="562">
        <v>2.2999999999999998</v>
      </c>
      <c r="AO199" s="562">
        <f t="shared" si="40"/>
        <v>4.5999999999999996</v>
      </c>
      <c r="AP199" s="598">
        <v>0.140625</v>
      </c>
      <c r="AQ199" s="599">
        <v>4.25</v>
      </c>
      <c r="AR199" s="599">
        <f t="shared" si="41"/>
        <v>0.34999999999999964</v>
      </c>
      <c r="AS199" s="600"/>
      <c r="AT199" s="600">
        <v>1</v>
      </c>
      <c r="AU199" s="577" t="s">
        <v>778</v>
      </c>
      <c r="AV199" s="577"/>
      <c r="AW199" s="562"/>
      <c r="AX199" s="562"/>
      <c r="AY199" s="562"/>
      <c r="AZ199" s="562"/>
      <c r="BA199" s="607" t="s">
        <v>810</v>
      </c>
      <c r="BB199" s="608" t="s">
        <v>550</v>
      </c>
      <c r="BD199" s="576">
        <v>19</v>
      </c>
      <c r="BF199" s="576"/>
      <c r="BG199" s="576"/>
      <c r="BH199" s="576"/>
      <c r="BI199" s="576">
        <v>1</v>
      </c>
      <c r="BJ199" s="576"/>
      <c r="BK199" s="576"/>
      <c r="BL199" s="576">
        <v>3.1</v>
      </c>
      <c r="BM199" s="576">
        <f t="shared" si="38"/>
        <v>6.2</v>
      </c>
      <c r="BN199" s="662" t="s">
        <v>796</v>
      </c>
      <c r="BO199" s="611">
        <v>4.4045454545454534</v>
      </c>
      <c r="BP199" s="611">
        <f t="shared" si="39"/>
        <v>1.7954545454545467</v>
      </c>
      <c r="BQ199" s="612"/>
      <c r="BR199" s="612">
        <v>1</v>
      </c>
      <c r="BS199" s="673" t="s">
        <v>778</v>
      </c>
      <c r="BT199" s="622"/>
      <c r="BW199" s="605">
        <v>4.4045454545454543</v>
      </c>
      <c r="DD199" s="561"/>
      <c r="DE199" s="577"/>
      <c r="DF199" s="562">
        <v>0.21</v>
      </c>
      <c r="DG199" s="562"/>
      <c r="DH199" s="562"/>
      <c r="DI199" s="562"/>
      <c r="DJ199" s="562"/>
      <c r="DK199" s="562"/>
      <c r="DL199" s="562"/>
      <c r="DM199" s="562"/>
      <c r="DN199" s="562"/>
      <c r="DO199" s="649"/>
      <c r="DP199" s="649"/>
      <c r="DQ199" s="657"/>
      <c r="DR199" s="657"/>
    </row>
    <row r="200" spans="1:122" s="560" customFormat="1">
      <c r="B200" s="560">
        <v>30</v>
      </c>
      <c r="F200" s="674">
        <v>4.5</v>
      </c>
      <c r="P200" s="561"/>
      <c r="Q200" s="568" t="s">
        <v>776</v>
      </c>
      <c r="R200" s="562"/>
      <c r="S200" s="562">
        <v>1.4</v>
      </c>
      <c r="T200" s="562" t="s">
        <v>967</v>
      </c>
      <c r="U200" s="562"/>
      <c r="V200" s="562"/>
      <c r="W200" s="562"/>
      <c r="X200" s="629" t="s">
        <v>968</v>
      </c>
      <c r="Y200" s="562"/>
      <c r="Z200" s="562"/>
      <c r="AA200" s="562"/>
      <c r="AB200" s="562"/>
      <c r="AC200" s="577"/>
      <c r="AD200" s="589"/>
      <c r="AE200" s="561"/>
      <c r="AF200" s="568">
        <v>12</v>
      </c>
      <c r="AG200" s="562"/>
      <c r="AH200" s="577"/>
      <c r="AI200" s="577"/>
      <c r="AJ200" s="577"/>
      <c r="AK200" s="577">
        <v>1</v>
      </c>
      <c r="AL200" s="577"/>
      <c r="AM200" s="577"/>
      <c r="AN200" s="562">
        <v>2.6</v>
      </c>
      <c r="AO200" s="562">
        <f t="shared" si="40"/>
        <v>5.2</v>
      </c>
      <c r="AP200" s="598">
        <v>0.140625</v>
      </c>
      <c r="AQ200" s="599">
        <v>4.2450000000000001</v>
      </c>
      <c r="AR200" s="599">
        <f t="shared" si="41"/>
        <v>0.95500000000000007</v>
      </c>
      <c r="AS200" s="600"/>
      <c r="AT200" s="600">
        <v>1</v>
      </c>
      <c r="AU200" s="577" t="s">
        <v>778</v>
      </c>
      <c r="AV200" s="577"/>
      <c r="AW200" s="562"/>
      <c r="AX200" s="562"/>
      <c r="AY200" s="562"/>
      <c r="AZ200" s="562"/>
      <c r="BA200" s="607" t="s">
        <v>813</v>
      </c>
      <c r="BB200" s="608" t="s">
        <v>552</v>
      </c>
      <c r="BD200" s="576">
        <v>20</v>
      </c>
      <c r="BF200" s="576">
        <v>0.1</v>
      </c>
      <c r="BG200" s="576" t="s">
        <v>859</v>
      </c>
      <c r="BH200" s="576">
        <v>1</v>
      </c>
      <c r="BI200" s="576"/>
      <c r="BJ200" s="576"/>
      <c r="BK200" s="576"/>
      <c r="BL200" s="576">
        <v>2.4</v>
      </c>
      <c r="BM200" s="576">
        <f t="shared" si="38"/>
        <v>4.8</v>
      </c>
      <c r="BN200" s="662" t="s">
        <v>796</v>
      </c>
      <c r="BO200" s="611">
        <v>4.4136363636363631</v>
      </c>
      <c r="BP200" s="611">
        <f t="shared" si="39"/>
        <v>0.38636363636363669</v>
      </c>
      <c r="BQ200" s="612"/>
      <c r="BR200" s="612">
        <v>1</v>
      </c>
      <c r="BS200" s="576" t="s">
        <v>127</v>
      </c>
      <c r="BT200" s="622" t="s">
        <v>969</v>
      </c>
      <c r="BW200" s="605">
        <v>4.4136363636363631</v>
      </c>
      <c r="DD200" s="561"/>
      <c r="DE200" s="577"/>
      <c r="DF200" s="562">
        <v>0.15</v>
      </c>
      <c r="DG200" s="562"/>
      <c r="DH200" s="562"/>
      <c r="DI200" s="562"/>
      <c r="DJ200" s="562"/>
      <c r="DK200" s="562"/>
      <c r="DL200" s="562"/>
      <c r="DM200" s="562"/>
      <c r="DN200" s="562"/>
      <c r="DO200" s="562"/>
      <c r="DP200" s="562"/>
      <c r="DQ200" s="657"/>
      <c r="DR200" s="657"/>
    </row>
    <row r="201" spans="1:122" s="560" customFormat="1">
      <c r="B201" s="560">
        <v>31</v>
      </c>
      <c r="F201" s="674" t="s">
        <v>970</v>
      </c>
      <c r="P201" s="561"/>
      <c r="Q201" s="562"/>
      <c r="R201" s="562"/>
      <c r="S201" s="562">
        <v>0.1</v>
      </c>
      <c r="T201" s="562" t="s">
        <v>802</v>
      </c>
      <c r="U201" s="562"/>
      <c r="V201" s="562"/>
      <c r="W201" s="562"/>
      <c r="X201" s="629" t="s">
        <v>971</v>
      </c>
      <c r="Y201" s="562"/>
      <c r="Z201" s="562"/>
      <c r="AA201" s="562"/>
      <c r="AB201" s="562"/>
      <c r="AC201" s="607" t="s">
        <v>780</v>
      </c>
      <c r="AD201" s="608" t="s">
        <v>616</v>
      </c>
      <c r="AE201" s="561"/>
      <c r="AF201" s="568">
        <v>13</v>
      </c>
      <c r="AG201" s="562"/>
      <c r="AH201" s="577"/>
      <c r="AI201" s="577"/>
      <c r="AJ201" s="577"/>
      <c r="AK201" s="577">
        <v>1</v>
      </c>
      <c r="AL201" s="577"/>
      <c r="AM201" s="577"/>
      <c r="AN201" s="562">
        <v>2.2999999999999998</v>
      </c>
      <c r="AO201" s="562">
        <f t="shared" si="40"/>
        <v>4.5999999999999996</v>
      </c>
      <c r="AP201" s="598">
        <v>0.140625</v>
      </c>
      <c r="AQ201" s="599">
        <v>4.24</v>
      </c>
      <c r="AR201" s="599">
        <f t="shared" si="41"/>
        <v>0.35999999999999943</v>
      </c>
      <c r="AS201" s="600"/>
      <c r="AT201" s="600">
        <v>1</v>
      </c>
      <c r="AU201" s="577" t="s">
        <v>778</v>
      </c>
      <c r="AV201" s="577"/>
      <c r="AW201" s="562"/>
      <c r="AX201" s="625" t="s">
        <v>806</v>
      </c>
      <c r="AY201" s="562">
        <f>COUNT(AR189:AS219)</f>
        <v>30</v>
      </c>
      <c r="AZ201" s="562"/>
      <c r="BA201" s="607" t="s">
        <v>815</v>
      </c>
      <c r="BB201" s="608" t="s">
        <v>816</v>
      </c>
      <c r="BD201" s="576">
        <v>21</v>
      </c>
      <c r="BF201" s="576"/>
      <c r="BG201" s="576"/>
      <c r="BH201" s="576"/>
      <c r="BI201" s="576">
        <v>1</v>
      </c>
      <c r="BJ201" s="576"/>
      <c r="BK201" s="576"/>
      <c r="BL201" s="576">
        <v>2.4500000000000002</v>
      </c>
      <c r="BM201" s="576">
        <f t="shared" si="38"/>
        <v>4.9000000000000004</v>
      </c>
      <c r="BN201" s="662" t="s">
        <v>796</v>
      </c>
      <c r="BO201" s="611">
        <v>4.422727272727272</v>
      </c>
      <c r="BP201" s="611">
        <f t="shared" si="39"/>
        <v>0.4772727272727284</v>
      </c>
      <c r="BQ201" s="612"/>
      <c r="BR201" s="612">
        <v>1</v>
      </c>
      <c r="BS201" s="576" t="s">
        <v>127</v>
      </c>
      <c r="BT201" s="576"/>
      <c r="BU201" s="576"/>
      <c r="BW201" s="605">
        <v>4.422727272727272</v>
      </c>
      <c r="DD201" s="561"/>
      <c r="DE201" s="577"/>
      <c r="DF201" s="562">
        <v>0.16</v>
      </c>
      <c r="DG201" s="562"/>
      <c r="DH201" s="562"/>
      <c r="DI201" s="562"/>
      <c r="DJ201" s="562"/>
      <c r="DK201" s="562"/>
      <c r="DL201" s="562"/>
      <c r="DM201" s="562"/>
      <c r="DN201" s="562"/>
      <c r="DO201" s="562"/>
      <c r="DP201" s="562"/>
      <c r="DQ201" s="657"/>
      <c r="DR201" s="657"/>
    </row>
    <row r="202" spans="1:122" s="560" customFormat="1">
      <c r="D202" s="560">
        <f>SUM(D181:D199)</f>
        <v>4.0999999999999996</v>
      </c>
      <c r="P202" s="561"/>
      <c r="Q202" s="562"/>
      <c r="R202" s="562"/>
      <c r="S202" s="562">
        <v>0.45</v>
      </c>
      <c r="T202" s="562" t="s">
        <v>802</v>
      </c>
      <c r="U202" s="562"/>
      <c r="V202" s="562"/>
      <c r="W202" s="562"/>
      <c r="X202" s="629" t="s">
        <v>972</v>
      </c>
      <c r="Y202" s="562"/>
      <c r="Z202" s="562"/>
      <c r="AA202" s="562"/>
      <c r="AB202" s="562"/>
      <c r="AC202" s="607" t="s">
        <v>785</v>
      </c>
      <c r="AD202" s="608" t="s">
        <v>542</v>
      </c>
      <c r="AE202" s="561"/>
      <c r="AF202" s="568">
        <v>14</v>
      </c>
      <c r="AG202" s="562"/>
      <c r="AH202" s="577">
        <v>0.25</v>
      </c>
      <c r="AI202" s="577" t="s">
        <v>793</v>
      </c>
      <c r="AJ202" s="577"/>
      <c r="AK202" s="577">
        <v>1</v>
      </c>
      <c r="AL202" s="577"/>
      <c r="AM202" s="577">
        <v>1</v>
      </c>
      <c r="AN202" s="562">
        <v>2.2999999999999998</v>
      </c>
      <c r="AO202" s="562">
        <f t="shared" si="40"/>
        <v>4.5999999999999996</v>
      </c>
      <c r="AP202" s="598">
        <v>0.140625</v>
      </c>
      <c r="AQ202" s="599">
        <v>4.2350000000000003</v>
      </c>
      <c r="AR202" s="599">
        <f t="shared" si="41"/>
        <v>0.36499999999999932</v>
      </c>
      <c r="AS202" s="600"/>
      <c r="AT202" s="600">
        <v>1</v>
      </c>
      <c r="AU202" s="577" t="s">
        <v>778</v>
      </c>
      <c r="AV202" s="577">
        <v>1620</v>
      </c>
      <c r="AW202" s="562"/>
      <c r="AX202" s="625" t="s">
        <v>809</v>
      </c>
      <c r="AY202" s="649">
        <f>SUM(AR189:AR191,AR193:AR219)</f>
        <v>10.439999999999996</v>
      </c>
      <c r="AZ202" s="562"/>
      <c r="BA202" s="562"/>
      <c r="BB202" s="563"/>
      <c r="BD202" s="576">
        <v>22</v>
      </c>
      <c r="BF202" s="576"/>
      <c r="BG202" s="576"/>
      <c r="BH202" s="576"/>
      <c r="BI202" s="576">
        <v>1</v>
      </c>
      <c r="BJ202" s="576"/>
      <c r="BK202" s="576"/>
      <c r="BL202" s="576">
        <v>2.2999999999999998</v>
      </c>
      <c r="BM202" s="576">
        <f t="shared" si="38"/>
        <v>4.5999999999999996</v>
      </c>
      <c r="BN202" s="662" t="s">
        <v>796</v>
      </c>
      <c r="BO202" s="611">
        <v>4.4318181818181808</v>
      </c>
      <c r="BP202" s="611">
        <f t="shared" si="39"/>
        <v>0.16818181818181888</v>
      </c>
      <c r="BQ202" s="612"/>
      <c r="BR202" s="612">
        <v>1</v>
      </c>
      <c r="BS202" s="576" t="s">
        <v>127</v>
      </c>
      <c r="BT202" s="622"/>
      <c r="BW202" s="605">
        <v>4.4318181818181817</v>
      </c>
      <c r="DD202" s="561"/>
      <c r="DE202" s="577"/>
      <c r="DF202" s="562">
        <v>0.25</v>
      </c>
      <c r="DG202" s="562"/>
      <c r="DH202" s="562"/>
      <c r="DI202" s="562"/>
      <c r="DJ202" s="562"/>
      <c r="DK202" s="562"/>
      <c r="DL202" s="562"/>
      <c r="DM202" s="562"/>
      <c r="DN202" s="562"/>
      <c r="DO202" s="562"/>
      <c r="DP202" s="562"/>
      <c r="DQ202" s="657"/>
      <c r="DR202" s="657"/>
    </row>
    <row r="203" spans="1:122" s="560" customFormat="1">
      <c r="A203" s="564">
        <v>41134</v>
      </c>
      <c r="B203" s="565" t="s">
        <v>725</v>
      </c>
      <c r="C203" s="565"/>
      <c r="D203" s="565" t="s">
        <v>726</v>
      </c>
      <c r="E203" s="566" t="s">
        <v>727</v>
      </c>
      <c r="F203" s="566" t="s">
        <v>728</v>
      </c>
      <c r="G203" s="566" t="s">
        <v>729</v>
      </c>
      <c r="H203" s="566" t="s">
        <v>730</v>
      </c>
      <c r="I203" s="566" t="s">
        <v>731</v>
      </c>
      <c r="J203" s="565"/>
      <c r="P203" s="561"/>
      <c r="Q203" s="562"/>
      <c r="R203" s="562"/>
      <c r="S203" s="562">
        <v>0.4</v>
      </c>
      <c r="T203" s="562" t="s">
        <v>967</v>
      </c>
      <c r="U203" s="562"/>
      <c r="V203" s="562"/>
      <c r="W203" s="562"/>
      <c r="X203" s="629" t="s">
        <v>973</v>
      </c>
      <c r="Y203" s="562"/>
      <c r="Z203" s="562"/>
      <c r="AA203" s="562"/>
      <c r="AB203" s="562"/>
      <c r="AC203" s="607" t="s">
        <v>789</v>
      </c>
      <c r="AD203" s="608" t="s">
        <v>790</v>
      </c>
      <c r="AE203" s="561"/>
      <c r="AF203" s="562" t="s">
        <v>778</v>
      </c>
      <c r="AG203" s="562"/>
      <c r="AH203" s="577">
        <v>0.25</v>
      </c>
      <c r="AI203" s="577" t="s">
        <v>793</v>
      </c>
      <c r="AJ203" s="577"/>
      <c r="AK203" s="577"/>
      <c r="AL203" s="577"/>
      <c r="AM203" s="577">
        <v>1</v>
      </c>
      <c r="AN203" s="562"/>
      <c r="AO203" s="562"/>
      <c r="AP203" s="598"/>
      <c r="AQ203" s="599"/>
      <c r="AR203" s="599"/>
      <c r="AS203" s="600"/>
      <c r="AT203" s="600"/>
      <c r="AU203" s="577"/>
      <c r="AV203" s="577">
        <v>1619</v>
      </c>
      <c r="AW203" s="562"/>
      <c r="AX203" s="625" t="s">
        <v>811</v>
      </c>
      <c r="AY203" s="649">
        <f>MAX(AR189:AR219)</f>
        <v>1.0149999999999997</v>
      </c>
      <c r="AZ203" s="562"/>
      <c r="BA203" s="562"/>
      <c r="BB203" s="563"/>
      <c r="BD203" s="576">
        <v>23</v>
      </c>
      <c r="BF203" s="576">
        <v>1.3</v>
      </c>
      <c r="BG203" s="576" t="s">
        <v>793</v>
      </c>
      <c r="BH203" s="576"/>
      <c r="BI203" s="576">
        <v>1</v>
      </c>
      <c r="BJ203" s="576"/>
      <c r="BK203" s="576">
        <v>1</v>
      </c>
      <c r="BL203" s="576">
        <v>2.5</v>
      </c>
      <c r="BM203" s="576">
        <f t="shared" si="38"/>
        <v>5</v>
      </c>
      <c r="BN203" s="662" t="s">
        <v>796</v>
      </c>
      <c r="BO203" s="611">
        <v>4.4409090909090905</v>
      </c>
      <c r="BP203" s="611">
        <f t="shared" si="39"/>
        <v>0.55909090909090953</v>
      </c>
      <c r="BQ203" s="612"/>
      <c r="BR203" s="612">
        <v>1</v>
      </c>
      <c r="BS203" s="576" t="s">
        <v>127</v>
      </c>
      <c r="BT203" s="622" t="s">
        <v>974</v>
      </c>
      <c r="BW203" s="605">
        <v>4.4409090909090905</v>
      </c>
      <c r="DD203" s="561"/>
      <c r="DE203" s="577"/>
      <c r="DF203" s="562" t="s">
        <v>115</v>
      </c>
      <c r="DG203" s="562"/>
      <c r="DH203" s="562"/>
      <c r="DI203" s="562"/>
      <c r="DJ203" s="562"/>
      <c r="DK203" s="562"/>
      <c r="DL203" s="562"/>
      <c r="DM203" s="562"/>
      <c r="DN203" s="562"/>
      <c r="DO203" s="562"/>
      <c r="DP203" s="562"/>
      <c r="DQ203" s="657"/>
      <c r="DR203" s="657"/>
    </row>
    <row r="204" spans="1:122" s="560" customFormat="1">
      <c r="B204" s="565"/>
      <c r="C204" s="565"/>
      <c r="D204" s="565"/>
      <c r="E204" s="566" t="s">
        <v>975</v>
      </c>
      <c r="F204" s="566" t="s">
        <v>976</v>
      </c>
      <c r="G204" s="576"/>
      <c r="H204" s="576"/>
      <c r="I204" s="566"/>
      <c r="J204" s="565"/>
      <c r="P204" s="561"/>
      <c r="Q204" s="562"/>
      <c r="R204" s="562"/>
      <c r="S204" s="562">
        <v>7</v>
      </c>
      <c r="T204" s="562"/>
      <c r="U204" s="562"/>
      <c r="V204" s="562"/>
      <c r="W204" s="562"/>
      <c r="X204" s="629" t="s">
        <v>977</v>
      </c>
      <c r="Y204" s="562" t="s">
        <v>978</v>
      </c>
      <c r="Z204" s="562"/>
      <c r="AA204" s="562"/>
      <c r="AB204" s="562"/>
      <c r="AC204" s="607" t="s">
        <v>791</v>
      </c>
      <c r="AD204" s="608" t="s">
        <v>792</v>
      </c>
      <c r="AE204" s="561"/>
      <c r="AF204" s="568">
        <v>15</v>
      </c>
      <c r="AG204" s="562"/>
      <c r="AH204" s="577">
        <v>0.4</v>
      </c>
      <c r="AI204" s="577" t="s">
        <v>793</v>
      </c>
      <c r="AJ204" s="577"/>
      <c r="AK204" s="577">
        <v>1</v>
      </c>
      <c r="AL204" s="577"/>
      <c r="AM204" s="577">
        <v>1</v>
      </c>
      <c r="AN204" s="562">
        <v>2</v>
      </c>
      <c r="AO204" s="562">
        <f t="shared" ref="AO204:AO219" si="42">AN204+AN204</f>
        <v>4</v>
      </c>
      <c r="AP204" s="598">
        <v>0.140625</v>
      </c>
      <c r="AQ204" s="599">
        <v>4.2249999999999996</v>
      </c>
      <c r="AR204" s="599">
        <f t="shared" ref="AR204:AR219" si="43">AO204-AQ204</f>
        <v>-0.22499999999999964</v>
      </c>
      <c r="AS204" s="600"/>
      <c r="AT204" s="600">
        <v>1</v>
      </c>
      <c r="AU204" s="577" t="s">
        <v>778</v>
      </c>
      <c r="AV204" s="577">
        <v>1618</v>
      </c>
      <c r="AW204" s="562"/>
      <c r="AX204" s="625" t="s">
        <v>814</v>
      </c>
      <c r="AY204" s="649">
        <f>MIN(AR189:AR191,AR193:AR219)</f>
        <v>-0.22499999999999964</v>
      </c>
      <c r="AZ204" s="562"/>
      <c r="BA204" s="562"/>
      <c r="BB204" s="563"/>
      <c r="BD204" s="576">
        <v>24</v>
      </c>
      <c r="BF204" s="576"/>
      <c r="BG204" s="576"/>
      <c r="BH204" s="576"/>
      <c r="BI204" s="576">
        <v>1</v>
      </c>
      <c r="BJ204" s="576"/>
      <c r="BK204" s="576"/>
      <c r="BL204" s="576">
        <v>2.6</v>
      </c>
      <c r="BM204" s="576">
        <f t="shared" si="38"/>
        <v>5.2</v>
      </c>
      <c r="BN204" s="662" t="s">
        <v>779</v>
      </c>
      <c r="BO204" s="611">
        <v>4.4499999999999993</v>
      </c>
      <c r="BP204" s="611">
        <f t="shared" si="39"/>
        <v>0.75000000000000089</v>
      </c>
      <c r="BQ204" s="612">
        <v>1</v>
      </c>
      <c r="BR204" s="612"/>
      <c r="BS204" s="576" t="s">
        <v>127</v>
      </c>
      <c r="BT204" s="576"/>
      <c r="DD204" s="561"/>
      <c r="DE204" s="577"/>
      <c r="DF204" s="562">
        <v>0.35</v>
      </c>
      <c r="DG204" s="562"/>
      <c r="DH204" s="562"/>
      <c r="DI204" s="562"/>
      <c r="DJ204" s="562"/>
      <c r="DK204" s="562"/>
      <c r="DL204" s="562"/>
      <c r="DM204" s="562"/>
      <c r="DN204" s="562"/>
      <c r="DO204" s="562"/>
      <c r="DP204" s="562"/>
      <c r="DQ204" s="657"/>
      <c r="DR204" s="657"/>
    </row>
    <row r="205" spans="1:122" s="560" customFormat="1">
      <c r="A205" s="560" t="s">
        <v>573</v>
      </c>
      <c r="B205" s="582" t="s">
        <v>979</v>
      </c>
      <c r="C205" s="582"/>
      <c r="D205" s="566"/>
      <c r="E205" s="565"/>
      <c r="F205" s="565"/>
      <c r="G205" s="582" t="s">
        <v>980</v>
      </c>
      <c r="H205" s="566"/>
      <c r="I205" s="566"/>
      <c r="J205" s="566"/>
      <c r="P205" s="561"/>
      <c r="Q205" s="562"/>
      <c r="R205" s="562"/>
      <c r="S205" s="562"/>
      <c r="T205" s="562"/>
      <c r="U205" s="562"/>
      <c r="V205" s="562"/>
      <c r="W205" s="562"/>
      <c r="X205" s="562"/>
      <c r="Y205" s="562"/>
      <c r="Z205" s="562"/>
      <c r="AA205" s="562"/>
      <c r="AB205" s="562"/>
      <c r="AC205" s="607" t="s">
        <v>794</v>
      </c>
      <c r="AD205" s="608" t="s">
        <v>795</v>
      </c>
      <c r="AE205" s="561"/>
      <c r="AF205" s="568">
        <v>16</v>
      </c>
      <c r="AG205" s="562"/>
      <c r="AH205" s="577"/>
      <c r="AI205" s="577"/>
      <c r="AJ205" s="577"/>
      <c r="AK205" s="577">
        <v>1</v>
      </c>
      <c r="AL205" s="577"/>
      <c r="AM205" s="577"/>
      <c r="AN205" s="562">
        <v>2.4</v>
      </c>
      <c r="AO205" s="562">
        <f t="shared" si="42"/>
        <v>4.8</v>
      </c>
      <c r="AP205" s="598">
        <v>0.140625</v>
      </c>
      <c r="AQ205" s="599">
        <v>4.22</v>
      </c>
      <c r="AR205" s="599">
        <f t="shared" si="43"/>
        <v>0.58000000000000007</v>
      </c>
      <c r="AS205" s="600"/>
      <c r="AT205" s="600">
        <v>1</v>
      </c>
      <c r="AU205" s="577" t="s">
        <v>778</v>
      </c>
      <c r="AV205" s="577"/>
      <c r="AW205" s="562"/>
      <c r="AX205" s="625" t="s">
        <v>817</v>
      </c>
      <c r="AY205" s="649">
        <f>AVERAGE(AR189:AR191,AR193:AR219)</f>
        <v>0.35999999999999988</v>
      </c>
      <c r="AZ205" s="562"/>
      <c r="BA205" s="562"/>
      <c r="BB205" s="563"/>
      <c r="BD205" s="576">
        <v>25</v>
      </c>
      <c r="BF205" s="576">
        <v>0.3</v>
      </c>
      <c r="BG205" s="576" t="s">
        <v>793</v>
      </c>
      <c r="BH205" s="576"/>
      <c r="BI205" s="576">
        <v>1</v>
      </c>
      <c r="BJ205" s="576"/>
      <c r="BK205" s="576">
        <v>1</v>
      </c>
      <c r="BL205" s="576">
        <v>2.8</v>
      </c>
      <c r="BM205" s="576">
        <f t="shared" si="38"/>
        <v>5.6</v>
      </c>
      <c r="BN205" s="662" t="s">
        <v>796</v>
      </c>
      <c r="BO205" s="611">
        <v>4.45</v>
      </c>
      <c r="BP205" s="611">
        <f t="shared" si="39"/>
        <v>1.1499999999999995</v>
      </c>
      <c r="BQ205" s="612"/>
      <c r="BR205" s="612">
        <v>1</v>
      </c>
      <c r="BS205" s="576" t="s">
        <v>127</v>
      </c>
      <c r="BT205" s="622" t="s">
        <v>981</v>
      </c>
      <c r="DD205" s="561"/>
      <c r="DE205" s="577" t="s">
        <v>982</v>
      </c>
      <c r="DF205" s="562">
        <v>0.42</v>
      </c>
      <c r="DG205" s="562"/>
      <c r="DH205" s="562"/>
      <c r="DI205" s="562"/>
      <c r="DJ205" s="562"/>
      <c r="DK205" s="562"/>
      <c r="DL205" s="562"/>
      <c r="DM205" s="562"/>
      <c r="DN205" s="562"/>
      <c r="DO205" s="562"/>
      <c r="DP205" s="562"/>
      <c r="DQ205" s="657"/>
      <c r="DR205" s="657"/>
    </row>
    <row r="206" spans="1:122" s="560" customFormat="1">
      <c r="A206" s="585"/>
      <c r="B206" s="586" t="s">
        <v>755</v>
      </c>
      <c r="C206" s="586" t="s">
        <v>756</v>
      </c>
      <c r="D206" s="586" t="s">
        <v>757</v>
      </c>
      <c r="E206" s="586" t="s">
        <v>758</v>
      </c>
      <c r="F206" s="586" t="s">
        <v>759</v>
      </c>
      <c r="G206" s="586" t="s">
        <v>760</v>
      </c>
      <c r="H206" s="586" t="s">
        <v>761</v>
      </c>
      <c r="I206" s="586" t="s">
        <v>762</v>
      </c>
      <c r="J206" s="586" t="s">
        <v>763</v>
      </c>
      <c r="N206" s="586" t="s">
        <v>764</v>
      </c>
      <c r="O206" s="576"/>
      <c r="P206" s="561"/>
      <c r="Q206" s="562"/>
      <c r="R206" s="562"/>
      <c r="S206" s="625">
        <f>SUM(S200:S205)</f>
        <v>9.35</v>
      </c>
      <c r="T206" s="562"/>
      <c r="U206" s="562"/>
      <c r="V206" s="562"/>
      <c r="W206" s="562"/>
      <c r="X206" s="562"/>
      <c r="Y206" s="562"/>
      <c r="Z206" s="562"/>
      <c r="AA206" s="562"/>
      <c r="AB206" s="562"/>
      <c r="AC206" s="607" t="s">
        <v>798</v>
      </c>
      <c r="AD206" s="608" t="s">
        <v>546</v>
      </c>
      <c r="AE206" s="561"/>
      <c r="AF206" s="568">
        <v>17</v>
      </c>
      <c r="AG206" s="562"/>
      <c r="AH206" s="577"/>
      <c r="AI206" s="577"/>
      <c r="AJ206" s="577"/>
      <c r="AK206" s="577">
        <v>1</v>
      </c>
      <c r="AL206" s="577"/>
      <c r="AM206" s="577"/>
      <c r="AN206" s="562">
        <v>2.2999999999999998</v>
      </c>
      <c r="AO206" s="562">
        <f t="shared" si="42"/>
        <v>4.5999999999999996</v>
      </c>
      <c r="AP206" s="598">
        <v>0.140625</v>
      </c>
      <c r="AQ206" s="599">
        <v>4.2149999999999999</v>
      </c>
      <c r="AR206" s="599">
        <f t="shared" si="43"/>
        <v>0.38499999999999979</v>
      </c>
      <c r="AS206" s="600"/>
      <c r="AT206" s="600">
        <v>1</v>
      </c>
      <c r="AU206" s="577" t="s">
        <v>778</v>
      </c>
      <c r="AV206" s="577"/>
      <c r="AW206" s="562"/>
      <c r="AX206" s="625" t="s">
        <v>818</v>
      </c>
      <c r="AY206" s="625" t="e">
        <f ca="1">_xlfn.STDEV.S(AR189:AR191,AR193:AR219)</f>
        <v>#NAME?</v>
      </c>
      <c r="AZ206" s="562"/>
      <c r="BA206" s="562"/>
      <c r="BB206" s="563"/>
      <c r="BH206" s="640">
        <f>SUM(BH181:BH205)</f>
        <v>2</v>
      </c>
      <c r="BI206" s="640">
        <f>SUM(BI181:BI205)</f>
        <v>23</v>
      </c>
      <c r="BJ206" s="641">
        <f>SUM(BJ181:BJ205)</f>
        <v>4</v>
      </c>
      <c r="BK206" s="642">
        <f>SUM(BK181:BK205)</f>
        <v>3</v>
      </c>
      <c r="BM206" s="676">
        <f>SUM(BM181:BM205)</f>
        <v>124.49999999999999</v>
      </c>
      <c r="BO206" s="644">
        <f>SUM(BO181:BO205)</f>
        <v>108.74999999999999</v>
      </c>
      <c r="BP206" s="644">
        <f>SUM(BP181:BP205)</f>
        <v>15.750000000000011</v>
      </c>
      <c r="BQ206" s="645">
        <f>SUM(BQ181:BQ205)</f>
        <v>8</v>
      </c>
      <c r="BR206" s="645">
        <f>SUM(BR181:BR205)</f>
        <v>17</v>
      </c>
      <c r="DD206" s="561"/>
      <c r="DE206" s="577"/>
      <c r="DF206" s="562">
        <v>0.35</v>
      </c>
      <c r="DG206" s="562"/>
      <c r="DH206" s="562"/>
      <c r="DI206" s="562"/>
      <c r="DJ206" s="562"/>
      <c r="DK206" s="562"/>
      <c r="DL206" s="562"/>
      <c r="DM206" s="562"/>
      <c r="DN206" s="562"/>
      <c r="DO206" s="562"/>
      <c r="DP206" s="562"/>
      <c r="DQ206" s="657"/>
      <c r="DR206" s="657"/>
    </row>
    <row r="207" spans="1:122" s="560" customFormat="1">
      <c r="B207" s="565" t="s">
        <v>775</v>
      </c>
      <c r="N207" s="576"/>
      <c r="O207" s="576"/>
      <c r="P207" s="561"/>
      <c r="Q207" s="562"/>
      <c r="R207" s="562"/>
      <c r="S207" s="562"/>
      <c r="T207" s="562"/>
      <c r="U207" s="562"/>
      <c r="V207" s="562"/>
      <c r="W207" s="562"/>
      <c r="X207" s="562"/>
      <c r="Y207" s="562"/>
      <c r="Z207" s="562"/>
      <c r="AA207" s="562"/>
      <c r="AB207" s="562"/>
      <c r="AC207" s="607" t="s">
        <v>800</v>
      </c>
      <c r="AD207" s="608" t="s">
        <v>801</v>
      </c>
      <c r="AE207" s="561"/>
      <c r="AF207" s="568">
        <v>18</v>
      </c>
      <c r="AG207" s="562"/>
      <c r="AH207" s="577"/>
      <c r="AI207" s="577"/>
      <c r="AJ207" s="577"/>
      <c r="AK207" s="577">
        <v>1</v>
      </c>
      <c r="AL207" s="577"/>
      <c r="AM207" s="577"/>
      <c r="AN207" s="562">
        <v>2.4</v>
      </c>
      <c r="AO207" s="562">
        <f t="shared" si="42"/>
        <v>4.8</v>
      </c>
      <c r="AP207" s="598">
        <v>0.140625</v>
      </c>
      <c r="AQ207" s="599">
        <v>4.21</v>
      </c>
      <c r="AR207" s="599">
        <f t="shared" si="43"/>
        <v>0.58999999999999986</v>
      </c>
      <c r="AS207" s="600"/>
      <c r="AT207" s="600">
        <v>1</v>
      </c>
      <c r="AU207" s="577" t="s">
        <v>778</v>
      </c>
      <c r="AV207" s="577"/>
      <c r="AW207" s="562"/>
      <c r="AX207" s="562"/>
      <c r="AY207" s="562"/>
      <c r="AZ207" s="562"/>
      <c r="BA207" s="562"/>
      <c r="BB207" s="563"/>
      <c r="BC207" s="564">
        <v>41088</v>
      </c>
      <c r="BD207" s="565" t="s">
        <v>725</v>
      </c>
      <c r="BE207" s="565"/>
      <c r="BF207" s="565" t="s">
        <v>726</v>
      </c>
      <c r="BG207" s="566" t="s">
        <v>727</v>
      </c>
      <c r="BH207" s="566"/>
      <c r="BI207" s="566"/>
      <c r="BJ207" s="566"/>
      <c r="BK207" s="566"/>
      <c r="BL207" s="566" t="s">
        <v>728</v>
      </c>
      <c r="BM207" s="566"/>
      <c r="BN207" s="566" t="s">
        <v>729</v>
      </c>
      <c r="BO207" s="603"/>
      <c r="BP207" s="646">
        <f>+BP206/BO206</f>
        <v>0.14482758620689667</v>
      </c>
      <c r="BQ207" s="604"/>
      <c r="BR207" s="604"/>
      <c r="BS207" s="566" t="s">
        <v>730</v>
      </c>
      <c r="BT207" s="566" t="s">
        <v>731</v>
      </c>
      <c r="BU207" s="565"/>
      <c r="DD207" s="561"/>
      <c r="DE207" s="577"/>
      <c r="DF207" s="562">
        <v>0.25</v>
      </c>
      <c r="DG207" s="562"/>
      <c r="DH207" s="562"/>
      <c r="DI207" s="562"/>
      <c r="DJ207" s="562"/>
      <c r="DK207" s="562"/>
      <c r="DL207" s="562"/>
      <c r="DM207" s="562"/>
      <c r="DN207" s="562"/>
      <c r="DO207" s="562"/>
      <c r="DP207" s="562"/>
      <c r="DQ207" s="657"/>
      <c r="DR207" s="657"/>
    </row>
    <row r="208" spans="1:122" s="560" customFormat="1">
      <c r="C208" s="560">
        <v>0.6</v>
      </c>
      <c r="N208" s="585" t="s">
        <v>780</v>
      </c>
      <c r="O208" s="585" t="s">
        <v>616</v>
      </c>
      <c r="P208" s="561"/>
      <c r="Q208" s="562"/>
      <c r="R208" s="562"/>
      <c r="S208" s="562"/>
      <c r="T208" s="562"/>
      <c r="U208" s="562"/>
      <c r="V208" s="562"/>
      <c r="W208" s="562"/>
      <c r="X208" s="562"/>
      <c r="Y208" s="562"/>
      <c r="Z208" s="562"/>
      <c r="AA208" s="562"/>
      <c r="AB208" s="562"/>
      <c r="AC208" s="607" t="s">
        <v>804</v>
      </c>
      <c r="AD208" s="608" t="s">
        <v>805</v>
      </c>
      <c r="AE208" s="561"/>
      <c r="AF208" s="568">
        <v>19</v>
      </c>
      <c r="AG208" s="562"/>
      <c r="AH208" s="577"/>
      <c r="AI208" s="577"/>
      <c r="AJ208" s="577"/>
      <c r="AK208" s="577">
        <v>1</v>
      </c>
      <c r="AL208" s="577"/>
      <c r="AM208" s="577"/>
      <c r="AN208" s="562">
        <v>2.25</v>
      </c>
      <c r="AO208" s="562">
        <f t="shared" si="42"/>
        <v>4.5</v>
      </c>
      <c r="AP208" s="598">
        <v>0.140625</v>
      </c>
      <c r="AQ208" s="599">
        <v>4.2050000000000001</v>
      </c>
      <c r="AR208" s="599">
        <f t="shared" si="43"/>
        <v>0.29499999999999993</v>
      </c>
      <c r="AS208" s="600"/>
      <c r="AT208" s="600">
        <v>1</v>
      </c>
      <c r="AU208" s="577" t="s">
        <v>778</v>
      </c>
      <c r="AV208" s="577"/>
      <c r="AW208" s="562"/>
      <c r="AX208" s="562"/>
      <c r="AY208" s="562"/>
      <c r="AZ208" s="562"/>
      <c r="BA208" s="562"/>
      <c r="BB208" s="563"/>
      <c r="BD208" s="565"/>
      <c r="BE208" s="565"/>
      <c r="BF208" s="565"/>
      <c r="BG208" s="576" t="s">
        <v>983</v>
      </c>
      <c r="BH208" s="576"/>
      <c r="BI208" s="576"/>
      <c r="BJ208" s="576"/>
      <c r="BK208" s="576"/>
      <c r="BL208" s="576" t="s">
        <v>984</v>
      </c>
      <c r="BM208" s="576"/>
      <c r="BN208" s="623">
        <v>60</v>
      </c>
      <c r="BO208" s="611"/>
      <c r="BP208" s="611"/>
      <c r="BQ208" s="612"/>
      <c r="BR208" s="612"/>
      <c r="BS208" s="623">
        <v>59</v>
      </c>
      <c r="BT208" s="622">
        <v>737</v>
      </c>
      <c r="BU208" s="565"/>
      <c r="DD208" s="561"/>
      <c r="DE208" s="577"/>
      <c r="DF208" s="562">
        <v>0.08</v>
      </c>
      <c r="DG208" s="562"/>
      <c r="DH208" s="562"/>
      <c r="DI208" s="562"/>
      <c r="DJ208" s="562"/>
      <c r="DK208" s="562"/>
      <c r="DL208" s="562"/>
      <c r="DM208" s="562"/>
      <c r="DN208" s="562"/>
      <c r="DO208" s="562"/>
      <c r="DP208" s="562"/>
      <c r="DQ208" s="657"/>
      <c r="DR208" s="657"/>
    </row>
    <row r="209" spans="2:122" s="560" customFormat="1">
      <c r="C209" s="560">
        <v>0.6</v>
      </c>
      <c r="N209" s="585" t="s">
        <v>785</v>
      </c>
      <c r="O209" s="585" t="s">
        <v>542</v>
      </c>
      <c r="P209" s="561"/>
      <c r="Q209" s="562"/>
      <c r="R209" s="562"/>
      <c r="S209" s="562"/>
      <c r="T209" s="562"/>
      <c r="U209" s="562"/>
      <c r="V209" s="562"/>
      <c r="W209" s="562"/>
      <c r="X209" s="562"/>
      <c r="Y209" s="562"/>
      <c r="Z209" s="562"/>
      <c r="AA209" s="562"/>
      <c r="AB209" s="562"/>
      <c r="AC209" s="607" t="s">
        <v>807</v>
      </c>
      <c r="AD209" s="608" t="s">
        <v>808</v>
      </c>
      <c r="AE209" s="561"/>
      <c r="AF209" s="568">
        <v>20</v>
      </c>
      <c r="AG209" s="562"/>
      <c r="AH209" s="577"/>
      <c r="AI209" s="577"/>
      <c r="AJ209" s="577"/>
      <c r="AK209" s="577">
        <v>1</v>
      </c>
      <c r="AL209" s="577"/>
      <c r="AM209" s="577"/>
      <c r="AN209" s="562">
        <v>2.25</v>
      </c>
      <c r="AO209" s="562">
        <f t="shared" si="42"/>
        <v>4.5</v>
      </c>
      <c r="AP209" s="598">
        <v>0.140625</v>
      </c>
      <c r="AQ209" s="599">
        <v>4.2</v>
      </c>
      <c r="AR209" s="599">
        <f t="shared" si="43"/>
        <v>0.29999999999999982</v>
      </c>
      <c r="AS209" s="600"/>
      <c r="AT209" s="600">
        <v>1</v>
      </c>
      <c r="AU209" s="577" t="s">
        <v>778</v>
      </c>
      <c r="AV209" s="577"/>
      <c r="AW209" s="562"/>
      <c r="AX209" s="562"/>
      <c r="AY209" s="562"/>
      <c r="AZ209" s="562"/>
      <c r="BA209" s="562"/>
      <c r="BB209" s="563"/>
      <c r="BC209" s="560" t="s">
        <v>498</v>
      </c>
      <c r="BD209" s="581" t="s">
        <v>985</v>
      </c>
      <c r="BE209" s="582"/>
      <c r="BF209" s="566"/>
      <c r="BG209" s="565"/>
      <c r="BH209" s="565"/>
      <c r="BI209" s="565"/>
      <c r="BJ209" s="565"/>
      <c r="BK209" s="565"/>
      <c r="BL209" s="565"/>
      <c r="BM209" s="565"/>
      <c r="BN209" s="566" t="s">
        <v>986</v>
      </c>
      <c r="BO209" s="603"/>
      <c r="BP209" s="581" t="s">
        <v>987</v>
      </c>
      <c r="BQ209" s="604"/>
      <c r="BR209" s="604"/>
      <c r="BS209" s="566"/>
      <c r="BT209" s="576"/>
      <c r="BU209" s="566"/>
      <c r="DD209" s="561"/>
      <c r="DE209" s="577"/>
      <c r="DF209" s="562">
        <v>0.08</v>
      </c>
      <c r="DG209" s="562"/>
      <c r="DH209" s="562"/>
      <c r="DI209" s="562"/>
      <c r="DJ209" s="562"/>
      <c r="DK209" s="562"/>
      <c r="DL209" s="562"/>
      <c r="DM209" s="562"/>
      <c r="DN209" s="562"/>
      <c r="DO209" s="562"/>
      <c r="DP209" s="562"/>
      <c r="DQ209" s="657"/>
      <c r="DR209" s="657"/>
    </row>
    <row r="210" spans="2:122" s="560" customFormat="1">
      <c r="C210" s="560">
        <v>0.6</v>
      </c>
      <c r="N210" s="585" t="s">
        <v>789</v>
      </c>
      <c r="O210" s="585" t="s">
        <v>790</v>
      </c>
      <c r="P210" s="561"/>
      <c r="Q210" s="562"/>
      <c r="R210" s="562"/>
      <c r="S210" s="562"/>
      <c r="T210" s="562"/>
      <c r="U210" s="562"/>
      <c r="V210" s="562"/>
      <c r="W210" s="562"/>
      <c r="X210" s="562"/>
      <c r="Y210" s="562"/>
      <c r="Z210" s="562"/>
      <c r="AA210" s="562"/>
      <c r="AB210" s="562"/>
      <c r="AC210" s="607" t="s">
        <v>810</v>
      </c>
      <c r="AD210" s="608" t="s">
        <v>550</v>
      </c>
      <c r="AE210" s="561"/>
      <c r="AF210" s="568">
        <v>21</v>
      </c>
      <c r="AG210" s="562"/>
      <c r="AH210" s="577"/>
      <c r="AI210" s="577"/>
      <c r="AJ210" s="577"/>
      <c r="AK210" s="577">
        <v>1</v>
      </c>
      <c r="AL210" s="577"/>
      <c r="AM210" s="577"/>
      <c r="AN210" s="562">
        <v>2.6</v>
      </c>
      <c r="AO210" s="562">
        <f t="shared" si="42"/>
        <v>5.2</v>
      </c>
      <c r="AP210" s="598">
        <v>0.140625</v>
      </c>
      <c r="AQ210" s="599">
        <v>4.1950000000000003</v>
      </c>
      <c r="AR210" s="599">
        <f t="shared" si="43"/>
        <v>1.0049999999999999</v>
      </c>
      <c r="AS210" s="600"/>
      <c r="AT210" s="600">
        <v>1</v>
      </c>
      <c r="AU210" s="577" t="s">
        <v>778</v>
      </c>
      <c r="AV210" s="577"/>
      <c r="AW210" s="562"/>
      <c r="AX210" s="562"/>
      <c r="AY210" s="562"/>
      <c r="AZ210" s="562"/>
      <c r="BA210" s="562"/>
      <c r="BB210" s="563"/>
      <c r="BC210" s="585"/>
      <c r="BD210" s="586" t="s">
        <v>755</v>
      </c>
      <c r="BE210" s="586" t="s">
        <v>756</v>
      </c>
      <c r="BF210" s="615" t="s">
        <v>757</v>
      </c>
      <c r="BG210" s="615" t="s">
        <v>758</v>
      </c>
      <c r="BH210" s="615" t="s">
        <v>765</v>
      </c>
      <c r="BI210" s="615" t="s">
        <v>766</v>
      </c>
      <c r="BJ210" s="616" t="s">
        <v>767</v>
      </c>
      <c r="BK210" s="617" t="s">
        <v>768</v>
      </c>
      <c r="BL210" s="586" t="s">
        <v>759</v>
      </c>
      <c r="BM210" s="618" t="s">
        <v>769</v>
      </c>
      <c r="BN210" s="586" t="s">
        <v>760</v>
      </c>
      <c r="BO210" s="619" t="s">
        <v>770</v>
      </c>
      <c r="BP210" s="619" t="s">
        <v>771</v>
      </c>
      <c r="BQ210" s="620" t="s">
        <v>772</v>
      </c>
      <c r="BR210" s="620" t="s">
        <v>773</v>
      </c>
      <c r="BS210" s="586" t="s">
        <v>761</v>
      </c>
      <c r="BT210" s="586" t="s">
        <v>762</v>
      </c>
      <c r="BU210" s="586" t="s">
        <v>763</v>
      </c>
      <c r="BY210" s="586" t="s">
        <v>764</v>
      </c>
      <c r="BZ210" s="576"/>
      <c r="DD210" s="561"/>
      <c r="DE210" s="577"/>
      <c r="DF210" s="562">
        <v>0.25</v>
      </c>
      <c r="DG210" s="562"/>
      <c r="DH210" s="562"/>
      <c r="DI210" s="562"/>
      <c r="DJ210" s="562"/>
      <c r="DK210" s="562"/>
      <c r="DL210" s="562"/>
      <c r="DM210" s="562"/>
      <c r="DN210" s="562"/>
      <c r="DO210" s="562"/>
      <c r="DP210" s="562"/>
      <c r="DQ210" s="657"/>
      <c r="DR210" s="657"/>
    </row>
    <row r="211" spans="2:122" s="560" customFormat="1">
      <c r="C211" s="560">
        <v>0.6</v>
      </c>
      <c r="N211" s="585" t="s">
        <v>791</v>
      </c>
      <c r="O211" s="585" t="s">
        <v>792</v>
      </c>
      <c r="P211" s="561"/>
      <c r="Q211" s="562"/>
      <c r="R211" s="562"/>
      <c r="S211" s="562"/>
      <c r="T211" s="562"/>
      <c r="U211" s="562"/>
      <c r="V211" s="562"/>
      <c r="W211" s="562"/>
      <c r="X211" s="562"/>
      <c r="Y211" s="562"/>
      <c r="Z211" s="562"/>
      <c r="AA211" s="562"/>
      <c r="AB211" s="562"/>
      <c r="AC211" s="607" t="s">
        <v>813</v>
      </c>
      <c r="AD211" s="608" t="s">
        <v>552</v>
      </c>
      <c r="AE211" s="561"/>
      <c r="AF211" s="568">
        <v>22</v>
      </c>
      <c r="AG211" s="562"/>
      <c r="AH211" s="577"/>
      <c r="AI211" s="577"/>
      <c r="AJ211" s="577"/>
      <c r="AK211" s="577">
        <v>1</v>
      </c>
      <c r="AL211" s="577"/>
      <c r="AM211" s="577"/>
      <c r="AN211" s="562">
        <v>2.25</v>
      </c>
      <c r="AO211" s="562">
        <f t="shared" si="42"/>
        <v>4.5</v>
      </c>
      <c r="AP211" s="598">
        <v>0.140625</v>
      </c>
      <c r="AQ211" s="599">
        <v>4.1900000000000004</v>
      </c>
      <c r="AR211" s="599">
        <f t="shared" si="43"/>
        <v>0.30999999999999961</v>
      </c>
      <c r="AS211" s="600"/>
      <c r="AT211" s="600">
        <v>1</v>
      </c>
      <c r="AU211" s="577" t="s">
        <v>778</v>
      </c>
      <c r="AV211" s="577"/>
      <c r="AW211" s="562"/>
      <c r="AX211" s="562"/>
      <c r="AY211" s="562"/>
      <c r="AZ211" s="562"/>
      <c r="BA211" s="562"/>
      <c r="BB211" s="563"/>
      <c r="BD211" s="576">
        <v>0.5</v>
      </c>
      <c r="BF211" s="576">
        <v>2.4</v>
      </c>
      <c r="BG211" s="576" t="s">
        <v>988</v>
      </c>
      <c r="BH211" s="576"/>
      <c r="BI211" s="576"/>
      <c r="BJ211" s="576"/>
      <c r="BK211" s="576"/>
      <c r="BL211" s="576"/>
      <c r="BM211" s="576"/>
      <c r="BN211" s="662"/>
      <c r="BO211" s="611"/>
      <c r="BP211" s="611"/>
      <c r="BQ211" s="612"/>
      <c r="BR211" s="612">
        <v>1</v>
      </c>
      <c r="BS211" s="576" t="s">
        <v>127</v>
      </c>
      <c r="BT211" s="622" t="s">
        <v>989</v>
      </c>
      <c r="BU211" s="581"/>
      <c r="BY211" s="576"/>
      <c r="BZ211" s="576"/>
      <c r="DD211" s="561"/>
      <c r="DE211" s="577"/>
      <c r="DF211" s="562">
        <v>0.39</v>
      </c>
      <c r="DG211" s="562"/>
      <c r="DH211" s="562"/>
      <c r="DI211" s="562"/>
      <c r="DJ211" s="562"/>
      <c r="DK211" s="562"/>
      <c r="DL211" s="562"/>
      <c r="DM211" s="562"/>
      <c r="DN211" s="562"/>
      <c r="DO211" s="562"/>
      <c r="DP211" s="562"/>
      <c r="DQ211" s="657"/>
      <c r="DR211" s="657"/>
    </row>
    <row r="212" spans="2:122" s="560" customFormat="1">
      <c r="C212" s="560">
        <v>0.6</v>
      </c>
      <c r="N212" s="585" t="s">
        <v>794</v>
      </c>
      <c r="O212" s="585" t="s">
        <v>795</v>
      </c>
      <c r="P212" s="561"/>
      <c r="Q212" s="562"/>
      <c r="R212" s="562"/>
      <c r="S212" s="562"/>
      <c r="T212" s="562"/>
      <c r="U212" s="562"/>
      <c r="V212" s="562"/>
      <c r="W212" s="562"/>
      <c r="X212" s="562"/>
      <c r="Y212" s="562"/>
      <c r="Z212" s="562"/>
      <c r="AA212" s="562"/>
      <c r="AB212" s="562"/>
      <c r="AC212" s="607" t="s">
        <v>815</v>
      </c>
      <c r="AD212" s="608" t="s">
        <v>816</v>
      </c>
      <c r="AE212" s="561"/>
      <c r="AF212" s="568">
        <v>23</v>
      </c>
      <c r="AG212" s="562"/>
      <c r="AH212" s="577"/>
      <c r="AI212" s="577"/>
      <c r="AJ212" s="577"/>
      <c r="AK212" s="577">
        <v>1</v>
      </c>
      <c r="AL212" s="577"/>
      <c r="AM212" s="577"/>
      <c r="AN212" s="562">
        <v>2.6</v>
      </c>
      <c r="AO212" s="562">
        <f t="shared" si="42"/>
        <v>5.2</v>
      </c>
      <c r="AP212" s="598">
        <v>0.140625</v>
      </c>
      <c r="AQ212" s="599">
        <v>4.1850000000000005</v>
      </c>
      <c r="AR212" s="599">
        <f t="shared" si="43"/>
        <v>1.0149999999999997</v>
      </c>
      <c r="AS212" s="600"/>
      <c r="AT212" s="600">
        <v>1</v>
      </c>
      <c r="AU212" s="577" t="s">
        <v>778</v>
      </c>
      <c r="AV212" s="577"/>
      <c r="AW212" s="562"/>
      <c r="AX212" s="562"/>
      <c r="AY212" s="562"/>
      <c r="AZ212" s="562"/>
      <c r="BA212" s="562"/>
      <c r="BB212" s="563"/>
      <c r="BD212" s="576">
        <v>1</v>
      </c>
      <c r="BE212" s="576"/>
      <c r="BF212" s="576"/>
      <c r="BG212" s="576"/>
      <c r="BH212" s="576"/>
      <c r="BI212" s="576">
        <v>1</v>
      </c>
      <c r="BJ212" s="576"/>
      <c r="BK212" s="576"/>
      <c r="BL212" s="576">
        <v>2.4</v>
      </c>
      <c r="BM212" s="576">
        <f t="shared" ref="BM212:BM239" si="44">BL212+BL212</f>
        <v>4.8</v>
      </c>
      <c r="BN212" s="662">
        <v>0.140625</v>
      </c>
      <c r="BO212" s="611">
        <v>4.5</v>
      </c>
      <c r="BP212" s="611">
        <f t="shared" ref="BP212:BP239" si="45">BM212-BO212</f>
        <v>0.29999999999999982</v>
      </c>
      <c r="BQ212" s="612"/>
      <c r="BR212" s="612">
        <v>1</v>
      </c>
      <c r="BS212" s="576" t="s">
        <v>127</v>
      </c>
      <c r="BT212" s="576"/>
      <c r="BY212" s="585" t="s">
        <v>780</v>
      </c>
      <c r="BZ212" s="585" t="s">
        <v>616</v>
      </c>
      <c r="DD212" s="561"/>
      <c r="DE212" s="577" t="s">
        <v>990</v>
      </c>
      <c r="DF212" s="562">
        <v>0.4</v>
      </c>
      <c r="DG212" s="562"/>
      <c r="DH212" s="562"/>
      <c r="DI212" s="562"/>
      <c r="DJ212" s="562"/>
      <c r="DK212" s="562"/>
      <c r="DL212" s="562"/>
      <c r="DM212" s="562"/>
      <c r="DN212" s="562"/>
      <c r="DO212" s="562"/>
      <c r="DP212" s="562"/>
      <c r="DQ212" s="657"/>
      <c r="DR212" s="657"/>
    </row>
    <row r="213" spans="2:122" s="560" customFormat="1">
      <c r="C213" s="560">
        <v>0.6</v>
      </c>
      <c r="N213" s="585" t="s">
        <v>798</v>
      </c>
      <c r="O213" s="585" t="s">
        <v>546</v>
      </c>
      <c r="P213" s="561"/>
      <c r="Q213" s="562"/>
      <c r="R213" s="562"/>
      <c r="S213" s="562"/>
      <c r="T213" s="562"/>
      <c r="U213" s="562"/>
      <c r="V213" s="562"/>
      <c r="W213" s="562"/>
      <c r="X213" s="562"/>
      <c r="Y213" s="562"/>
      <c r="Z213" s="562"/>
      <c r="AA213" s="562"/>
      <c r="AB213" s="562"/>
      <c r="AC213" s="562"/>
      <c r="AD213" s="563"/>
      <c r="AE213" s="561"/>
      <c r="AF213" s="568">
        <v>24</v>
      </c>
      <c r="AG213" s="562"/>
      <c r="AH213" s="577"/>
      <c r="AI213" s="577"/>
      <c r="AJ213" s="577"/>
      <c r="AK213" s="577">
        <v>1</v>
      </c>
      <c r="AL213" s="577"/>
      <c r="AM213" s="577"/>
      <c r="AN213" s="562">
        <v>2.4</v>
      </c>
      <c r="AO213" s="562">
        <f t="shared" si="42"/>
        <v>4.8</v>
      </c>
      <c r="AP213" s="598">
        <v>0.140625</v>
      </c>
      <c r="AQ213" s="599">
        <v>4.1800000000000006</v>
      </c>
      <c r="AR213" s="599">
        <f t="shared" si="43"/>
        <v>0.61999999999999922</v>
      </c>
      <c r="AS213" s="600"/>
      <c r="AT213" s="600">
        <v>1</v>
      </c>
      <c r="AU213" s="577" t="s">
        <v>778</v>
      </c>
      <c r="AV213" s="577"/>
      <c r="AW213" s="562"/>
      <c r="AX213" s="562"/>
      <c r="AY213" s="562"/>
      <c r="AZ213" s="562"/>
      <c r="BA213" s="562"/>
      <c r="BB213" s="563"/>
      <c r="BD213" s="576">
        <v>2</v>
      </c>
      <c r="BE213" s="576"/>
      <c r="BF213" s="576"/>
      <c r="BG213" s="576"/>
      <c r="BH213" s="576"/>
      <c r="BI213" s="576">
        <v>1</v>
      </c>
      <c r="BJ213" s="576"/>
      <c r="BK213" s="576"/>
      <c r="BL213" s="576">
        <v>2.4</v>
      </c>
      <c r="BM213" s="576">
        <f t="shared" si="44"/>
        <v>4.8</v>
      </c>
      <c r="BN213" s="662">
        <v>0.140625</v>
      </c>
      <c r="BO213" s="611">
        <v>4.5</v>
      </c>
      <c r="BP213" s="611">
        <f t="shared" si="45"/>
        <v>0.29999999999999982</v>
      </c>
      <c r="BQ213" s="612"/>
      <c r="BR213" s="612">
        <v>1</v>
      </c>
      <c r="BS213" s="576" t="s">
        <v>127</v>
      </c>
      <c r="BT213" s="622"/>
      <c r="BY213" s="585" t="s">
        <v>785</v>
      </c>
      <c r="BZ213" s="585" t="s">
        <v>542</v>
      </c>
      <c r="DD213" s="561"/>
      <c r="DE213" s="577"/>
      <c r="DF213" s="562">
        <v>0.45</v>
      </c>
      <c r="DG213" s="562"/>
      <c r="DH213" s="562"/>
      <c r="DI213" s="562"/>
      <c r="DJ213" s="562"/>
      <c r="DK213" s="562"/>
      <c r="DL213" s="562"/>
      <c r="DM213" s="562"/>
      <c r="DN213" s="562"/>
      <c r="DO213" s="562"/>
      <c r="DP213" s="562"/>
      <c r="DQ213" s="657"/>
      <c r="DR213" s="657"/>
    </row>
    <row r="214" spans="2:122" s="560" customFormat="1">
      <c r="C214" s="560">
        <v>0.6</v>
      </c>
      <c r="N214" s="585" t="s">
        <v>800</v>
      </c>
      <c r="O214" s="585" t="s">
        <v>801</v>
      </c>
      <c r="P214" s="567">
        <v>41101</v>
      </c>
      <c r="Q214" s="568" t="s">
        <v>725</v>
      </c>
      <c r="R214" s="568"/>
      <c r="S214" s="568" t="s">
        <v>891</v>
      </c>
      <c r="T214" s="569" t="s">
        <v>727</v>
      </c>
      <c r="U214" s="569" t="s">
        <v>728</v>
      </c>
      <c r="V214" s="569" t="s">
        <v>729</v>
      </c>
      <c r="W214" s="569" t="s">
        <v>730</v>
      </c>
      <c r="X214" s="569" t="s">
        <v>731</v>
      </c>
      <c r="Y214" s="568"/>
      <c r="Z214" s="562"/>
      <c r="AA214" s="562"/>
      <c r="AB214" s="562"/>
      <c r="AC214" s="562"/>
      <c r="AD214" s="563"/>
      <c r="AE214" s="561"/>
      <c r="AF214" s="568">
        <v>25</v>
      </c>
      <c r="AG214" s="562"/>
      <c r="AH214" s="577"/>
      <c r="AI214" s="577"/>
      <c r="AJ214" s="577"/>
      <c r="AK214" s="577">
        <v>1</v>
      </c>
      <c r="AL214" s="577"/>
      <c r="AM214" s="577"/>
      <c r="AN214" s="562">
        <v>2.2999999999999998</v>
      </c>
      <c r="AO214" s="562">
        <f t="shared" si="42"/>
        <v>4.5999999999999996</v>
      </c>
      <c r="AP214" s="598">
        <v>0.140625</v>
      </c>
      <c r="AQ214" s="599">
        <v>4.1749999999999998</v>
      </c>
      <c r="AR214" s="599">
        <f t="shared" si="43"/>
        <v>0.42499999999999982</v>
      </c>
      <c r="AS214" s="600"/>
      <c r="AT214" s="600">
        <v>1</v>
      </c>
      <c r="AU214" s="577" t="s">
        <v>778</v>
      </c>
      <c r="AV214" s="577"/>
      <c r="AW214" s="562"/>
      <c r="AX214" s="562"/>
      <c r="AY214" s="562"/>
      <c r="AZ214" s="562"/>
      <c r="BA214" s="562"/>
      <c r="BB214" s="563"/>
      <c r="BD214" s="576">
        <v>3</v>
      </c>
      <c r="BE214" s="576"/>
      <c r="BF214" s="576"/>
      <c r="BG214" s="576"/>
      <c r="BH214" s="576"/>
      <c r="BI214" s="576">
        <v>1</v>
      </c>
      <c r="BJ214" s="576"/>
      <c r="BK214" s="576"/>
      <c r="BL214" s="576">
        <v>2.4</v>
      </c>
      <c r="BM214" s="576">
        <f t="shared" si="44"/>
        <v>4.8</v>
      </c>
      <c r="BN214" s="662">
        <v>0.140625</v>
      </c>
      <c r="BO214" s="611">
        <v>4.5</v>
      </c>
      <c r="BP214" s="611">
        <f t="shared" si="45"/>
        <v>0.29999999999999982</v>
      </c>
      <c r="BQ214" s="612"/>
      <c r="BR214" s="612">
        <v>1</v>
      </c>
      <c r="BS214" s="576" t="s">
        <v>127</v>
      </c>
      <c r="BT214" s="622"/>
      <c r="BY214" s="585" t="s">
        <v>789</v>
      </c>
      <c r="BZ214" s="585" t="s">
        <v>790</v>
      </c>
      <c r="DD214" s="561"/>
      <c r="DE214" s="577"/>
      <c r="DF214" s="562">
        <v>0.4</v>
      </c>
      <c r="DG214" s="562"/>
      <c r="DH214" s="562"/>
      <c r="DI214" s="562"/>
      <c r="DJ214" s="562"/>
      <c r="DK214" s="562"/>
      <c r="DL214" s="562"/>
      <c r="DM214" s="562"/>
      <c r="DN214" s="562"/>
      <c r="DO214" s="562"/>
      <c r="DP214" s="562"/>
      <c r="DQ214" s="657"/>
      <c r="DR214" s="657"/>
    </row>
    <row r="215" spans="2:122" s="560" customFormat="1">
      <c r="C215" s="560">
        <v>0.6</v>
      </c>
      <c r="N215" s="585" t="s">
        <v>804</v>
      </c>
      <c r="O215" s="585" t="s">
        <v>805</v>
      </c>
      <c r="P215" s="561"/>
      <c r="Q215" s="568"/>
      <c r="R215" s="568"/>
      <c r="S215" s="568"/>
      <c r="T215" s="569" t="s">
        <v>962</v>
      </c>
      <c r="U215" s="569" t="s">
        <v>963</v>
      </c>
      <c r="V215" s="577"/>
      <c r="W215" s="577"/>
      <c r="X215" s="569" t="s">
        <v>964</v>
      </c>
      <c r="Y215" s="578" t="s">
        <v>991</v>
      </c>
      <c r="Z215" s="562"/>
      <c r="AA215" s="562"/>
      <c r="AB215" s="562"/>
      <c r="AC215" s="562"/>
      <c r="AD215" s="563"/>
      <c r="AE215" s="561"/>
      <c r="AF215" s="568">
        <v>26</v>
      </c>
      <c r="AG215" s="562"/>
      <c r="AH215" s="577"/>
      <c r="AI215" s="577"/>
      <c r="AJ215" s="577"/>
      <c r="AK215" s="577">
        <v>1</v>
      </c>
      <c r="AL215" s="577"/>
      <c r="AM215" s="577"/>
      <c r="AN215" s="562">
        <v>2.25</v>
      </c>
      <c r="AO215" s="562">
        <f t="shared" si="42"/>
        <v>4.5</v>
      </c>
      <c r="AP215" s="598">
        <v>0.140625</v>
      </c>
      <c r="AQ215" s="599">
        <v>4.17</v>
      </c>
      <c r="AR215" s="599">
        <f t="shared" si="43"/>
        <v>0.33000000000000007</v>
      </c>
      <c r="AS215" s="600"/>
      <c r="AT215" s="600">
        <v>1</v>
      </c>
      <c r="AU215" s="577" t="s">
        <v>778</v>
      </c>
      <c r="AV215" s="577"/>
      <c r="AW215" s="562"/>
      <c r="AX215" s="562"/>
      <c r="AY215" s="562"/>
      <c r="AZ215" s="562"/>
      <c r="BA215" s="562"/>
      <c r="BB215" s="563"/>
      <c r="BD215" s="576">
        <v>4</v>
      </c>
      <c r="BE215" s="576"/>
      <c r="BF215" s="576"/>
      <c r="BG215" s="576"/>
      <c r="BH215" s="576"/>
      <c r="BI215" s="576">
        <v>1</v>
      </c>
      <c r="BJ215" s="576"/>
      <c r="BK215" s="576"/>
      <c r="BL215" s="576">
        <v>2.4</v>
      </c>
      <c r="BM215" s="576">
        <f t="shared" si="44"/>
        <v>4.8</v>
      </c>
      <c r="BN215" s="662">
        <v>0.140625</v>
      </c>
      <c r="BO215" s="611">
        <v>4.5</v>
      </c>
      <c r="BP215" s="611">
        <f t="shared" si="45"/>
        <v>0.29999999999999982</v>
      </c>
      <c r="BQ215" s="612"/>
      <c r="BR215" s="612">
        <v>1</v>
      </c>
      <c r="BS215" s="576" t="s">
        <v>127</v>
      </c>
      <c r="BT215" s="622"/>
      <c r="BY215" s="585" t="s">
        <v>791</v>
      </c>
      <c r="BZ215" s="585" t="s">
        <v>792</v>
      </c>
      <c r="DD215" s="561"/>
      <c r="DE215" s="577"/>
      <c r="DF215" s="562">
        <v>0.2</v>
      </c>
      <c r="DG215" s="562"/>
      <c r="DH215" s="562"/>
      <c r="DI215" s="562"/>
      <c r="DJ215" s="562"/>
      <c r="DK215" s="562"/>
      <c r="DL215" s="562"/>
      <c r="DM215" s="562"/>
      <c r="DN215" s="562"/>
      <c r="DO215" s="562"/>
      <c r="DP215" s="562"/>
      <c r="DQ215" s="657"/>
      <c r="DR215" s="657"/>
    </row>
    <row r="216" spans="2:122" s="560" customFormat="1">
      <c r="C216" s="560">
        <v>0.56999999999999995</v>
      </c>
      <c r="N216" s="585" t="s">
        <v>807</v>
      </c>
      <c r="O216" s="585" t="s">
        <v>808</v>
      </c>
      <c r="P216" s="561" t="s">
        <v>577</v>
      </c>
      <c r="Q216" s="583" t="s">
        <v>966</v>
      </c>
      <c r="R216" s="578"/>
      <c r="S216" s="569"/>
      <c r="T216" s="568"/>
      <c r="U216" s="568"/>
      <c r="V216" s="569"/>
      <c r="W216" s="569"/>
      <c r="X216" s="569"/>
      <c r="Y216" s="569"/>
      <c r="Z216" s="562"/>
      <c r="AA216" s="562"/>
      <c r="AB216" s="562"/>
      <c r="AC216" s="562"/>
      <c r="AD216" s="563"/>
      <c r="AE216" s="561"/>
      <c r="AF216" s="568">
        <v>27</v>
      </c>
      <c r="AG216" s="562"/>
      <c r="AH216" s="577"/>
      <c r="AI216" s="577"/>
      <c r="AJ216" s="577"/>
      <c r="AK216" s="577">
        <v>1</v>
      </c>
      <c r="AL216" s="577"/>
      <c r="AM216" s="577"/>
      <c r="AN216" s="562">
        <v>2.2999999999999998</v>
      </c>
      <c r="AO216" s="562">
        <f t="shared" si="42"/>
        <v>4.5999999999999996</v>
      </c>
      <c r="AP216" s="598">
        <v>0.140625</v>
      </c>
      <c r="AQ216" s="599">
        <v>4.165</v>
      </c>
      <c r="AR216" s="599">
        <f t="shared" si="43"/>
        <v>0.43499999999999961</v>
      </c>
      <c r="AS216" s="600"/>
      <c r="AT216" s="600">
        <v>1</v>
      </c>
      <c r="AU216" s="577" t="s">
        <v>778</v>
      </c>
      <c r="AV216" s="577"/>
      <c r="AW216" s="562"/>
      <c r="AX216" s="562"/>
      <c r="AY216" s="562"/>
      <c r="AZ216" s="562"/>
      <c r="BA216" s="562"/>
      <c r="BB216" s="563"/>
      <c r="BD216" s="576">
        <v>5</v>
      </c>
      <c r="BE216" s="576"/>
      <c r="BF216" s="576"/>
      <c r="BG216" s="576"/>
      <c r="BH216" s="576"/>
      <c r="BI216" s="576">
        <v>1</v>
      </c>
      <c r="BJ216" s="576"/>
      <c r="BK216" s="576"/>
      <c r="BL216" s="576">
        <v>2.4</v>
      </c>
      <c r="BM216" s="576">
        <f t="shared" si="44"/>
        <v>4.8</v>
      </c>
      <c r="BN216" s="662">
        <v>0.140625</v>
      </c>
      <c r="BO216" s="611">
        <v>4.5</v>
      </c>
      <c r="BP216" s="611">
        <f t="shared" si="45"/>
        <v>0.29999999999999982</v>
      </c>
      <c r="BQ216" s="612"/>
      <c r="BR216" s="612">
        <v>1</v>
      </c>
      <c r="BS216" s="576" t="s">
        <v>127</v>
      </c>
      <c r="BT216" s="576"/>
      <c r="BY216" s="585" t="s">
        <v>794</v>
      </c>
      <c r="BZ216" s="585" t="s">
        <v>795</v>
      </c>
      <c r="DD216" s="561"/>
      <c r="DE216" s="577"/>
      <c r="DF216" s="562">
        <v>0.15</v>
      </c>
      <c r="DG216" s="562"/>
      <c r="DH216" s="562"/>
      <c r="DI216" s="562"/>
      <c r="DJ216" s="562"/>
      <c r="DK216" s="562"/>
      <c r="DL216" s="562"/>
      <c r="DM216" s="562"/>
      <c r="DN216" s="562"/>
      <c r="DO216" s="562"/>
      <c r="DP216" s="562"/>
      <c r="DQ216" s="657"/>
      <c r="DR216" s="657"/>
    </row>
    <row r="217" spans="2:122" s="560" customFormat="1">
      <c r="C217" s="560">
        <v>0.54</v>
      </c>
      <c r="N217" s="585" t="s">
        <v>810</v>
      </c>
      <c r="O217" s="585" t="s">
        <v>550</v>
      </c>
      <c r="P217" s="587"/>
      <c r="Q217" s="588" t="s">
        <v>755</v>
      </c>
      <c r="R217" s="588" t="s">
        <v>756</v>
      </c>
      <c r="S217" s="588" t="s">
        <v>757</v>
      </c>
      <c r="T217" s="588" t="s">
        <v>758</v>
      </c>
      <c r="U217" s="588" t="s">
        <v>759</v>
      </c>
      <c r="V217" s="588" t="s">
        <v>760</v>
      </c>
      <c r="W217" s="588" t="s">
        <v>761</v>
      </c>
      <c r="X217" s="588" t="s">
        <v>762</v>
      </c>
      <c r="Y217" s="588" t="s">
        <v>763</v>
      </c>
      <c r="Z217" s="562"/>
      <c r="AA217" s="562"/>
      <c r="AB217" s="562"/>
      <c r="AC217" s="588" t="s">
        <v>764</v>
      </c>
      <c r="AD217" s="589"/>
      <c r="AE217" s="561"/>
      <c r="AF217" s="568">
        <v>28</v>
      </c>
      <c r="AG217" s="562"/>
      <c r="AH217" s="577">
        <v>0.22</v>
      </c>
      <c r="AI217" s="577" t="s">
        <v>793</v>
      </c>
      <c r="AJ217" s="577"/>
      <c r="AK217" s="577">
        <v>1</v>
      </c>
      <c r="AL217" s="577"/>
      <c r="AM217" s="577">
        <v>1</v>
      </c>
      <c r="AN217" s="562">
        <v>2.25</v>
      </c>
      <c r="AO217" s="562">
        <f t="shared" si="42"/>
        <v>4.5</v>
      </c>
      <c r="AP217" s="598">
        <v>0.140625</v>
      </c>
      <c r="AQ217" s="599">
        <v>4.16</v>
      </c>
      <c r="AR217" s="599">
        <f t="shared" si="43"/>
        <v>0.33999999999999986</v>
      </c>
      <c r="AS217" s="600"/>
      <c r="AT217" s="600">
        <v>1</v>
      </c>
      <c r="AU217" s="577" t="s">
        <v>778</v>
      </c>
      <c r="AV217" s="577">
        <v>1617</v>
      </c>
      <c r="AW217" s="562"/>
      <c r="AX217" s="562"/>
      <c r="AY217" s="562"/>
      <c r="AZ217" s="562"/>
      <c r="BA217" s="562"/>
      <c r="BB217" s="563"/>
      <c r="BD217" s="576">
        <v>6</v>
      </c>
      <c r="BE217" s="576"/>
      <c r="BF217" s="576">
        <v>1</v>
      </c>
      <c r="BG217" s="576" t="s">
        <v>802</v>
      </c>
      <c r="BH217" s="576"/>
      <c r="BI217" s="576">
        <v>1</v>
      </c>
      <c r="BJ217" s="576">
        <v>1</v>
      </c>
      <c r="BK217" s="576"/>
      <c r="BL217" s="576">
        <v>2.2999999999999998</v>
      </c>
      <c r="BM217" s="576">
        <f t="shared" si="44"/>
        <v>4.5999999999999996</v>
      </c>
      <c r="BN217" s="662">
        <v>0.140625</v>
      </c>
      <c r="BO217" s="611">
        <v>4.5</v>
      </c>
      <c r="BP217" s="611">
        <f t="shared" si="45"/>
        <v>9.9999999999999645E-2</v>
      </c>
      <c r="BQ217" s="612"/>
      <c r="BR217" s="612">
        <v>1</v>
      </c>
      <c r="BS217" s="576" t="s">
        <v>127</v>
      </c>
      <c r="BT217" s="622">
        <v>734</v>
      </c>
      <c r="BY217" s="585" t="s">
        <v>798</v>
      </c>
      <c r="BZ217" s="585" t="s">
        <v>546</v>
      </c>
      <c r="DD217" s="561"/>
      <c r="DE217" s="577"/>
      <c r="DF217" s="562">
        <v>0.17</v>
      </c>
      <c r="DG217" s="562"/>
      <c r="DH217" s="562"/>
      <c r="DI217" s="562"/>
      <c r="DJ217" s="562"/>
      <c r="DK217" s="562"/>
      <c r="DL217" s="562"/>
      <c r="DM217" s="562"/>
      <c r="DN217" s="562"/>
      <c r="DO217" s="562"/>
      <c r="DP217" s="562"/>
      <c r="DQ217" s="657"/>
      <c r="DR217" s="657"/>
    </row>
    <row r="218" spans="2:122" s="560" customFormat="1">
      <c r="C218" s="560">
        <v>0.5</v>
      </c>
      <c r="N218" s="585" t="s">
        <v>813</v>
      </c>
      <c r="O218" s="585" t="s">
        <v>552</v>
      </c>
      <c r="P218" s="561"/>
      <c r="Q218" s="568" t="s">
        <v>776</v>
      </c>
      <c r="R218" s="562">
        <v>0.6</v>
      </c>
      <c r="S218" s="562"/>
      <c r="T218" s="562"/>
      <c r="U218" s="562"/>
      <c r="V218" s="562"/>
      <c r="W218" s="562"/>
      <c r="X218" s="629"/>
      <c r="Y218" s="562"/>
      <c r="Z218" s="562"/>
      <c r="AA218" s="562"/>
      <c r="AB218" s="562"/>
      <c r="AC218" s="577"/>
      <c r="AD218" s="589"/>
      <c r="AE218" s="561"/>
      <c r="AF218" s="568">
        <v>29</v>
      </c>
      <c r="AG218" s="562"/>
      <c r="AH218" s="577">
        <v>0.7</v>
      </c>
      <c r="AI218" s="577" t="s">
        <v>802</v>
      </c>
      <c r="AJ218" s="577">
        <v>0</v>
      </c>
      <c r="AK218" s="577">
        <v>1</v>
      </c>
      <c r="AL218" s="577">
        <v>1</v>
      </c>
      <c r="AM218" s="577"/>
      <c r="AN218" s="562">
        <v>2.25</v>
      </c>
      <c r="AO218" s="562">
        <f t="shared" si="42"/>
        <v>4.5</v>
      </c>
      <c r="AP218" s="598">
        <v>0.140625</v>
      </c>
      <c r="AQ218" s="599">
        <v>4.1550000000000002</v>
      </c>
      <c r="AR218" s="599">
        <f t="shared" si="43"/>
        <v>0.34499999999999975</v>
      </c>
      <c r="AS218" s="600"/>
      <c r="AT218" s="600">
        <v>1</v>
      </c>
      <c r="AU218" s="577" t="s">
        <v>778</v>
      </c>
      <c r="AV218" s="577">
        <v>1616</v>
      </c>
      <c r="AW218" s="562"/>
      <c r="AX218" s="562"/>
      <c r="AY218" s="562"/>
      <c r="AZ218" s="562"/>
      <c r="BA218" s="562"/>
      <c r="BB218" s="563"/>
      <c r="BD218" s="576">
        <v>7</v>
      </c>
      <c r="BE218" s="576"/>
      <c r="BF218" s="576"/>
      <c r="BG218" s="576"/>
      <c r="BH218" s="576"/>
      <c r="BI218" s="576">
        <v>1</v>
      </c>
      <c r="BJ218" s="576"/>
      <c r="BK218" s="576"/>
      <c r="BL218" s="576">
        <v>2.4</v>
      </c>
      <c r="BM218" s="576">
        <f t="shared" si="44"/>
        <v>4.8</v>
      </c>
      <c r="BN218" s="662">
        <v>0.140625</v>
      </c>
      <c r="BO218" s="611">
        <v>4.5</v>
      </c>
      <c r="BP218" s="611">
        <f t="shared" si="45"/>
        <v>0.29999999999999982</v>
      </c>
      <c r="BQ218" s="612"/>
      <c r="BR218" s="612">
        <v>1</v>
      </c>
      <c r="BS218" s="576" t="s">
        <v>127</v>
      </c>
      <c r="BT218" s="576"/>
      <c r="BV218" s="627" t="s">
        <v>806</v>
      </c>
      <c r="BW218" s="627">
        <f>COUNT(BP212:BP239)</f>
        <v>28</v>
      </c>
      <c r="BY218" s="585" t="s">
        <v>800</v>
      </c>
      <c r="BZ218" s="585" t="s">
        <v>801</v>
      </c>
      <c r="DD218" s="561"/>
      <c r="DE218" s="577"/>
      <c r="DF218" s="562">
        <v>0.24</v>
      </c>
      <c r="DG218" s="562"/>
      <c r="DH218" s="562"/>
      <c r="DI218" s="562"/>
      <c r="DJ218" s="562"/>
      <c r="DK218" s="562"/>
      <c r="DL218" s="562"/>
      <c r="DM218" s="562"/>
      <c r="DN218" s="562"/>
      <c r="DO218" s="562"/>
      <c r="DP218" s="562"/>
      <c r="DQ218" s="657"/>
      <c r="DR218" s="657"/>
    </row>
    <row r="219" spans="2:122" s="560" customFormat="1">
      <c r="C219" s="560">
        <v>0.5</v>
      </c>
      <c r="N219" s="585" t="s">
        <v>815</v>
      </c>
      <c r="O219" s="585" t="s">
        <v>816</v>
      </c>
      <c r="P219" s="561"/>
      <c r="Q219" s="562"/>
      <c r="R219" s="562">
        <v>0.8</v>
      </c>
      <c r="S219" s="562"/>
      <c r="T219" s="562"/>
      <c r="U219" s="562"/>
      <c r="V219" s="562"/>
      <c r="W219" s="562"/>
      <c r="X219" s="629"/>
      <c r="Y219" s="562"/>
      <c r="Z219" s="562"/>
      <c r="AA219" s="562"/>
      <c r="AB219" s="562"/>
      <c r="AC219" s="607" t="s">
        <v>780</v>
      </c>
      <c r="AD219" s="608" t="s">
        <v>616</v>
      </c>
      <c r="AE219" s="561"/>
      <c r="AF219" s="568">
        <v>30</v>
      </c>
      <c r="AG219" s="562"/>
      <c r="AH219" s="577"/>
      <c r="AI219" s="577"/>
      <c r="AJ219" s="577"/>
      <c r="AK219" s="577">
        <v>1</v>
      </c>
      <c r="AL219" s="577"/>
      <c r="AM219" s="577"/>
      <c r="AN219" s="562">
        <v>2</v>
      </c>
      <c r="AO219" s="562">
        <f t="shared" si="42"/>
        <v>4</v>
      </c>
      <c r="AP219" s="598">
        <v>0.140625</v>
      </c>
      <c r="AQ219" s="599">
        <v>4.1500000000000004</v>
      </c>
      <c r="AR219" s="599">
        <f t="shared" si="43"/>
        <v>-0.15000000000000036</v>
      </c>
      <c r="AS219" s="600"/>
      <c r="AT219" s="600">
        <v>1</v>
      </c>
      <c r="AU219" s="577" t="s">
        <v>778</v>
      </c>
      <c r="AV219" s="562"/>
      <c r="AW219" s="562"/>
      <c r="AX219" s="562"/>
      <c r="AY219" s="562"/>
      <c r="AZ219" s="562"/>
      <c r="BA219" s="562"/>
      <c r="BB219" s="563"/>
      <c r="BD219" s="576">
        <v>8</v>
      </c>
      <c r="BE219" s="576"/>
      <c r="BF219" s="576"/>
      <c r="BG219" s="576"/>
      <c r="BH219" s="576"/>
      <c r="BI219" s="576">
        <v>1</v>
      </c>
      <c r="BJ219" s="576"/>
      <c r="BK219" s="576"/>
      <c r="BL219" s="576">
        <v>2.4</v>
      </c>
      <c r="BM219" s="576">
        <f t="shared" si="44"/>
        <v>4.8</v>
      </c>
      <c r="BN219" s="662">
        <v>0.140625</v>
      </c>
      <c r="BO219" s="611">
        <v>4.5</v>
      </c>
      <c r="BP219" s="611">
        <f t="shared" si="45"/>
        <v>0.29999999999999982</v>
      </c>
      <c r="BQ219" s="612"/>
      <c r="BR219" s="612">
        <v>1</v>
      </c>
      <c r="BS219" s="576" t="s">
        <v>127</v>
      </c>
      <c r="BT219" s="622"/>
      <c r="BV219" s="627" t="s">
        <v>812</v>
      </c>
      <c r="BW219" s="628">
        <f>SUM(BP212:BP237,BP239)</f>
        <v>6.8999999999999941</v>
      </c>
      <c r="BY219" s="585" t="s">
        <v>804</v>
      </c>
      <c r="BZ219" s="585" t="s">
        <v>805</v>
      </c>
      <c r="DD219" s="561"/>
      <c r="DE219" s="577"/>
      <c r="DF219" s="562">
        <v>0.3</v>
      </c>
      <c r="DG219" s="562"/>
      <c r="DH219" s="562"/>
      <c r="DI219" s="562"/>
      <c r="DJ219" s="562"/>
      <c r="DK219" s="562"/>
      <c r="DL219" s="562"/>
      <c r="DM219" s="562"/>
      <c r="DN219" s="562"/>
      <c r="DO219" s="562"/>
      <c r="DP219" s="562"/>
      <c r="DQ219" s="657"/>
      <c r="DR219" s="657"/>
    </row>
    <row r="220" spans="2:122" s="560" customFormat="1">
      <c r="C220" s="560">
        <v>0.47</v>
      </c>
      <c r="P220" s="561"/>
      <c r="Q220" s="562"/>
      <c r="R220" s="562">
        <v>0.8</v>
      </c>
      <c r="S220" s="562"/>
      <c r="T220" s="562"/>
      <c r="U220" s="562"/>
      <c r="V220" s="562"/>
      <c r="W220" s="562"/>
      <c r="X220" s="629"/>
      <c r="Y220" s="562"/>
      <c r="Z220" s="562"/>
      <c r="AA220" s="562"/>
      <c r="AB220" s="562"/>
      <c r="AC220" s="607" t="s">
        <v>785</v>
      </c>
      <c r="AD220" s="608" t="s">
        <v>542</v>
      </c>
      <c r="AE220" s="561"/>
      <c r="AF220" s="562"/>
      <c r="AG220" s="562"/>
      <c r="AH220" s="562"/>
      <c r="AI220" s="577"/>
      <c r="AJ220" s="632">
        <f>SUM(AJ189:AJ219)</f>
        <v>0</v>
      </c>
      <c r="AK220" s="632">
        <f>SUM(AK189:AK219)</f>
        <v>30</v>
      </c>
      <c r="AL220" s="633">
        <f>SUM(AL189:AL219)</f>
        <v>1</v>
      </c>
      <c r="AM220" s="634">
        <f>SUM(AM189:AM219)</f>
        <v>4</v>
      </c>
      <c r="AN220" s="562"/>
      <c r="AO220" s="635">
        <f>SUM(AO189:AO219)</f>
        <v>133.5</v>
      </c>
      <c r="AP220" s="606"/>
      <c r="AQ220" s="636">
        <f>SUM(AQ189:AQ219)</f>
        <v>126.74500000000002</v>
      </c>
      <c r="AR220" s="636">
        <f>SUM(AR189:AR191,AR193:AR219)</f>
        <v>10.439999999999996</v>
      </c>
      <c r="AS220" s="600"/>
      <c r="AT220" s="637">
        <f>SUM(AT189:AT219)</f>
        <v>30</v>
      </c>
      <c r="AU220" s="577"/>
      <c r="AV220" s="577"/>
      <c r="AW220" s="562"/>
      <c r="AX220" s="562"/>
      <c r="AY220" s="562"/>
      <c r="AZ220" s="562"/>
      <c r="BA220" s="562"/>
      <c r="BB220" s="563"/>
      <c r="BD220" s="576">
        <v>9</v>
      </c>
      <c r="BE220" s="576"/>
      <c r="BF220" s="576"/>
      <c r="BG220" s="576"/>
      <c r="BH220" s="576"/>
      <c r="BI220" s="576">
        <v>1</v>
      </c>
      <c r="BJ220" s="576"/>
      <c r="BK220" s="576"/>
      <c r="BL220" s="576">
        <v>2.5</v>
      </c>
      <c r="BM220" s="576">
        <f t="shared" si="44"/>
        <v>5</v>
      </c>
      <c r="BN220" s="662">
        <v>0.140625</v>
      </c>
      <c r="BO220" s="611">
        <v>4.5</v>
      </c>
      <c r="BP220" s="611">
        <f t="shared" si="45"/>
        <v>0.5</v>
      </c>
      <c r="BQ220" s="612"/>
      <c r="BR220" s="612">
        <v>1</v>
      </c>
      <c r="BS220" s="576" t="s">
        <v>127</v>
      </c>
      <c r="BT220" s="622"/>
      <c r="BV220" s="627" t="s">
        <v>811</v>
      </c>
      <c r="BW220" s="628">
        <f>MAX(BP212:BP237,BP239)</f>
        <v>0.5</v>
      </c>
      <c r="BY220" s="585" t="s">
        <v>807</v>
      </c>
      <c r="BZ220" s="585" t="s">
        <v>808</v>
      </c>
      <c r="DD220" s="561"/>
      <c r="DE220" s="577" t="s">
        <v>992</v>
      </c>
      <c r="DF220" s="562">
        <v>0.5</v>
      </c>
      <c r="DG220" s="562"/>
      <c r="DH220" s="562"/>
      <c r="DI220" s="562"/>
      <c r="DJ220" s="562"/>
      <c r="DK220" s="562"/>
      <c r="DL220" s="562"/>
      <c r="DM220" s="562"/>
      <c r="DN220" s="562"/>
      <c r="DO220" s="562"/>
      <c r="DP220" s="562"/>
      <c r="DQ220" s="657"/>
      <c r="DR220" s="657"/>
    </row>
    <row r="221" spans="2:122" s="560" customFormat="1">
      <c r="C221" s="560">
        <v>0.45</v>
      </c>
      <c r="P221" s="561"/>
      <c r="Q221" s="562"/>
      <c r="R221" s="562">
        <v>0.55000000000000004</v>
      </c>
      <c r="S221" s="562"/>
      <c r="T221" s="562"/>
      <c r="U221" s="562"/>
      <c r="V221" s="562"/>
      <c r="W221" s="562"/>
      <c r="X221" s="629"/>
      <c r="Y221" s="562"/>
      <c r="Z221" s="562"/>
      <c r="AA221" s="562"/>
      <c r="AB221" s="562"/>
      <c r="AC221" s="607" t="s">
        <v>789</v>
      </c>
      <c r="AD221" s="608" t="s">
        <v>790</v>
      </c>
      <c r="AE221" s="567">
        <v>41131</v>
      </c>
      <c r="AF221" s="568" t="s">
        <v>725</v>
      </c>
      <c r="AG221" s="568"/>
      <c r="AH221" s="568" t="s">
        <v>726</v>
      </c>
      <c r="AI221" s="569" t="s">
        <v>727</v>
      </c>
      <c r="AJ221" s="569"/>
      <c r="AK221" s="569"/>
      <c r="AL221" s="569"/>
      <c r="AM221" s="569"/>
      <c r="AN221" s="569" t="s">
        <v>728</v>
      </c>
      <c r="AO221" s="569"/>
      <c r="AP221" s="569" t="s">
        <v>729</v>
      </c>
      <c r="AQ221" s="651"/>
      <c r="AR221" s="638">
        <f>+AR220/AO220</f>
        <v>7.8202247191011209E-2</v>
      </c>
      <c r="AS221" s="639"/>
      <c r="AT221" s="639"/>
      <c r="AU221" s="569" t="s">
        <v>730</v>
      </c>
      <c r="AV221" s="569" t="s">
        <v>731</v>
      </c>
      <c r="AW221" s="568"/>
      <c r="AX221" s="562"/>
      <c r="AY221" s="562"/>
      <c r="AZ221" s="562"/>
      <c r="BA221" s="562"/>
      <c r="BB221" s="563"/>
      <c r="BD221" s="576">
        <v>10</v>
      </c>
      <c r="BE221" s="576"/>
      <c r="BF221" s="576"/>
      <c r="BG221" s="576"/>
      <c r="BH221" s="576"/>
      <c r="BI221" s="576">
        <v>1</v>
      </c>
      <c r="BJ221" s="576"/>
      <c r="BK221" s="576"/>
      <c r="BL221" s="576">
        <v>2.2999999999999998</v>
      </c>
      <c r="BM221" s="576">
        <f t="shared" si="44"/>
        <v>4.5999999999999996</v>
      </c>
      <c r="BN221" s="662">
        <v>0.140625</v>
      </c>
      <c r="BO221" s="611">
        <v>4.5</v>
      </c>
      <c r="BP221" s="611">
        <f t="shared" si="45"/>
        <v>9.9999999999999645E-2</v>
      </c>
      <c r="BQ221" s="612"/>
      <c r="BR221" s="612">
        <v>1</v>
      </c>
      <c r="BS221" s="576" t="s">
        <v>127</v>
      </c>
      <c r="BT221" s="576"/>
      <c r="BV221" s="627" t="s">
        <v>814</v>
      </c>
      <c r="BW221" s="628">
        <f>MIN(BP212:BP237,BP239)</f>
        <v>9.9999999999999645E-2</v>
      </c>
      <c r="BY221" s="585" t="s">
        <v>810</v>
      </c>
      <c r="BZ221" s="585" t="s">
        <v>550</v>
      </c>
      <c r="DD221" s="561"/>
      <c r="DE221" s="577"/>
      <c r="DF221" s="562">
        <v>0.8</v>
      </c>
      <c r="DG221" s="562"/>
      <c r="DH221" s="562"/>
      <c r="DI221" s="562"/>
      <c r="DJ221" s="562"/>
      <c r="DK221" s="562"/>
      <c r="DL221" s="562"/>
      <c r="DM221" s="562"/>
      <c r="DN221" s="562"/>
      <c r="DO221" s="562"/>
      <c r="DP221" s="562"/>
      <c r="DQ221" s="657"/>
      <c r="DR221" s="657"/>
    </row>
    <row r="222" spans="2:122" s="560" customFormat="1">
      <c r="C222" s="560">
        <v>0.45</v>
      </c>
      <c r="P222" s="561"/>
      <c r="Q222" s="562"/>
      <c r="R222" s="562">
        <v>0.45</v>
      </c>
      <c r="S222" s="562"/>
      <c r="T222" s="562"/>
      <c r="U222" s="562"/>
      <c r="V222" s="562"/>
      <c r="W222" s="562"/>
      <c r="X222" s="629"/>
      <c r="Y222" s="562"/>
      <c r="Z222" s="562"/>
      <c r="AA222" s="562"/>
      <c r="AB222" s="562"/>
      <c r="AC222" s="607" t="s">
        <v>791</v>
      </c>
      <c r="AD222" s="608" t="s">
        <v>792</v>
      </c>
      <c r="AE222" s="561"/>
      <c r="AF222" s="568"/>
      <c r="AG222" s="568"/>
      <c r="AH222" s="568"/>
      <c r="AI222" s="577" t="s">
        <v>993</v>
      </c>
      <c r="AJ222" s="577"/>
      <c r="AK222" s="577"/>
      <c r="AL222" s="577"/>
      <c r="AM222" s="577"/>
      <c r="AN222" s="577" t="s">
        <v>994</v>
      </c>
      <c r="AO222" s="577"/>
      <c r="AP222" s="577">
        <v>59</v>
      </c>
      <c r="AQ222" s="599"/>
      <c r="AR222" s="599"/>
      <c r="AS222" s="600"/>
      <c r="AT222" s="600"/>
      <c r="AU222" s="577">
        <v>55</v>
      </c>
      <c r="AV222" s="577"/>
      <c r="AW222" s="568"/>
      <c r="AX222" s="562"/>
      <c r="AY222" s="562"/>
      <c r="AZ222" s="562"/>
      <c r="BA222" s="562"/>
      <c r="BB222" s="563"/>
      <c r="BD222" s="576">
        <v>11</v>
      </c>
      <c r="BE222" s="576"/>
      <c r="BF222" s="576"/>
      <c r="BG222" s="576"/>
      <c r="BH222" s="576"/>
      <c r="BI222" s="576">
        <v>1</v>
      </c>
      <c r="BJ222" s="576"/>
      <c r="BK222" s="576"/>
      <c r="BL222" s="576">
        <v>2.2999999999999998</v>
      </c>
      <c r="BM222" s="576">
        <f t="shared" si="44"/>
        <v>4.5999999999999996</v>
      </c>
      <c r="BN222" s="662">
        <v>0.140625</v>
      </c>
      <c r="BO222" s="611">
        <v>4.5</v>
      </c>
      <c r="BP222" s="611">
        <f t="shared" si="45"/>
        <v>9.9999999999999645E-2</v>
      </c>
      <c r="BQ222" s="612"/>
      <c r="BR222" s="612">
        <v>1</v>
      </c>
      <c r="BS222" s="576" t="s">
        <v>127</v>
      </c>
      <c r="BT222" s="576"/>
      <c r="BV222" s="627" t="s">
        <v>817</v>
      </c>
      <c r="BW222" s="628">
        <f>AVERAGE(BP212:BP237,BP239)</f>
        <v>0.25555555555555531</v>
      </c>
      <c r="BY222" s="585" t="s">
        <v>813</v>
      </c>
      <c r="BZ222" s="585" t="s">
        <v>552</v>
      </c>
      <c r="DD222" s="561"/>
      <c r="DE222" s="577"/>
      <c r="DF222" s="562">
        <v>0.8</v>
      </c>
      <c r="DG222" s="562"/>
      <c r="DH222" s="562"/>
      <c r="DI222" s="562"/>
      <c r="DJ222" s="562"/>
      <c r="DK222" s="562"/>
      <c r="DL222" s="562"/>
      <c r="DM222" s="562"/>
      <c r="DN222" s="562"/>
      <c r="DO222" s="562"/>
      <c r="DP222" s="562"/>
      <c r="DQ222" s="657"/>
      <c r="DR222" s="657"/>
    </row>
    <row r="223" spans="2:122" s="560" customFormat="1">
      <c r="C223" s="560">
        <v>0.45</v>
      </c>
      <c r="P223" s="561"/>
      <c r="Q223" s="562"/>
      <c r="R223" s="562">
        <v>0.45</v>
      </c>
      <c r="S223" s="562"/>
      <c r="T223" s="562"/>
      <c r="U223" s="562"/>
      <c r="V223" s="562"/>
      <c r="W223" s="562"/>
      <c r="X223" s="562"/>
      <c r="Y223" s="562"/>
      <c r="Z223" s="562"/>
      <c r="AA223" s="562"/>
      <c r="AB223" s="562"/>
      <c r="AC223" s="607" t="s">
        <v>794</v>
      </c>
      <c r="AD223" s="608" t="s">
        <v>795</v>
      </c>
      <c r="AE223" s="561" t="s">
        <v>521</v>
      </c>
      <c r="AF223" s="583" t="s">
        <v>995</v>
      </c>
      <c r="AG223" s="578"/>
      <c r="AH223" s="569"/>
      <c r="AI223" s="568"/>
      <c r="AJ223" s="568"/>
      <c r="AK223" s="568"/>
      <c r="AL223" s="568"/>
      <c r="AM223" s="568"/>
      <c r="AN223" s="568"/>
      <c r="AO223" s="568"/>
      <c r="AP223" s="569"/>
      <c r="AQ223" s="583" t="s">
        <v>996</v>
      </c>
      <c r="AR223" s="651"/>
      <c r="AS223" s="639"/>
      <c r="AT223" s="639"/>
      <c r="AU223" s="569"/>
      <c r="AV223" s="577"/>
      <c r="AW223" s="569"/>
      <c r="AX223" s="562"/>
      <c r="AY223" s="562"/>
      <c r="AZ223" s="562"/>
      <c r="BA223" s="562"/>
      <c r="BB223" s="563"/>
      <c r="BD223" s="576">
        <v>12</v>
      </c>
      <c r="BE223" s="576"/>
      <c r="BF223" s="576"/>
      <c r="BG223" s="576"/>
      <c r="BH223" s="576"/>
      <c r="BI223" s="576">
        <v>1</v>
      </c>
      <c r="BJ223" s="576"/>
      <c r="BK223" s="576"/>
      <c r="BL223" s="576">
        <v>2.2999999999999998</v>
      </c>
      <c r="BM223" s="576">
        <f t="shared" si="44"/>
        <v>4.5999999999999996</v>
      </c>
      <c r="BN223" s="662">
        <v>0.140625</v>
      </c>
      <c r="BO223" s="611">
        <v>4.5</v>
      </c>
      <c r="BP223" s="611">
        <f t="shared" si="45"/>
        <v>9.9999999999999645E-2</v>
      </c>
      <c r="BQ223" s="612"/>
      <c r="BR223" s="612">
        <v>1</v>
      </c>
      <c r="BS223" s="576" t="s">
        <v>127</v>
      </c>
      <c r="BT223" s="576"/>
      <c r="BV223" s="627" t="s">
        <v>818</v>
      </c>
      <c r="BW223" s="628" t="e">
        <f ca="1">_xlfn.STDEV.S(BP212:BP237,BP239)</f>
        <v>#NAME?</v>
      </c>
      <c r="BY223" s="585" t="s">
        <v>815</v>
      </c>
      <c r="BZ223" s="585" t="s">
        <v>816</v>
      </c>
      <c r="DD223" s="561"/>
      <c r="DE223" s="577"/>
      <c r="DF223" s="562">
        <v>0.4</v>
      </c>
      <c r="DG223" s="562"/>
      <c r="DH223" s="562"/>
      <c r="DI223" s="562"/>
      <c r="DJ223" s="562"/>
      <c r="DK223" s="562"/>
      <c r="DL223" s="562"/>
      <c r="DM223" s="562"/>
      <c r="DN223" s="562"/>
      <c r="DO223" s="562"/>
      <c r="DP223" s="562"/>
      <c r="DQ223" s="657"/>
      <c r="DR223" s="657"/>
    </row>
    <row r="224" spans="2:122" s="560" customFormat="1">
      <c r="B224" s="560" t="s">
        <v>821</v>
      </c>
      <c r="P224" s="561"/>
      <c r="Q224" s="562"/>
      <c r="R224" s="562">
        <v>0.46</v>
      </c>
      <c r="S224" s="562"/>
      <c r="T224" s="562"/>
      <c r="U224" s="562"/>
      <c r="V224" s="562"/>
      <c r="W224" s="562"/>
      <c r="X224" s="562"/>
      <c r="Y224" s="562"/>
      <c r="Z224" s="562"/>
      <c r="AA224" s="562"/>
      <c r="AB224" s="562"/>
      <c r="AC224" s="607" t="s">
        <v>798</v>
      </c>
      <c r="AD224" s="608" t="s">
        <v>546</v>
      </c>
      <c r="AE224" s="587"/>
      <c r="AF224" s="588" t="s">
        <v>755</v>
      </c>
      <c r="AG224" s="588" t="s">
        <v>756</v>
      </c>
      <c r="AH224" s="590" t="s">
        <v>757</v>
      </c>
      <c r="AI224" s="590" t="s">
        <v>758</v>
      </c>
      <c r="AJ224" s="590" t="s">
        <v>765</v>
      </c>
      <c r="AK224" s="590" t="s">
        <v>766</v>
      </c>
      <c r="AL224" s="591" t="s">
        <v>767</v>
      </c>
      <c r="AM224" s="592" t="s">
        <v>768</v>
      </c>
      <c r="AN224" s="588" t="s">
        <v>759</v>
      </c>
      <c r="AO224" s="593" t="s">
        <v>769</v>
      </c>
      <c r="AP224" s="588" t="s">
        <v>760</v>
      </c>
      <c r="AQ224" s="663" t="s">
        <v>770</v>
      </c>
      <c r="AR224" s="663" t="s">
        <v>771</v>
      </c>
      <c r="AS224" s="595" t="s">
        <v>772</v>
      </c>
      <c r="AT224" s="595" t="s">
        <v>773</v>
      </c>
      <c r="AU224" s="588" t="s">
        <v>761</v>
      </c>
      <c r="AV224" s="588" t="s">
        <v>762</v>
      </c>
      <c r="AW224" s="588" t="s">
        <v>763</v>
      </c>
      <c r="AX224" s="562"/>
      <c r="AY224" s="562"/>
      <c r="AZ224" s="562"/>
      <c r="BA224" s="588" t="s">
        <v>764</v>
      </c>
      <c r="BB224" s="589"/>
      <c r="BD224" s="576">
        <v>13</v>
      </c>
      <c r="BI224" s="576">
        <v>1</v>
      </c>
      <c r="BJ224" s="576"/>
      <c r="BK224" s="576"/>
      <c r="BL224" s="576">
        <v>2.2999999999999998</v>
      </c>
      <c r="BM224" s="576">
        <f t="shared" si="44"/>
        <v>4.5999999999999996</v>
      </c>
      <c r="BN224" s="662">
        <v>0.140625</v>
      </c>
      <c r="BO224" s="611">
        <v>4.5</v>
      </c>
      <c r="BP224" s="611">
        <f t="shared" si="45"/>
        <v>9.9999999999999645E-2</v>
      </c>
      <c r="BQ224" s="612"/>
      <c r="BR224" s="612">
        <v>1</v>
      </c>
      <c r="BS224" s="576" t="s">
        <v>127</v>
      </c>
      <c r="DD224" s="561"/>
      <c r="DE224" s="577"/>
      <c r="DF224" s="562">
        <v>0.2</v>
      </c>
      <c r="DG224" s="562"/>
      <c r="DH224" s="562"/>
      <c r="DI224" s="562"/>
      <c r="DJ224" s="562"/>
      <c r="DK224" s="562"/>
      <c r="DL224" s="562"/>
      <c r="DM224" s="562"/>
      <c r="DN224" s="562"/>
      <c r="DO224" s="562"/>
      <c r="DP224" s="562"/>
      <c r="DQ224" s="657"/>
      <c r="DR224" s="657"/>
    </row>
    <row r="225" spans="2:125" s="560" customFormat="1">
      <c r="C225" s="560">
        <v>0.45</v>
      </c>
      <c r="P225" s="561"/>
      <c r="Q225" s="562"/>
      <c r="R225" s="562">
        <v>0.48</v>
      </c>
      <c r="S225" s="562"/>
      <c r="T225" s="562"/>
      <c r="U225" s="562"/>
      <c r="V225" s="562"/>
      <c r="W225" s="562"/>
      <c r="X225" s="562"/>
      <c r="Y225" s="562"/>
      <c r="Z225" s="562"/>
      <c r="AA225" s="562"/>
      <c r="AB225" s="562"/>
      <c r="AC225" s="607" t="s">
        <v>800</v>
      </c>
      <c r="AD225" s="608" t="s">
        <v>801</v>
      </c>
      <c r="AE225" s="561"/>
      <c r="AF225" s="568">
        <v>0.1</v>
      </c>
      <c r="AG225" s="562"/>
      <c r="AH225" s="577">
        <v>0.5</v>
      </c>
      <c r="AI225" s="577" t="s">
        <v>793</v>
      </c>
      <c r="AJ225" s="577"/>
      <c r="AK225" s="577"/>
      <c r="AL225" s="577"/>
      <c r="AM225" s="577">
        <v>1</v>
      </c>
      <c r="AN225" s="562"/>
      <c r="AO225" s="562"/>
      <c r="AP225" s="598"/>
      <c r="AQ225" s="599"/>
      <c r="AR225" s="599"/>
      <c r="AS225" s="600"/>
      <c r="AT225" s="600"/>
      <c r="AU225" s="577"/>
      <c r="AV225" s="584">
        <v>1771</v>
      </c>
      <c r="AW225" s="562"/>
      <c r="AX225" s="562"/>
      <c r="AY225" s="562"/>
      <c r="AZ225" s="562"/>
      <c r="BA225" s="577"/>
      <c r="BB225" s="589"/>
      <c r="BD225" s="576">
        <v>14</v>
      </c>
      <c r="BI225" s="576">
        <v>1</v>
      </c>
      <c r="BJ225" s="576"/>
      <c r="BK225" s="576"/>
      <c r="BL225" s="576">
        <v>2.4</v>
      </c>
      <c r="BM225" s="576">
        <f t="shared" si="44"/>
        <v>4.8</v>
      </c>
      <c r="BN225" s="662">
        <v>0.140625</v>
      </c>
      <c r="BO225" s="611">
        <v>4.5</v>
      </c>
      <c r="BP225" s="611">
        <f t="shared" si="45"/>
        <v>0.29999999999999982</v>
      </c>
      <c r="BQ225" s="612"/>
      <c r="BR225" s="612">
        <v>1</v>
      </c>
      <c r="BS225" s="576" t="s">
        <v>127</v>
      </c>
      <c r="BV225" s="627" t="s">
        <v>997</v>
      </c>
      <c r="DD225" s="561"/>
      <c r="DE225" s="577"/>
      <c r="DF225" s="562"/>
      <c r="DG225" s="562"/>
      <c r="DH225" s="562"/>
      <c r="DI225" s="562"/>
      <c r="DJ225" s="562"/>
      <c r="DK225" s="634"/>
      <c r="DL225" s="562"/>
      <c r="DM225" s="562"/>
      <c r="DN225" s="562"/>
      <c r="DO225" s="562"/>
      <c r="DP225" s="562"/>
      <c r="DQ225" s="657"/>
      <c r="DR225" s="657"/>
      <c r="DS225" s="562"/>
      <c r="DT225" s="562"/>
      <c r="DU225" s="562"/>
    </row>
    <row r="226" spans="2:125" s="560" customFormat="1">
      <c r="C226" s="560">
        <v>0.47</v>
      </c>
      <c r="P226" s="561"/>
      <c r="Q226" s="562"/>
      <c r="R226" s="562">
        <v>0.55000000000000004</v>
      </c>
      <c r="S226" s="562"/>
      <c r="T226" s="562"/>
      <c r="U226" s="562"/>
      <c r="V226" s="562"/>
      <c r="W226" s="562"/>
      <c r="X226" s="562"/>
      <c r="Y226" s="562"/>
      <c r="Z226" s="562"/>
      <c r="AA226" s="562"/>
      <c r="AB226" s="562"/>
      <c r="AC226" s="607" t="s">
        <v>804</v>
      </c>
      <c r="AD226" s="608" t="s">
        <v>805</v>
      </c>
      <c r="AE226" s="561"/>
      <c r="AF226" s="568">
        <v>0.5</v>
      </c>
      <c r="AG226" s="562"/>
      <c r="AH226" s="577">
        <v>0.65</v>
      </c>
      <c r="AI226" s="577" t="s">
        <v>793</v>
      </c>
      <c r="AJ226" s="577"/>
      <c r="AK226" s="577"/>
      <c r="AL226" s="577"/>
      <c r="AM226" s="577">
        <v>1</v>
      </c>
      <c r="AN226" s="562"/>
      <c r="AO226" s="562"/>
      <c r="AP226" s="598"/>
      <c r="AQ226" s="599"/>
      <c r="AR226" s="599"/>
      <c r="AS226" s="600"/>
      <c r="AT226" s="600"/>
      <c r="AU226" s="577"/>
      <c r="AV226" s="609">
        <v>1770</v>
      </c>
      <c r="AW226" s="562"/>
      <c r="AX226" s="562"/>
      <c r="AY226" s="562"/>
      <c r="AZ226" s="562"/>
      <c r="BA226" s="607" t="s">
        <v>780</v>
      </c>
      <c r="BB226" s="608" t="s">
        <v>616</v>
      </c>
      <c r="BD226" s="576">
        <v>15</v>
      </c>
      <c r="BI226" s="576">
        <v>1</v>
      </c>
      <c r="BJ226" s="576"/>
      <c r="BK226" s="576"/>
      <c r="BL226" s="576">
        <v>2.2999999999999998</v>
      </c>
      <c r="BM226" s="576">
        <f t="shared" si="44"/>
        <v>4.5999999999999996</v>
      </c>
      <c r="BN226" s="662">
        <v>0.140625</v>
      </c>
      <c r="BO226" s="611">
        <v>4.5</v>
      </c>
      <c r="BP226" s="611">
        <f t="shared" si="45"/>
        <v>9.9999999999999645E-2</v>
      </c>
      <c r="BQ226" s="612"/>
      <c r="BR226" s="612">
        <v>1</v>
      </c>
      <c r="BS226" s="576" t="s">
        <v>127</v>
      </c>
      <c r="DD226" s="567">
        <v>41192</v>
      </c>
      <c r="DE226" s="568" t="s">
        <v>725</v>
      </c>
      <c r="DF226" s="568"/>
      <c r="DG226" s="562" t="s">
        <v>832</v>
      </c>
      <c r="DH226" s="569" t="s">
        <v>727</v>
      </c>
      <c r="DI226" s="569"/>
      <c r="DJ226" s="569"/>
      <c r="DK226" s="569"/>
      <c r="DL226" s="569" t="s">
        <v>728</v>
      </c>
      <c r="DM226" s="569"/>
      <c r="DN226" s="569" t="s">
        <v>729</v>
      </c>
      <c r="DO226" s="569"/>
      <c r="DP226" s="569"/>
      <c r="DQ226" s="639"/>
      <c r="DR226" s="639"/>
      <c r="DS226" s="569" t="s">
        <v>730</v>
      </c>
      <c r="DT226" s="569" t="s">
        <v>731</v>
      </c>
      <c r="DU226" s="568"/>
    </row>
    <row r="227" spans="2:125" s="560" customFormat="1">
      <c r="C227" s="560">
        <v>0.45</v>
      </c>
      <c r="P227" s="561"/>
      <c r="Q227" s="562"/>
      <c r="R227" s="562">
        <v>0.36</v>
      </c>
      <c r="S227" s="562"/>
      <c r="T227" s="562"/>
      <c r="U227" s="562"/>
      <c r="V227" s="562"/>
      <c r="W227" s="562"/>
      <c r="X227" s="562"/>
      <c r="Y227" s="562"/>
      <c r="Z227" s="562"/>
      <c r="AA227" s="562"/>
      <c r="AB227" s="562"/>
      <c r="AC227" s="607" t="s">
        <v>807</v>
      </c>
      <c r="AD227" s="608" t="s">
        <v>808</v>
      </c>
      <c r="AE227" s="561"/>
      <c r="AF227" s="568">
        <v>1</v>
      </c>
      <c r="AG227" s="562"/>
      <c r="AH227" s="577">
        <v>0.9</v>
      </c>
      <c r="AI227" s="577" t="s">
        <v>793</v>
      </c>
      <c r="AJ227" s="577"/>
      <c r="AK227" s="577">
        <v>1</v>
      </c>
      <c r="AL227" s="577"/>
      <c r="AM227" s="577">
        <v>1</v>
      </c>
      <c r="AN227" s="562">
        <v>1.5</v>
      </c>
      <c r="AO227" s="562">
        <f t="shared" ref="AO227:AO258" si="46">AN227+AN227</f>
        <v>3</v>
      </c>
      <c r="AP227" s="598">
        <v>0.140625</v>
      </c>
      <c r="AQ227" s="599">
        <v>4.49</v>
      </c>
      <c r="AR227" s="599">
        <f t="shared" ref="AR227:AR258" si="47">AO227-AQ227</f>
        <v>-1.4900000000000002</v>
      </c>
      <c r="AS227" s="600"/>
      <c r="AT227" s="600">
        <v>1</v>
      </c>
      <c r="AU227" s="577" t="s">
        <v>778</v>
      </c>
      <c r="AV227" s="584">
        <v>1769</v>
      </c>
      <c r="AW227" s="562"/>
      <c r="AX227" s="562"/>
      <c r="AY227" s="562"/>
      <c r="AZ227" s="562"/>
      <c r="BA227" s="607" t="s">
        <v>785</v>
      </c>
      <c r="BB227" s="608" t="s">
        <v>542</v>
      </c>
      <c r="BD227" s="576">
        <v>16</v>
      </c>
      <c r="BI227" s="576">
        <v>1</v>
      </c>
      <c r="BJ227" s="576"/>
      <c r="BK227" s="576"/>
      <c r="BL227" s="576">
        <v>2.2999999999999998</v>
      </c>
      <c r="BM227" s="576">
        <f t="shared" si="44"/>
        <v>4.5999999999999996</v>
      </c>
      <c r="BN227" s="662">
        <v>0.140625</v>
      </c>
      <c r="BO227" s="611">
        <v>4.5</v>
      </c>
      <c r="BP227" s="611">
        <f t="shared" si="45"/>
        <v>9.9999999999999645E-2</v>
      </c>
      <c r="BQ227" s="612"/>
      <c r="BR227" s="612">
        <v>1</v>
      </c>
      <c r="BS227" s="576" t="s">
        <v>127</v>
      </c>
      <c r="DD227" s="561"/>
      <c r="DE227" s="568"/>
      <c r="DF227" s="568"/>
      <c r="DG227" s="568"/>
      <c r="DH227" s="577" t="s">
        <v>998</v>
      </c>
      <c r="DI227" s="577"/>
      <c r="DJ227" s="577"/>
      <c r="DK227" s="577"/>
      <c r="DL227" s="577" t="s">
        <v>999</v>
      </c>
      <c r="DM227" s="577"/>
      <c r="DN227" s="577">
        <v>49</v>
      </c>
      <c r="DO227" s="577"/>
      <c r="DP227" s="577"/>
      <c r="DQ227" s="600"/>
      <c r="DR227" s="600"/>
      <c r="DS227" s="577">
        <v>58</v>
      </c>
      <c r="DT227" s="677" t="s">
        <v>1000</v>
      </c>
      <c r="DU227" s="568"/>
    </row>
    <row r="228" spans="2:125" s="560" customFormat="1">
      <c r="C228" s="560">
        <v>0.47</v>
      </c>
      <c r="P228" s="561"/>
      <c r="Q228" s="562"/>
      <c r="R228" s="562">
        <v>0.5</v>
      </c>
      <c r="S228" s="562"/>
      <c r="T228" s="562"/>
      <c r="U228" s="562"/>
      <c r="V228" s="562"/>
      <c r="W228" s="562"/>
      <c r="X228" s="562"/>
      <c r="Y228" s="562"/>
      <c r="Z228" s="562"/>
      <c r="AA228" s="562"/>
      <c r="AB228" s="562"/>
      <c r="AC228" s="607" t="s">
        <v>810</v>
      </c>
      <c r="AD228" s="608" t="s">
        <v>550</v>
      </c>
      <c r="AE228" s="561"/>
      <c r="AF228" s="568">
        <v>2</v>
      </c>
      <c r="AG228" s="562"/>
      <c r="AH228" s="577">
        <v>0.25</v>
      </c>
      <c r="AI228" s="577" t="s">
        <v>793</v>
      </c>
      <c r="AJ228" s="577"/>
      <c r="AK228" s="577">
        <v>1</v>
      </c>
      <c r="AL228" s="577"/>
      <c r="AM228" s="577">
        <v>1</v>
      </c>
      <c r="AN228" s="562">
        <v>2.65</v>
      </c>
      <c r="AO228" s="562">
        <f t="shared" si="46"/>
        <v>5.3</v>
      </c>
      <c r="AP228" s="598">
        <v>0.140625</v>
      </c>
      <c r="AQ228" s="599">
        <v>4.4836666666666662</v>
      </c>
      <c r="AR228" s="599">
        <f t="shared" si="47"/>
        <v>0.81633333333333358</v>
      </c>
      <c r="AS228" s="600"/>
      <c r="AT228" s="600">
        <v>1</v>
      </c>
      <c r="AU228" s="577" t="s">
        <v>778</v>
      </c>
      <c r="AV228" s="584">
        <v>1768</v>
      </c>
      <c r="AW228" s="562"/>
      <c r="AX228" s="562"/>
      <c r="AY228" s="562"/>
      <c r="AZ228" s="562"/>
      <c r="BA228" s="607" t="s">
        <v>789</v>
      </c>
      <c r="BB228" s="608" t="s">
        <v>790</v>
      </c>
      <c r="BD228" s="576">
        <v>17</v>
      </c>
      <c r="BI228" s="576">
        <v>1</v>
      </c>
      <c r="BJ228" s="576"/>
      <c r="BK228" s="576"/>
      <c r="BL228" s="576">
        <v>2.5</v>
      </c>
      <c r="BM228" s="576">
        <f t="shared" si="44"/>
        <v>5</v>
      </c>
      <c r="BN228" s="662">
        <v>0.140625</v>
      </c>
      <c r="BO228" s="611">
        <v>4.5</v>
      </c>
      <c r="BP228" s="611">
        <f t="shared" si="45"/>
        <v>0.5</v>
      </c>
      <c r="BQ228" s="612"/>
      <c r="BR228" s="612">
        <v>1</v>
      </c>
      <c r="BS228" s="576" t="s">
        <v>127</v>
      </c>
      <c r="DD228" s="561"/>
      <c r="DE228" s="583" t="s">
        <v>1001</v>
      </c>
      <c r="DF228" s="578"/>
      <c r="DG228" s="569"/>
      <c r="DH228" s="568"/>
      <c r="DI228" s="568"/>
      <c r="DJ228" s="568"/>
      <c r="DK228" s="568"/>
      <c r="DL228" s="568"/>
      <c r="DM228" s="568"/>
      <c r="DN228" s="569"/>
      <c r="DO228" s="569"/>
      <c r="DP228" s="569"/>
      <c r="DQ228" s="583" t="s">
        <v>1002</v>
      </c>
      <c r="DR228" s="639"/>
      <c r="DS228" s="569"/>
      <c r="DT228" s="577"/>
      <c r="DU228" s="569"/>
    </row>
    <row r="229" spans="2:125" s="560" customFormat="1">
      <c r="C229" s="560">
        <v>0.45</v>
      </c>
      <c r="F229" s="674"/>
      <c r="P229" s="561"/>
      <c r="Q229" s="562"/>
      <c r="R229" s="562">
        <v>0.52</v>
      </c>
      <c r="S229" s="562"/>
      <c r="T229" s="562"/>
      <c r="U229" s="562"/>
      <c r="V229" s="562"/>
      <c r="W229" s="562"/>
      <c r="X229" s="562"/>
      <c r="Y229" s="562"/>
      <c r="Z229" s="562"/>
      <c r="AA229" s="562"/>
      <c r="AB229" s="562"/>
      <c r="AC229" s="607" t="s">
        <v>813</v>
      </c>
      <c r="AD229" s="608" t="s">
        <v>552</v>
      </c>
      <c r="AE229" s="561"/>
      <c r="AF229" s="568">
        <v>3</v>
      </c>
      <c r="AG229" s="562"/>
      <c r="AH229" s="577">
        <v>0.25</v>
      </c>
      <c r="AI229" s="577" t="s">
        <v>793</v>
      </c>
      <c r="AJ229" s="577"/>
      <c r="AK229" s="577">
        <v>1</v>
      </c>
      <c r="AL229" s="577"/>
      <c r="AM229" s="577"/>
      <c r="AN229" s="562">
        <v>2.65</v>
      </c>
      <c r="AO229" s="562">
        <f t="shared" si="46"/>
        <v>5.3</v>
      </c>
      <c r="AP229" s="598">
        <v>0.140625</v>
      </c>
      <c r="AQ229" s="599">
        <v>4.4773333333333332</v>
      </c>
      <c r="AR229" s="599">
        <f t="shared" si="47"/>
        <v>0.82266666666666666</v>
      </c>
      <c r="AS229" s="600"/>
      <c r="AT229" s="600">
        <v>1</v>
      </c>
      <c r="AU229" s="577" t="s">
        <v>778</v>
      </c>
      <c r="AV229" s="584">
        <v>1767</v>
      </c>
      <c r="AW229" s="562"/>
      <c r="AX229" s="562"/>
      <c r="AY229" s="562"/>
      <c r="AZ229" s="562"/>
      <c r="BA229" s="607" t="s">
        <v>791</v>
      </c>
      <c r="BB229" s="608" t="s">
        <v>792</v>
      </c>
      <c r="BD229" s="576">
        <v>18</v>
      </c>
      <c r="BI229" s="576">
        <v>1</v>
      </c>
      <c r="BJ229" s="576"/>
      <c r="BK229" s="576"/>
      <c r="BL229" s="576">
        <v>2.4</v>
      </c>
      <c r="BM229" s="576">
        <f t="shared" si="44"/>
        <v>4.8</v>
      </c>
      <c r="BN229" s="662">
        <v>0.140625</v>
      </c>
      <c r="BO229" s="611">
        <v>4.5</v>
      </c>
      <c r="BP229" s="611">
        <f t="shared" si="45"/>
        <v>0.29999999999999982</v>
      </c>
      <c r="BQ229" s="612"/>
      <c r="BR229" s="612">
        <v>1</v>
      </c>
      <c r="BS229" s="576" t="s">
        <v>127</v>
      </c>
      <c r="DD229" s="587"/>
      <c r="DE229" s="588" t="s">
        <v>755</v>
      </c>
      <c r="DF229" s="588" t="s">
        <v>756</v>
      </c>
      <c r="DG229" s="590" t="s">
        <v>757</v>
      </c>
      <c r="DH229" s="590" t="s">
        <v>758</v>
      </c>
      <c r="DI229" s="590" t="s">
        <v>765</v>
      </c>
      <c r="DJ229" s="590" t="s">
        <v>766</v>
      </c>
      <c r="DK229" s="592" t="s">
        <v>768</v>
      </c>
      <c r="DL229" s="588" t="s">
        <v>759</v>
      </c>
      <c r="DM229" s="588" t="s">
        <v>769</v>
      </c>
      <c r="DN229" s="588" t="s">
        <v>760</v>
      </c>
      <c r="DO229" s="588"/>
      <c r="DP229" s="588"/>
      <c r="DQ229" s="595" t="s">
        <v>772</v>
      </c>
      <c r="DR229" s="595" t="s">
        <v>773</v>
      </c>
      <c r="DS229" s="588" t="s">
        <v>761</v>
      </c>
      <c r="DT229" s="588" t="s">
        <v>762</v>
      </c>
      <c r="DU229" s="588" t="s">
        <v>763</v>
      </c>
    </row>
    <row r="230" spans="2:125" s="560" customFormat="1">
      <c r="C230" s="560">
        <v>0.51</v>
      </c>
      <c r="F230" s="674"/>
      <c r="P230" s="561"/>
      <c r="Q230" s="562"/>
      <c r="R230" s="562">
        <v>0.45</v>
      </c>
      <c r="S230" s="562"/>
      <c r="T230" s="562"/>
      <c r="U230" s="562"/>
      <c r="V230" s="562"/>
      <c r="W230" s="562"/>
      <c r="X230" s="562"/>
      <c r="Y230" s="562"/>
      <c r="Z230" s="562"/>
      <c r="AA230" s="562"/>
      <c r="AB230" s="562"/>
      <c r="AC230" s="607" t="s">
        <v>815</v>
      </c>
      <c r="AD230" s="608" t="s">
        <v>816</v>
      </c>
      <c r="AE230" s="561"/>
      <c r="AF230" s="568">
        <v>4</v>
      </c>
      <c r="AG230" s="562"/>
      <c r="AH230" s="577"/>
      <c r="AI230" s="577"/>
      <c r="AJ230" s="577"/>
      <c r="AK230" s="577">
        <v>1</v>
      </c>
      <c r="AL230" s="577"/>
      <c r="AM230" s="577"/>
      <c r="AN230" s="562">
        <v>2.6</v>
      </c>
      <c r="AO230" s="562">
        <f t="shared" si="46"/>
        <v>5.2</v>
      </c>
      <c r="AP230" s="598">
        <v>0.140625</v>
      </c>
      <c r="AQ230" s="599">
        <v>4.4710000000000001</v>
      </c>
      <c r="AR230" s="599">
        <f t="shared" si="47"/>
        <v>0.72900000000000009</v>
      </c>
      <c r="AS230" s="600"/>
      <c r="AT230" s="600">
        <v>1</v>
      </c>
      <c r="AU230" s="577" t="s">
        <v>778</v>
      </c>
      <c r="AV230" s="577"/>
      <c r="AW230" s="562"/>
      <c r="AX230" s="562"/>
      <c r="AY230" s="562"/>
      <c r="AZ230" s="562"/>
      <c r="BA230" s="607" t="s">
        <v>794</v>
      </c>
      <c r="BB230" s="608" t="s">
        <v>795</v>
      </c>
      <c r="BD230" s="576">
        <v>19</v>
      </c>
      <c r="BI230" s="576">
        <v>1</v>
      </c>
      <c r="BJ230" s="576"/>
      <c r="BK230" s="576"/>
      <c r="BL230" s="576">
        <v>2.4</v>
      </c>
      <c r="BM230" s="576">
        <f t="shared" si="44"/>
        <v>4.8</v>
      </c>
      <c r="BN230" s="662">
        <v>0.140625</v>
      </c>
      <c r="BO230" s="611">
        <v>4.5</v>
      </c>
      <c r="BP230" s="611">
        <f t="shared" si="45"/>
        <v>0.29999999999999982</v>
      </c>
      <c r="BQ230" s="612"/>
      <c r="BR230" s="612">
        <v>1</v>
      </c>
      <c r="BS230" s="576" t="s">
        <v>127</v>
      </c>
      <c r="DD230" s="561"/>
      <c r="DE230" s="577">
        <v>1</v>
      </c>
      <c r="DF230" s="577"/>
      <c r="DG230" s="577"/>
      <c r="DH230" s="577"/>
      <c r="DI230" s="577"/>
      <c r="DJ230" s="577">
        <v>1</v>
      </c>
      <c r="DK230" s="577"/>
      <c r="DL230" s="577">
        <v>2.4500000000000002</v>
      </c>
      <c r="DM230" s="577">
        <f>DL230+DL230</f>
        <v>4.9000000000000004</v>
      </c>
      <c r="DN230" s="577" t="s">
        <v>796</v>
      </c>
      <c r="DO230" s="577"/>
      <c r="DP230" s="577"/>
      <c r="DQ230" s="600"/>
      <c r="DR230" s="600">
        <v>1</v>
      </c>
      <c r="DS230" s="577" t="s">
        <v>888</v>
      </c>
      <c r="DT230" s="584"/>
      <c r="DU230" s="577"/>
    </row>
    <row r="231" spans="2:125" s="560" customFormat="1">
      <c r="C231" s="560">
        <v>0.5</v>
      </c>
      <c r="F231" s="674"/>
      <c r="P231" s="561"/>
      <c r="Q231" s="562"/>
      <c r="R231" s="562">
        <v>0.4</v>
      </c>
      <c r="S231" s="562"/>
      <c r="T231" s="562"/>
      <c r="U231" s="562"/>
      <c r="V231" s="562"/>
      <c r="W231" s="562"/>
      <c r="X231" s="562"/>
      <c r="Y231" s="562"/>
      <c r="Z231" s="562"/>
      <c r="AA231" s="562"/>
      <c r="AB231" s="562"/>
      <c r="AC231" s="562"/>
      <c r="AD231" s="563"/>
      <c r="AE231" s="561"/>
      <c r="AF231" s="568">
        <v>5</v>
      </c>
      <c r="AG231" s="562"/>
      <c r="AH231" s="577"/>
      <c r="AI231" s="577"/>
      <c r="AJ231" s="577"/>
      <c r="AK231" s="577">
        <v>1</v>
      </c>
      <c r="AL231" s="577"/>
      <c r="AM231" s="577"/>
      <c r="AN231" s="562">
        <v>2.65</v>
      </c>
      <c r="AO231" s="562">
        <f t="shared" si="46"/>
        <v>5.3</v>
      </c>
      <c r="AP231" s="598">
        <v>0.140625</v>
      </c>
      <c r="AQ231" s="599">
        <v>4.4646666666666661</v>
      </c>
      <c r="AR231" s="599">
        <f t="shared" si="47"/>
        <v>0.83533333333333371</v>
      </c>
      <c r="AS231" s="600"/>
      <c r="AT231" s="600">
        <v>1</v>
      </c>
      <c r="AU231" s="577" t="s">
        <v>778</v>
      </c>
      <c r="AV231" s="577"/>
      <c r="AW231" s="562"/>
      <c r="AX231" s="562"/>
      <c r="AY231" s="562"/>
      <c r="AZ231" s="562"/>
      <c r="BA231" s="607" t="s">
        <v>798</v>
      </c>
      <c r="BB231" s="608" t="s">
        <v>546</v>
      </c>
      <c r="BD231" s="576">
        <v>20</v>
      </c>
      <c r="BI231" s="576">
        <v>1</v>
      </c>
      <c r="BJ231" s="576"/>
      <c r="BK231" s="576"/>
      <c r="BL231" s="576">
        <v>2.4</v>
      </c>
      <c r="BM231" s="576">
        <f t="shared" si="44"/>
        <v>4.8</v>
      </c>
      <c r="BN231" s="662">
        <v>0.140625</v>
      </c>
      <c r="BO231" s="611">
        <v>4.5</v>
      </c>
      <c r="BP231" s="611">
        <f t="shared" si="45"/>
        <v>0.29999999999999982</v>
      </c>
      <c r="BQ231" s="612"/>
      <c r="BR231" s="612">
        <v>1</v>
      </c>
      <c r="BS231" s="576" t="s">
        <v>127</v>
      </c>
      <c r="DD231" s="561"/>
      <c r="DE231" s="577">
        <v>2</v>
      </c>
      <c r="DF231" s="577"/>
      <c r="DG231" s="577"/>
      <c r="DH231" s="577"/>
      <c r="DI231" s="577"/>
      <c r="DJ231" s="577">
        <v>1</v>
      </c>
      <c r="DK231" s="577"/>
      <c r="DL231" s="577">
        <v>2.1</v>
      </c>
      <c r="DM231" s="577">
        <f>DL231+DL231</f>
        <v>4.2</v>
      </c>
      <c r="DN231" s="577" t="s">
        <v>796</v>
      </c>
      <c r="DO231" s="577"/>
      <c r="DP231" s="577"/>
      <c r="DQ231" s="600"/>
      <c r="DR231" s="600">
        <v>1</v>
      </c>
      <c r="DS231" s="577" t="s">
        <v>888</v>
      </c>
      <c r="DT231" s="609"/>
      <c r="DU231" s="577"/>
    </row>
    <row r="232" spans="2:125" s="560" customFormat="1">
      <c r="C232" s="560">
        <v>0.5</v>
      </c>
      <c r="F232" s="675"/>
      <c r="P232" s="561"/>
      <c r="Q232" s="562"/>
      <c r="R232" s="562">
        <v>1.1000000000000001</v>
      </c>
      <c r="S232" s="562"/>
      <c r="T232" s="562"/>
      <c r="U232" s="562"/>
      <c r="V232" s="562"/>
      <c r="W232" s="562"/>
      <c r="X232" s="562"/>
      <c r="Y232" s="562"/>
      <c r="Z232" s="562"/>
      <c r="AA232" s="562"/>
      <c r="AB232" s="562"/>
      <c r="AC232" s="562"/>
      <c r="AD232" s="563"/>
      <c r="AE232" s="561"/>
      <c r="AF232" s="568">
        <v>6</v>
      </c>
      <c r="AG232" s="562"/>
      <c r="AH232" s="577">
        <v>0.35</v>
      </c>
      <c r="AI232" s="577" t="s">
        <v>793</v>
      </c>
      <c r="AJ232" s="577"/>
      <c r="AK232" s="577">
        <v>1</v>
      </c>
      <c r="AL232" s="577"/>
      <c r="AM232" s="577">
        <v>1</v>
      </c>
      <c r="AN232" s="562">
        <v>2.65</v>
      </c>
      <c r="AO232" s="562">
        <f t="shared" si="46"/>
        <v>5.3</v>
      </c>
      <c r="AP232" s="598">
        <v>0.140625</v>
      </c>
      <c r="AQ232" s="599">
        <v>4.458333333333333</v>
      </c>
      <c r="AR232" s="599">
        <f t="shared" si="47"/>
        <v>0.84166666666666679</v>
      </c>
      <c r="AS232" s="600"/>
      <c r="AT232" s="600">
        <v>1</v>
      </c>
      <c r="AU232" s="577" t="s">
        <v>778</v>
      </c>
      <c r="AV232" s="577">
        <v>1766</v>
      </c>
      <c r="AW232" s="562"/>
      <c r="AX232" s="562"/>
      <c r="AY232" s="562"/>
      <c r="AZ232" s="562"/>
      <c r="BA232" s="607" t="s">
        <v>800</v>
      </c>
      <c r="BB232" s="608" t="s">
        <v>801</v>
      </c>
      <c r="BD232" s="576">
        <v>21</v>
      </c>
      <c r="BI232" s="576">
        <v>1</v>
      </c>
      <c r="BJ232" s="576"/>
      <c r="BK232" s="576"/>
      <c r="BL232" s="576">
        <v>2.2999999999999998</v>
      </c>
      <c r="BM232" s="576">
        <f t="shared" si="44"/>
        <v>4.5999999999999996</v>
      </c>
      <c r="BN232" s="662">
        <v>0.140625</v>
      </c>
      <c r="BO232" s="611">
        <v>4.5</v>
      </c>
      <c r="BP232" s="611">
        <f t="shared" si="45"/>
        <v>9.9999999999999645E-2</v>
      </c>
      <c r="BQ232" s="612"/>
      <c r="BR232" s="612">
        <v>1</v>
      </c>
      <c r="BS232" s="576" t="s">
        <v>127</v>
      </c>
      <c r="DD232" s="561"/>
      <c r="DE232" s="577">
        <v>3</v>
      </c>
      <c r="DF232" s="577"/>
      <c r="DG232" s="577"/>
      <c r="DH232" s="577"/>
      <c r="DI232" s="577"/>
      <c r="DJ232" s="577">
        <v>1</v>
      </c>
      <c r="DK232" s="577"/>
      <c r="DL232" s="577">
        <v>1.8</v>
      </c>
      <c r="DM232" s="577">
        <f>DL232+DL232</f>
        <v>3.6</v>
      </c>
      <c r="DN232" s="577" t="s">
        <v>797</v>
      </c>
      <c r="DO232" s="577"/>
      <c r="DP232" s="577"/>
      <c r="DQ232" s="600">
        <v>1</v>
      </c>
      <c r="DR232" s="600"/>
      <c r="DS232" s="577" t="s">
        <v>888</v>
      </c>
      <c r="DT232" s="584"/>
      <c r="DU232" s="577"/>
    </row>
    <row r="233" spans="2:125" s="560" customFormat="1">
      <c r="C233" s="560">
        <v>0.55000000000000004</v>
      </c>
      <c r="F233" s="674"/>
      <c r="P233" s="561"/>
      <c r="Q233" s="562"/>
      <c r="R233" s="562">
        <v>0.5</v>
      </c>
      <c r="S233" s="562"/>
      <c r="T233" s="562"/>
      <c r="U233" s="562"/>
      <c r="V233" s="562"/>
      <c r="W233" s="562"/>
      <c r="X233" s="562"/>
      <c r="Y233" s="562"/>
      <c r="Z233" s="562"/>
      <c r="AA233" s="562"/>
      <c r="AB233" s="562"/>
      <c r="AC233" s="562"/>
      <c r="AD233" s="563"/>
      <c r="AE233" s="561"/>
      <c r="AF233" s="568">
        <v>7</v>
      </c>
      <c r="AG233" s="562"/>
      <c r="AH233" s="577"/>
      <c r="AI233" s="577"/>
      <c r="AJ233" s="577"/>
      <c r="AK233" s="577">
        <v>1</v>
      </c>
      <c r="AL233" s="577"/>
      <c r="AM233" s="577"/>
      <c r="AN233" s="562">
        <v>2.7</v>
      </c>
      <c r="AO233" s="562">
        <f t="shared" si="46"/>
        <v>5.4</v>
      </c>
      <c r="AP233" s="598">
        <v>0.140625</v>
      </c>
      <c r="AQ233" s="599">
        <v>4.452</v>
      </c>
      <c r="AR233" s="599">
        <f t="shared" si="47"/>
        <v>0.9480000000000004</v>
      </c>
      <c r="AS233" s="600"/>
      <c r="AT233" s="600">
        <v>1</v>
      </c>
      <c r="AU233" s="577" t="s">
        <v>778</v>
      </c>
      <c r="AV233" s="577"/>
      <c r="AW233" s="562"/>
      <c r="AX233" s="562"/>
      <c r="AY233" s="562"/>
      <c r="AZ233" s="562"/>
      <c r="BA233" s="607" t="s">
        <v>804</v>
      </c>
      <c r="BB233" s="608" t="s">
        <v>805</v>
      </c>
      <c r="BD233" s="576">
        <v>22</v>
      </c>
      <c r="BI233" s="576">
        <v>1</v>
      </c>
      <c r="BJ233" s="576"/>
      <c r="BK233" s="576"/>
      <c r="BL233" s="576">
        <v>2.2999999999999998</v>
      </c>
      <c r="BM233" s="576">
        <f t="shared" si="44"/>
        <v>4.5999999999999996</v>
      </c>
      <c r="BN233" s="662">
        <v>0.140625</v>
      </c>
      <c r="BO233" s="611">
        <v>4.5</v>
      </c>
      <c r="BP233" s="611">
        <f t="shared" si="45"/>
        <v>9.9999999999999645E-2</v>
      </c>
      <c r="BQ233" s="612"/>
      <c r="BR233" s="612">
        <v>1</v>
      </c>
      <c r="BS233" s="576" t="s">
        <v>127</v>
      </c>
      <c r="DD233" s="561"/>
      <c r="DE233" s="577">
        <v>3.5</v>
      </c>
      <c r="DF233" s="577"/>
      <c r="DG233" s="577">
        <v>1.8</v>
      </c>
      <c r="DH233" s="577" t="s">
        <v>828</v>
      </c>
      <c r="DI233" s="577"/>
      <c r="DJ233" s="577"/>
      <c r="DK233" s="577"/>
      <c r="DL233" s="577"/>
      <c r="DM233" s="577"/>
      <c r="DN233" s="577"/>
      <c r="DO233" s="577"/>
      <c r="DP233" s="577"/>
      <c r="DQ233" s="600"/>
      <c r="DR233" s="600"/>
      <c r="DS233" s="577"/>
      <c r="DT233" s="584">
        <v>3217</v>
      </c>
      <c r="DU233" s="577"/>
    </row>
    <row r="234" spans="2:125" s="560" customFormat="1">
      <c r="C234" s="560">
        <v>0.5</v>
      </c>
      <c r="F234" s="674"/>
      <c r="P234" s="561"/>
      <c r="Q234" s="562"/>
      <c r="R234" s="562">
        <v>0.6</v>
      </c>
      <c r="S234" s="562"/>
      <c r="T234" s="562"/>
      <c r="U234" s="562"/>
      <c r="V234" s="562"/>
      <c r="W234" s="562"/>
      <c r="X234" s="562"/>
      <c r="Y234" s="562"/>
      <c r="Z234" s="562"/>
      <c r="AA234" s="562"/>
      <c r="AB234" s="562"/>
      <c r="AC234" s="562"/>
      <c r="AD234" s="563"/>
      <c r="AE234" s="561"/>
      <c r="AF234" s="568">
        <v>8</v>
      </c>
      <c r="AG234" s="562"/>
      <c r="AH234" s="577"/>
      <c r="AI234" s="577"/>
      <c r="AJ234" s="577"/>
      <c r="AK234" s="577">
        <v>1</v>
      </c>
      <c r="AL234" s="577"/>
      <c r="AM234" s="577"/>
      <c r="AN234" s="562">
        <v>2.65</v>
      </c>
      <c r="AO234" s="562">
        <f t="shared" si="46"/>
        <v>5.3</v>
      </c>
      <c r="AP234" s="598">
        <v>0.140625</v>
      </c>
      <c r="AQ234" s="599">
        <v>4.4456666666666669</v>
      </c>
      <c r="AR234" s="599">
        <f t="shared" si="47"/>
        <v>0.85433333333333294</v>
      </c>
      <c r="AS234" s="600"/>
      <c r="AT234" s="600">
        <v>1</v>
      </c>
      <c r="AU234" s="577" t="s">
        <v>778</v>
      </c>
      <c r="AV234" s="577"/>
      <c r="AW234" s="562"/>
      <c r="AX234" s="562"/>
      <c r="AY234" s="562"/>
      <c r="AZ234" s="562"/>
      <c r="BA234" s="607" t="s">
        <v>807</v>
      </c>
      <c r="BB234" s="608" t="s">
        <v>808</v>
      </c>
      <c r="BD234" s="576">
        <v>23</v>
      </c>
      <c r="BI234" s="576">
        <v>1</v>
      </c>
      <c r="BJ234" s="576"/>
      <c r="BK234" s="576"/>
      <c r="BL234" s="576">
        <v>2.4</v>
      </c>
      <c r="BM234" s="576">
        <f t="shared" si="44"/>
        <v>4.8</v>
      </c>
      <c r="BN234" s="662">
        <v>0.140625</v>
      </c>
      <c r="BO234" s="611">
        <v>4.5</v>
      </c>
      <c r="BP234" s="611">
        <f t="shared" si="45"/>
        <v>0.29999999999999982</v>
      </c>
      <c r="BQ234" s="612"/>
      <c r="BR234" s="612">
        <v>1</v>
      </c>
      <c r="BS234" s="576" t="s">
        <v>127</v>
      </c>
      <c r="DD234" s="561"/>
      <c r="DE234" s="577">
        <v>4</v>
      </c>
      <c r="DF234" s="577"/>
      <c r="DG234" s="577">
        <v>0.25</v>
      </c>
      <c r="DH234" s="577" t="s">
        <v>127</v>
      </c>
      <c r="DI234" s="577">
        <v>1</v>
      </c>
      <c r="DJ234" s="577"/>
      <c r="DK234" s="577"/>
      <c r="DL234" s="577">
        <v>3.7</v>
      </c>
      <c r="DM234" s="577">
        <f t="shared" ref="DM234:DM239" si="48">DL234+DL234</f>
        <v>7.4</v>
      </c>
      <c r="DN234" s="577" t="s">
        <v>796</v>
      </c>
      <c r="DO234" s="577"/>
      <c r="DP234" s="577"/>
      <c r="DQ234" s="600"/>
      <c r="DR234" s="600">
        <v>1</v>
      </c>
      <c r="DS234" s="577" t="s">
        <v>888</v>
      </c>
      <c r="DT234" s="584">
        <v>3216</v>
      </c>
      <c r="DU234" s="577"/>
    </row>
    <row r="235" spans="2:125" s="560" customFormat="1">
      <c r="C235" s="560">
        <v>0.5</v>
      </c>
      <c r="F235" s="674"/>
      <c r="P235" s="561"/>
      <c r="Q235" s="562"/>
      <c r="R235" s="562">
        <v>0.65</v>
      </c>
      <c r="S235" s="562"/>
      <c r="T235" s="562"/>
      <c r="U235" s="562"/>
      <c r="V235" s="562"/>
      <c r="W235" s="562"/>
      <c r="X235" s="562"/>
      <c r="Y235" s="562"/>
      <c r="Z235" s="562"/>
      <c r="AA235" s="562"/>
      <c r="AB235" s="562"/>
      <c r="AC235" s="562"/>
      <c r="AD235" s="563"/>
      <c r="AE235" s="561"/>
      <c r="AF235" s="568">
        <v>9</v>
      </c>
      <c r="AG235" s="562"/>
      <c r="AH235" s="577"/>
      <c r="AI235" s="577"/>
      <c r="AJ235" s="577"/>
      <c r="AK235" s="577">
        <v>1</v>
      </c>
      <c r="AL235" s="577"/>
      <c r="AM235" s="577"/>
      <c r="AN235" s="562">
        <v>2.7</v>
      </c>
      <c r="AO235" s="562">
        <f t="shared" si="46"/>
        <v>5.4</v>
      </c>
      <c r="AP235" s="598">
        <v>0.140625</v>
      </c>
      <c r="AQ235" s="599">
        <v>4.4393333333333329</v>
      </c>
      <c r="AR235" s="599">
        <f t="shared" si="47"/>
        <v>0.96066666666666745</v>
      </c>
      <c r="AS235" s="600"/>
      <c r="AT235" s="600">
        <v>1</v>
      </c>
      <c r="AU235" s="577" t="s">
        <v>778</v>
      </c>
      <c r="AV235" s="577"/>
      <c r="AW235" s="562"/>
      <c r="AX235" s="562"/>
      <c r="AY235" s="562"/>
      <c r="AZ235" s="562"/>
      <c r="BA235" s="607" t="s">
        <v>810</v>
      </c>
      <c r="BB235" s="608" t="s">
        <v>550</v>
      </c>
      <c r="BD235" s="576">
        <v>24</v>
      </c>
      <c r="BI235" s="576">
        <v>1</v>
      </c>
      <c r="BJ235" s="576"/>
      <c r="BK235" s="576"/>
      <c r="BL235" s="576">
        <v>2.5</v>
      </c>
      <c r="BM235" s="576">
        <f t="shared" si="44"/>
        <v>5</v>
      </c>
      <c r="BN235" s="662">
        <v>0.140625</v>
      </c>
      <c r="BO235" s="611">
        <v>4.5</v>
      </c>
      <c r="BP235" s="611">
        <f t="shared" si="45"/>
        <v>0.5</v>
      </c>
      <c r="BQ235" s="612"/>
      <c r="BR235" s="612">
        <v>1</v>
      </c>
      <c r="BS235" s="576" t="s">
        <v>127</v>
      </c>
      <c r="DD235" s="561"/>
      <c r="DE235" s="577">
        <v>5</v>
      </c>
      <c r="DF235" s="577"/>
      <c r="DG235" s="577"/>
      <c r="DH235" s="577"/>
      <c r="DI235" s="577"/>
      <c r="DJ235" s="577">
        <v>1</v>
      </c>
      <c r="DK235" s="577"/>
      <c r="DL235" s="577">
        <v>3.8</v>
      </c>
      <c r="DM235" s="577">
        <f t="shared" si="48"/>
        <v>7.6</v>
      </c>
      <c r="DN235" s="577" t="s">
        <v>796</v>
      </c>
      <c r="DO235" s="577"/>
      <c r="DP235" s="577"/>
      <c r="DQ235" s="600"/>
      <c r="DR235" s="600">
        <v>1</v>
      </c>
      <c r="DS235" s="577" t="s">
        <v>888</v>
      </c>
      <c r="DT235" s="577"/>
      <c r="DU235" s="577"/>
    </row>
    <row r="236" spans="2:125" s="560" customFormat="1">
      <c r="C236" s="560">
        <v>0.5</v>
      </c>
      <c r="F236" s="674"/>
      <c r="P236" s="561"/>
      <c r="Q236" s="562"/>
      <c r="R236" s="562">
        <v>0.6</v>
      </c>
      <c r="S236" s="562"/>
      <c r="T236" s="562"/>
      <c r="U236" s="562"/>
      <c r="V236" s="562"/>
      <c r="W236" s="562"/>
      <c r="X236" s="562"/>
      <c r="Y236" s="562"/>
      <c r="Z236" s="562"/>
      <c r="AA236" s="562"/>
      <c r="AB236" s="562"/>
      <c r="AC236" s="562"/>
      <c r="AD236" s="563"/>
      <c r="AE236" s="561"/>
      <c r="AF236" s="568">
        <v>10</v>
      </c>
      <c r="AG236" s="562"/>
      <c r="AH236" s="577"/>
      <c r="AI236" s="577"/>
      <c r="AJ236" s="577"/>
      <c r="AK236" s="577">
        <v>1</v>
      </c>
      <c r="AL236" s="577"/>
      <c r="AM236" s="577"/>
      <c r="AN236" s="562">
        <v>2.5</v>
      </c>
      <c r="AO236" s="562">
        <f t="shared" si="46"/>
        <v>5</v>
      </c>
      <c r="AP236" s="598">
        <v>0.140625</v>
      </c>
      <c r="AQ236" s="599">
        <v>4.4329999999999998</v>
      </c>
      <c r="AR236" s="599">
        <f t="shared" si="47"/>
        <v>0.56700000000000017</v>
      </c>
      <c r="AS236" s="600"/>
      <c r="AT236" s="600">
        <v>1</v>
      </c>
      <c r="AU236" s="577" t="s">
        <v>778</v>
      </c>
      <c r="AV236" s="577"/>
      <c r="AW236" s="562"/>
      <c r="AX236" s="562"/>
      <c r="AY236" s="562"/>
      <c r="AZ236" s="562"/>
      <c r="BA236" s="607" t="s">
        <v>813</v>
      </c>
      <c r="BB236" s="608" t="s">
        <v>552</v>
      </c>
      <c r="BD236" s="576">
        <v>25</v>
      </c>
      <c r="BI236" s="576">
        <v>1</v>
      </c>
      <c r="BJ236" s="576"/>
      <c r="BK236" s="576"/>
      <c r="BL236" s="576">
        <v>2.4</v>
      </c>
      <c r="BM236" s="576">
        <f t="shared" si="44"/>
        <v>4.8</v>
      </c>
      <c r="BN236" s="662">
        <v>0.140625</v>
      </c>
      <c r="BO236" s="611">
        <v>4.5</v>
      </c>
      <c r="BP236" s="611">
        <f t="shared" si="45"/>
        <v>0.29999999999999982</v>
      </c>
      <c r="BQ236" s="612"/>
      <c r="BR236" s="612">
        <v>1</v>
      </c>
      <c r="BS236" s="576" t="s">
        <v>127</v>
      </c>
      <c r="DD236" s="561"/>
      <c r="DE236" s="577">
        <v>6</v>
      </c>
      <c r="DF236" s="577"/>
      <c r="DG236" s="577"/>
      <c r="DH236" s="577"/>
      <c r="DI236" s="577"/>
      <c r="DJ236" s="577">
        <v>1</v>
      </c>
      <c r="DK236" s="577"/>
      <c r="DL236" s="577">
        <v>3.6</v>
      </c>
      <c r="DM236" s="577">
        <f t="shared" si="48"/>
        <v>7.2</v>
      </c>
      <c r="DN236" s="577" t="s">
        <v>796</v>
      </c>
      <c r="DO236" s="577"/>
      <c r="DP236" s="577"/>
      <c r="DQ236" s="600"/>
      <c r="DR236" s="600">
        <v>1</v>
      </c>
      <c r="DS236" s="577" t="s">
        <v>888</v>
      </c>
      <c r="DT236" s="577"/>
      <c r="DU236" s="577"/>
    </row>
    <row r="237" spans="2:125" s="560" customFormat="1">
      <c r="C237" s="560">
        <v>0.5</v>
      </c>
      <c r="F237" s="674"/>
      <c r="P237" s="561"/>
      <c r="Q237" s="562"/>
      <c r="R237" s="562">
        <v>0.57999999999999996</v>
      </c>
      <c r="S237" s="562"/>
      <c r="T237" s="562"/>
      <c r="U237" s="562"/>
      <c r="V237" s="562"/>
      <c r="W237" s="562"/>
      <c r="X237" s="562"/>
      <c r="Y237" s="562"/>
      <c r="Z237" s="562"/>
      <c r="AA237" s="562"/>
      <c r="AB237" s="562"/>
      <c r="AC237" s="562"/>
      <c r="AD237" s="563"/>
      <c r="AE237" s="561"/>
      <c r="AF237" s="568">
        <v>11</v>
      </c>
      <c r="AG237" s="562"/>
      <c r="AH237" s="577"/>
      <c r="AI237" s="577"/>
      <c r="AJ237" s="577"/>
      <c r="AK237" s="577">
        <v>1</v>
      </c>
      <c r="AL237" s="577"/>
      <c r="AM237" s="577"/>
      <c r="AN237" s="562">
        <v>2.5</v>
      </c>
      <c r="AO237" s="562">
        <f t="shared" si="46"/>
        <v>5</v>
      </c>
      <c r="AP237" s="598">
        <v>0.140625</v>
      </c>
      <c r="AQ237" s="599">
        <v>4.4266666666666667</v>
      </c>
      <c r="AR237" s="599">
        <f t="shared" si="47"/>
        <v>0.57333333333333325</v>
      </c>
      <c r="AS237" s="600"/>
      <c r="AT237" s="600">
        <v>1</v>
      </c>
      <c r="AU237" s="577" t="s">
        <v>778</v>
      </c>
      <c r="AV237" s="577"/>
      <c r="AW237" s="562"/>
      <c r="AX237" s="625" t="s">
        <v>806</v>
      </c>
      <c r="AY237" s="562">
        <f>COUNT(AR227:AR258)</f>
        <v>32</v>
      </c>
      <c r="AZ237" s="562"/>
      <c r="BA237" s="607" t="s">
        <v>815</v>
      </c>
      <c r="BB237" s="608" t="s">
        <v>816</v>
      </c>
      <c r="BD237" s="576">
        <v>26</v>
      </c>
      <c r="BI237" s="576">
        <v>1</v>
      </c>
      <c r="BJ237" s="576"/>
      <c r="BK237" s="576"/>
      <c r="BL237" s="576">
        <v>2.5</v>
      </c>
      <c r="BM237" s="576">
        <f t="shared" si="44"/>
        <v>5</v>
      </c>
      <c r="BN237" s="662">
        <v>0.140625</v>
      </c>
      <c r="BO237" s="611">
        <v>4.5</v>
      </c>
      <c r="BP237" s="611">
        <f t="shared" si="45"/>
        <v>0.5</v>
      </c>
      <c r="BQ237" s="612"/>
      <c r="BR237" s="612">
        <v>1</v>
      </c>
      <c r="BS237" s="576" t="s">
        <v>127</v>
      </c>
      <c r="DD237" s="561"/>
      <c r="DE237" s="577">
        <v>7</v>
      </c>
      <c r="DF237" s="577"/>
      <c r="DG237" s="577"/>
      <c r="DH237" s="577"/>
      <c r="DI237" s="577"/>
      <c r="DJ237" s="577">
        <v>1</v>
      </c>
      <c r="DK237" s="577"/>
      <c r="DL237" s="577">
        <v>3.9</v>
      </c>
      <c r="DM237" s="577">
        <f t="shared" si="48"/>
        <v>7.8</v>
      </c>
      <c r="DN237" s="577" t="s">
        <v>796</v>
      </c>
      <c r="DO237" s="577"/>
      <c r="DP237" s="577"/>
      <c r="DQ237" s="600"/>
      <c r="DR237" s="600">
        <v>1</v>
      </c>
      <c r="DS237" s="577" t="s">
        <v>888</v>
      </c>
      <c r="DT237" s="577"/>
      <c r="DU237" s="577"/>
    </row>
    <row r="238" spans="2:125" s="560" customFormat="1">
      <c r="C238" s="560">
        <v>0.5</v>
      </c>
      <c r="P238" s="561"/>
      <c r="Q238" s="562"/>
      <c r="R238" s="562">
        <v>0.59</v>
      </c>
      <c r="S238" s="562"/>
      <c r="T238" s="562"/>
      <c r="U238" s="562"/>
      <c r="V238" s="562"/>
      <c r="W238" s="562"/>
      <c r="X238" s="562"/>
      <c r="Y238" s="562"/>
      <c r="Z238" s="562"/>
      <c r="AA238" s="562"/>
      <c r="AB238" s="562"/>
      <c r="AC238" s="562"/>
      <c r="AD238" s="563"/>
      <c r="AE238" s="561"/>
      <c r="AF238" s="568">
        <v>12</v>
      </c>
      <c r="AG238" s="562"/>
      <c r="AH238" s="577">
        <v>0.2</v>
      </c>
      <c r="AI238" s="577" t="s">
        <v>802</v>
      </c>
      <c r="AJ238" s="577"/>
      <c r="AK238" s="577">
        <v>1</v>
      </c>
      <c r="AL238" s="577">
        <v>1</v>
      </c>
      <c r="AM238" s="577"/>
      <c r="AN238" s="562">
        <v>2.6</v>
      </c>
      <c r="AO238" s="562">
        <f t="shared" si="46"/>
        <v>5.2</v>
      </c>
      <c r="AP238" s="598">
        <v>0.140625</v>
      </c>
      <c r="AQ238" s="599">
        <v>4.4203333333333328</v>
      </c>
      <c r="AR238" s="599">
        <f t="shared" si="47"/>
        <v>0.7796666666666674</v>
      </c>
      <c r="AS238" s="600"/>
      <c r="AT238" s="600">
        <v>1</v>
      </c>
      <c r="AU238" s="577" t="s">
        <v>778</v>
      </c>
      <c r="AV238" s="577">
        <v>1765</v>
      </c>
      <c r="AW238" s="562"/>
      <c r="AX238" s="625" t="s">
        <v>809</v>
      </c>
      <c r="AY238" s="649">
        <f>SUM(AR228:AR258)</f>
        <v>25.845000000000006</v>
      </c>
      <c r="AZ238" s="562"/>
      <c r="BA238" s="562"/>
      <c r="BB238" s="563"/>
      <c r="BD238" s="576">
        <v>27</v>
      </c>
      <c r="BI238" s="576">
        <v>1</v>
      </c>
      <c r="BJ238" s="576"/>
      <c r="BK238" s="576"/>
      <c r="BL238" s="576">
        <v>0.5</v>
      </c>
      <c r="BM238" s="576">
        <f t="shared" si="44"/>
        <v>1</v>
      </c>
      <c r="BN238" s="662">
        <v>0.140625</v>
      </c>
      <c r="BO238" s="611">
        <v>4.5</v>
      </c>
      <c r="BP238" s="611">
        <f t="shared" si="45"/>
        <v>-3.5</v>
      </c>
      <c r="BQ238" s="612"/>
      <c r="BR238" s="612">
        <v>1</v>
      </c>
      <c r="BS238" s="576" t="s">
        <v>127</v>
      </c>
      <c r="BU238" s="560" t="s">
        <v>1003</v>
      </c>
      <c r="DD238" s="561"/>
      <c r="DE238" s="577">
        <v>8</v>
      </c>
      <c r="DF238" s="577"/>
      <c r="DG238" s="577"/>
      <c r="DH238" s="577"/>
      <c r="DI238" s="577"/>
      <c r="DJ238" s="577">
        <v>1</v>
      </c>
      <c r="DK238" s="577"/>
      <c r="DL238" s="577">
        <v>3.8</v>
      </c>
      <c r="DM238" s="577">
        <f t="shared" si="48"/>
        <v>7.6</v>
      </c>
      <c r="DN238" s="577" t="s">
        <v>796</v>
      </c>
      <c r="DO238" s="577"/>
      <c r="DP238" s="577"/>
      <c r="DQ238" s="600"/>
      <c r="DR238" s="600">
        <v>1</v>
      </c>
      <c r="DS238" s="577"/>
      <c r="DT238" s="577"/>
      <c r="DU238" s="577"/>
    </row>
    <row r="239" spans="2:125" s="560" customFormat="1">
      <c r="C239" s="560">
        <v>0.5</v>
      </c>
      <c r="P239" s="561"/>
      <c r="Q239" s="562"/>
      <c r="R239" s="562">
        <v>0.6</v>
      </c>
      <c r="S239" s="562"/>
      <c r="T239" s="562"/>
      <c r="U239" s="562"/>
      <c r="V239" s="562"/>
      <c r="W239" s="562"/>
      <c r="X239" s="562"/>
      <c r="Y239" s="562"/>
      <c r="Z239" s="562"/>
      <c r="AA239" s="562"/>
      <c r="AB239" s="562"/>
      <c r="AC239" s="562"/>
      <c r="AD239" s="563"/>
      <c r="AE239" s="561"/>
      <c r="AF239" s="568">
        <v>13</v>
      </c>
      <c r="AG239" s="562"/>
      <c r="AH239" s="577"/>
      <c r="AI239" s="577"/>
      <c r="AJ239" s="577"/>
      <c r="AK239" s="577">
        <v>1</v>
      </c>
      <c r="AL239" s="577"/>
      <c r="AM239" s="577"/>
      <c r="AN239" s="562">
        <v>2.6</v>
      </c>
      <c r="AO239" s="562">
        <f t="shared" si="46"/>
        <v>5.2</v>
      </c>
      <c r="AP239" s="598">
        <v>0.140625</v>
      </c>
      <c r="AQ239" s="599">
        <v>4.4139999999999997</v>
      </c>
      <c r="AR239" s="599">
        <f t="shared" si="47"/>
        <v>0.78600000000000048</v>
      </c>
      <c r="AS239" s="600"/>
      <c r="AT239" s="600">
        <v>1</v>
      </c>
      <c r="AU239" s="577" t="s">
        <v>778</v>
      </c>
      <c r="AV239" s="577"/>
      <c r="AW239" s="562"/>
      <c r="AX239" s="625" t="s">
        <v>811</v>
      </c>
      <c r="AY239" s="649">
        <f>MAX(AR228:AR258)</f>
        <v>2.1000000000000005</v>
      </c>
      <c r="AZ239" s="562"/>
      <c r="BA239" s="562"/>
      <c r="BB239" s="563"/>
      <c r="BD239" s="576">
        <v>28</v>
      </c>
      <c r="BF239" s="566"/>
      <c r="BI239" s="576">
        <v>1</v>
      </c>
      <c r="BJ239" s="576"/>
      <c r="BK239" s="576"/>
      <c r="BL239" s="576">
        <v>2.2999999999999998</v>
      </c>
      <c r="BM239" s="576">
        <f t="shared" si="44"/>
        <v>4.5999999999999996</v>
      </c>
      <c r="BN239" s="662">
        <v>0.140625</v>
      </c>
      <c r="BO239" s="611">
        <v>4.5</v>
      </c>
      <c r="BP239" s="611">
        <f t="shared" si="45"/>
        <v>9.9999999999999645E-2</v>
      </c>
      <c r="BQ239" s="612"/>
      <c r="BR239" s="612">
        <v>1</v>
      </c>
      <c r="BS239" s="576" t="s">
        <v>127</v>
      </c>
      <c r="DD239" s="561"/>
      <c r="DE239" s="577">
        <v>9</v>
      </c>
      <c r="DF239" s="577"/>
      <c r="DG239" s="577"/>
      <c r="DH239" s="577"/>
      <c r="DI239" s="577"/>
      <c r="DJ239" s="577">
        <v>1</v>
      </c>
      <c r="DK239" s="577"/>
      <c r="DL239" s="577">
        <v>3.8</v>
      </c>
      <c r="DM239" s="577">
        <f t="shared" si="48"/>
        <v>7.6</v>
      </c>
      <c r="DN239" s="577" t="s">
        <v>796</v>
      </c>
      <c r="DO239" s="577"/>
      <c r="DP239" s="577"/>
      <c r="DQ239" s="600"/>
      <c r="DR239" s="600">
        <v>1</v>
      </c>
      <c r="DS239" s="577"/>
      <c r="DT239" s="577"/>
      <c r="DU239" s="577"/>
    </row>
    <row r="240" spans="2:125" s="560" customFormat="1">
      <c r="B240" s="560" t="s">
        <v>799</v>
      </c>
      <c r="P240" s="561"/>
      <c r="Q240" s="562"/>
      <c r="R240" s="562">
        <v>0.6</v>
      </c>
      <c r="S240" s="562"/>
      <c r="T240" s="562"/>
      <c r="U240" s="562"/>
      <c r="V240" s="562"/>
      <c r="W240" s="562"/>
      <c r="X240" s="562"/>
      <c r="Y240" s="562"/>
      <c r="Z240" s="562"/>
      <c r="AA240" s="562"/>
      <c r="AB240" s="562"/>
      <c r="AC240" s="562"/>
      <c r="AD240" s="563"/>
      <c r="AE240" s="561"/>
      <c r="AF240" s="568">
        <v>14</v>
      </c>
      <c r="AG240" s="562"/>
      <c r="AH240" s="577"/>
      <c r="AI240" s="577"/>
      <c r="AJ240" s="577"/>
      <c r="AK240" s="577">
        <v>1</v>
      </c>
      <c r="AL240" s="577"/>
      <c r="AM240" s="577"/>
      <c r="AN240" s="562">
        <v>2.6</v>
      </c>
      <c r="AO240" s="562">
        <f t="shared" si="46"/>
        <v>5.2</v>
      </c>
      <c r="AP240" s="598">
        <v>0.140625</v>
      </c>
      <c r="AQ240" s="599">
        <v>4.4076666666666666</v>
      </c>
      <c r="AR240" s="599">
        <f t="shared" si="47"/>
        <v>0.79233333333333356</v>
      </c>
      <c r="AS240" s="600"/>
      <c r="AT240" s="600">
        <v>1</v>
      </c>
      <c r="AU240" s="577" t="s">
        <v>778</v>
      </c>
      <c r="AV240" s="577"/>
      <c r="AW240" s="562"/>
      <c r="AX240" s="625" t="s">
        <v>814</v>
      </c>
      <c r="AY240" s="649">
        <f>MIN(AR228:AR258)</f>
        <v>-0.18866666666666632</v>
      </c>
      <c r="AZ240" s="562"/>
      <c r="BA240" s="562"/>
      <c r="BB240" s="563"/>
      <c r="BF240" s="566"/>
      <c r="BH240" s="670"/>
      <c r="BI240" s="640">
        <f>SUM(BI212:BI239)</f>
        <v>28</v>
      </c>
      <c r="BJ240" s="641">
        <f>SUM(BJ211:BJ239)</f>
        <v>1</v>
      </c>
      <c r="BK240" s="642"/>
      <c r="BM240" s="643">
        <f>SUM(BM212:BM239)</f>
        <v>129.39999999999998</v>
      </c>
      <c r="BN240" s="576"/>
      <c r="BO240" s="644">
        <f>SUM(BO212:BO239)</f>
        <v>126</v>
      </c>
      <c r="BP240" s="644">
        <f>SUM(BP212:BP237,BP239)</f>
        <v>6.8999999999999941</v>
      </c>
      <c r="BQ240" s="661"/>
      <c r="BR240" s="645">
        <f>SUM(BR211:BR239)</f>
        <v>29</v>
      </c>
      <c r="DD240" s="561"/>
      <c r="DE240" s="577"/>
      <c r="DF240" s="577"/>
      <c r="DG240" s="632">
        <f>SUM(DG230:DG239)</f>
        <v>2.0499999999999998</v>
      </c>
      <c r="DH240" s="632"/>
      <c r="DI240" s="632">
        <f>SUM(DI230:DI239)</f>
        <v>1</v>
      </c>
      <c r="DJ240" s="632">
        <f>SUM(DJ230:DJ239)</f>
        <v>8</v>
      </c>
      <c r="DK240" s="634"/>
      <c r="DL240" s="577"/>
      <c r="DM240" s="577"/>
      <c r="DN240" s="577"/>
      <c r="DO240" s="577"/>
      <c r="DP240" s="577"/>
      <c r="DQ240" s="637">
        <f>SUM(DQ230:DQ239)</f>
        <v>1</v>
      </c>
      <c r="DR240" s="637">
        <f>SUM(DR230:DR239)</f>
        <v>8</v>
      </c>
      <c r="DS240" s="577"/>
      <c r="DT240" s="577"/>
      <c r="DU240" s="577"/>
    </row>
    <row r="241" spans="3:128" s="560" customFormat="1">
      <c r="C241" s="560">
        <v>0.5</v>
      </c>
      <c r="P241" s="561"/>
      <c r="Q241" s="562"/>
      <c r="R241" s="562">
        <v>0.46</v>
      </c>
      <c r="S241" s="562"/>
      <c r="T241" s="562"/>
      <c r="U241" s="562"/>
      <c r="V241" s="562"/>
      <c r="W241" s="562"/>
      <c r="X241" s="562"/>
      <c r="Y241" s="562"/>
      <c r="Z241" s="562"/>
      <c r="AA241" s="562"/>
      <c r="AB241" s="562"/>
      <c r="AC241" s="562"/>
      <c r="AD241" s="563"/>
      <c r="AE241" s="561"/>
      <c r="AF241" s="568">
        <v>15</v>
      </c>
      <c r="AG241" s="562"/>
      <c r="AH241" s="577"/>
      <c r="AI241" s="577"/>
      <c r="AJ241" s="577"/>
      <c r="AK241" s="577">
        <v>1</v>
      </c>
      <c r="AL241" s="577"/>
      <c r="AM241" s="577"/>
      <c r="AN241" s="562">
        <v>2.65</v>
      </c>
      <c r="AO241" s="562">
        <f t="shared" si="46"/>
        <v>5.3</v>
      </c>
      <c r="AP241" s="598">
        <v>0.140625</v>
      </c>
      <c r="AQ241" s="599">
        <v>4.4013333333333335</v>
      </c>
      <c r="AR241" s="599">
        <f t="shared" si="47"/>
        <v>0.89866666666666628</v>
      </c>
      <c r="AS241" s="600"/>
      <c r="AT241" s="600">
        <v>1</v>
      </c>
      <c r="AU241" s="577" t="s">
        <v>778</v>
      </c>
      <c r="AV241" s="577"/>
      <c r="AW241" s="562"/>
      <c r="AX241" s="625" t="s">
        <v>817</v>
      </c>
      <c r="AY241" s="649">
        <f>AVERAGE(AR228:AR258)</f>
        <v>0.83370967741935498</v>
      </c>
      <c r="AZ241" s="562"/>
      <c r="BA241" s="562"/>
      <c r="BB241" s="563"/>
      <c r="BC241" s="564">
        <v>41095</v>
      </c>
      <c r="BD241" s="565" t="s">
        <v>725</v>
      </c>
      <c r="BE241" s="565"/>
      <c r="BF241" s="565" t="s">
        <v>726</v>
      </c>
      <c r="BG241" s="566" t="s">
        <v>727</v>
      </c>
      <c r="BH241" s="566"/>
      <c r="BI241" s="566"/>
      <c r="BJ241" s="566"/>
      <c r="BK241" s="566"/>
      <c r="BL241" s="566" t="s">
        <v>728</v>
      </c>
      <c r="BN241" s="566" t="s">
        <v>729</v>
      </c>
      <c r="BO241" s="603"/>
      <c r="BP241" s="646">
        <f>+BP240/BO240</f>
        <v>5.4761904761904713E-2</v>
      </c>
      <c r="BQ241" s="604"/>
      <c r="BR241" s="604"/>
      <c r="BS241" s="566" t="s">
        <v>730</v>
      </c>
      <c r="BT241" s="566" t="s">
        <v>731</v>
      </c>
      <c r="DD241" s="567">
        <v>41192</v>
      </c>
      <c r="DE241" s="568" t="s">
        <v>725</v>
      </c>
      <c r="DF241" s="568"/>
      <c r="DG241" s="562" t="s">
        <v>891</v>
      </c>
      <c r="DH241" s="569" t="s">
        <v>727</v>
      </c>
      <c r="DI241" s="569"/>
      <c r="DJ241" s="569"/>
      <c r="DK241" s="569"/>
      <c r="DL241" s="569" t="s">
        <v>728</v>
      </c>
      <c r="DM241" s="569"/>
      <c r="DN241" s="569" t="s">
        <v>729</v>
      </c>
      <c r="DO241" s="569"/>
      <c r="DP241" s="569"/>
      <c r="DQ241" s="639"/>
      <c r="DR241" s="639"/>
      <c r="DS241" s="569" t="s">
        <v>730</v>
      </c>
      <c r="DT241" s="569" t="s">
        <v>731</v>
      </c>
      <c r="DU241" s="568"/>
      <c r="DV241" s="562"/>
      <c r="DW241" s="562"/>
      <c r="DX241" s="562"/>
    </row>
    <row r="242" spans="3:128" s="560" customFormat="1">
      <c r="C242" s="560">
        <v>0.5</v>
      </c>
      <c r="P242" s="561"/>
      <c r="Q242" s="562"/>
      <c r="R242" s="562">
        <v>0.55000000000000004</v>
      </c>
      <c r="S242" s="562"/>
      <c r="T242" s="562"/>
      <c r="U242" s="562"/>
      <c r="V242" s="562"/>
      <c r="W242" s="562"/>
      <c r="X242" s="562"/>
      <c r="Y242" s="562"/>
      <c r="Z242" s="562"/>
      <c r="AA242" s="562"/>
      <c r="AB242" s="562"/>
      <c r="AC242" s="562"/>
      <c r="AD242" s="563"/>
      <c r="AE242" s="561"/>
      <c r="AF242" s="568">
        <v>16</v>
      </c>
      <c r="AG242" s="562"/>
      <c r="AH242" s="577"/>
      <c r="AI242" s="577"/>
      <c r="AJ242" s="577"/>
      <c r="AK242" s="577">
        <v>1</v>
      </c>
      <c r="AL242" s="577"/>
      <c r="AM242" s="577"/>
      <c r="AN242" s="562">
        <v>2.6</v>
      </c>
      <c r="AO242" s="562">
        <f t="shared" si="46"/>
        <v>5.2</v>
      </c>
      <c r="AP242" s="598">
        <v>0.140625</v>
      </c>
      <c r="AQ242" s="599">
        <v>4.3949999999999996</v>
      </c>
      <c r="AR242" s="599">
        <f t="shared" si="47"/>
        <v>0.8050000000000006</v>
      </c>
      <c r="AS242" s="600"/>
      <c r="AT242" s="600">
        <v>1</v>
      </c>
      <c r="AU242" s="577" t="s">
        <v>778</v>
      </c>
      <c r="AV242" s="577"/>
      <c r="AW242" s="562"/>
      <c r="AX242" s="625" t="s">
        <v>818</v>
      </c>
      <c r="AY242" s="625" t="e">
        <f ca="1">_xlfn.STDEV.S(AR228:AR258)</f>
        <v>#NAME?</v>
      </c>
      <c r="AZ242" s="562"/>
      <c r="BA242" s="562"/>
      <c r="BB242" s="563"/>
      <c r="BD242" s="565"/>
      <c r="BE242" s="565"/>
      <c r="BF242" s="565"/>
      <c r="BG242" s="576" t="s">
        <v>1004</v>
      </c>
      <c r="BH242" s="576"/>
      <c r="BI242" s="576"/>
      <c r="BJ242" s="576"/>
      <c r="BK242" s="576"/>
      <c r="BL242" s="576" t="s">
        <v>1005</v>
      </c>
      <c r="BN242" s="576">
        <v>48</v>
      </c>
      <c r="BO242" s="611"/>
      <c r="BP242" s="611"/>
      <c r="BQ242" s="612"/>
      <c r="BR242" s="612"/>
      <c r="BS242" s="576">
        <v>45</v>
      </c>
      <c r="BT242" s="622"/>
      <c r="DD242" s="561"/>
      <c r="DE242" s="568"/>
      <c r="DF242" s="568"/>
      <c r="DG242" s="568"/>
      <c r="DH242" s="577" t="s">
        <v>998</v>
      </c>
      <c r="DI242" s="577"/>
      <c r="DJ242" s="577"/>
      <c r="DK242" s="577"/>
      <c r="DL242" s="577" t="s">
        <v>999</v>
      </c>
      <c r="DM242" s="577"/>
      <c r="DN242" s="577">
        <v>49</v>
      </c>
      <c r="DO242" s="577"/>
      <c r="DP242" s="577"/>
      <c r="DQ242" s="600"/>
      <c r="DR242" s="600"/>
      <c r="DS242" s="577">
        <v>58</v>
      </c>
      <c r="DT242" s="677" t="s">
        <v>1000</v>
      </c>
      <c r="DU242" s="568"/>
      <c r="DV242" s="562"/>
      <c r="DW242" s="562"/>
      <c r="DX242" s="562"/>
    </row>
    <row r="243" spans="3:128" s="560" customFormat="1">
      <c r="C243" s="560">
        <v>0.5</v>
      </c>
      <c r="P243" s="561"/>
      <c r="Q243" s="562"/>
      <c r="R243" s="562">
        <v>0.6</v>
      </c>
      <c r="S243" s="562"/>
      <c r="T243" s="562"/>
      <c r="U243" s="562"/>
      <c r="V243" s="562"/>
      <c r="W243" s="562"/>
      <c r="X243" s="562"/>
      <c r="Y243" s="562"/>
      <c r="Z243" s="562"/>
      <c r="AA243" s="562"/>
      <c r="AB243" s="562"/>
      <c r="AC243" s="562"/>
      <c r="AD243" s="563"/>
      <c r="AE243" s="561"/>
      <c r="AF243" s="568">
        <v>17</v>
      </c>
      <c r="AG243" s="562"/>
      <c r="AH243" s="577"/>
      <c r="AI243" s="577"/>
      <c r="AJ243" s="577"/>
      <c r="AK243" s="577">
        <v>1</v>
      </c>
      <c r="AL243" s="577"/>
      <c r="AM243" s="577"/>
      <c r="AN243" s="562">
        <v>2.1</v>
      </c>
      <c r="AO243" s="562">
        <f t="shared" si="46"/>
        <v>4.2</v>
      </c>
      <c r="AP243" s="598">
        <v>0.140625</v>
      </c>
      <c r="AQ243" s="599">
        <v>4.3886666666666665</v>
      </c>
      <c r="AR243" s="599">
        <f t="shared" si="47"/>
        <v>-0.18866666666666632</v>
      </c>
      <c r="AS243" s="600"/>
      <c r="AT243" s="600">
        <v>1</v>
      </c>
      <c r="AU243" s="577" t="s">
        <v>778</v>
      </c>
      <c r="AV243" s="577"/>
      <c r="AW243" s="562"/>
      <c r="AX243" s="562"/>
      <c r="AY243" s="562"/>
      <c r="AZ243" s="562"/>
      <c r="BA243" s="562"/>
      <c r="BB243" s="563"/>
      <c r="BC243" s="560" t="s">
        <v>500</v>
      </c>
      <c r="BD243" s="581" t="s">
        <v>1006</v>
      </c>
      <c r="BE243" s="582"/>
      <c r="BF243" s="566"/>
      <c r="BG243" s="565"/>
      <c r="BH243" s="565"/>
      <c r="BI243" s="565"/>
      <c r="BJ243" s="565"/>
      <c r="BK243" s="565"/>
      <c r="BL243" s="565"/>
      <c r="BN243" s="566"/>
      <c r="BO243" s="603"/>
      <c r="BP243" s="581" t="s">
        <v>1007</v>
      </c>
      <c r="BQ243" s="604"/>
      <c r="BR243" s="604"/>
      <c r="BS243" s="566"/>
      <c r="BT243" s="576"/>
      <c r="DD243" s="561"/>
      <c r="DE243" s="583" t="s">
        <v>1008</v>
      </c>
      <c r="DF243" s="578"/>
      <c r="DG243" s="569"/>
      <c r="DH243" s="568"/>
      <c r="DI243" s="568"/>
      <c r="DJ243" s="568"/>
      <c r="DK243" s="568"/>
      <c r="DL243" s="568"/>
      <c r="DM243" s="568"/>
      <c r="DN243" s="569"/>
      <c r="DO243" s="569"/>
      <c r="DP243" s="569"/>
      <c r="DQ243" s="583" t="s">
        <v>1002</v>
      </c>
      <c r="DR243" s="639"/>
      <c r="DS243" s="569"/>
      <c r="DT243" s="577"/>
      <c r="DU243" s="569"/>
      <c r="DV243" s="562"/>
      <c r="DW243" s="562"/>
      <c r="DX243" s="562"/>
    </row>
    <row r="244" spans="3:128" s="560" customFormat="1">
      <c r="C244" s="560">
        <v>0.5</v>
      </c>
      <c r="P244" s="561"/>
      <c r="Q244" s="562"/>
      <c r="R244" s="562">
        <v>0.8</v>
      </c>
      <c r="S244" s="562"/>
      <c r="T244" s="562"/>
      <c r="U244" s="562"/>
      <c r="V244" s="562"/>
      <c r="W244" s="562"/>
      <c r="X244" s="562"/>
      <c r="Y244" s="562"/>
      <c r="Z244" s="562"/>
      <c r="AA244" s="562"/>
      <c r="AB244" s="562"/>
      <c r="AC244" s="562"/>
      <c r="AD244" s="563"/>
      <c r="AE244" s="561"/>
      <c r="AF244" s="568">
        <v>18</v>
      </c>
      <c r="AG244" s="562"/>
      <c r="AH244" s="577"/>
      <c r="AI244" s="577"/>
      <c r="AJ244" s="577"/>
      <c r="AK244" s="577">
        <v>1</v>
      </c>
      <c r="AL244" s="577"/>
      <c r="AM244" s="577"/>
      <c r="AN244" s="562">
        <v>2.5</v>
      </c>
      <c r="AO244" s="562">
        <f t="shared" si="46"/>
        <v>5</v>
      </c>
      <c r="AP244" s="598">
        <v>0.140625</v>
      </c>
      <c r="AQ244" s="599">
        <v>4.3823333333333334</v>
      </c>
      <c r="AR244" s="599">
        <f t="shared" si="47"/>
        <v>0.61766666666666659</v>
      </c>
      <c r="AS244" s="600"/>
      <c r="AT244" s="600">
        <v>1</v>
      </c>
      <c r="AU244" s="577" t="s">
        <v>778</v>
      </c>
      <c r="AV244" s="577"/>
      <c r="AW244" s="562"/>
      <c r="AX244" s="562"/>
      <c r="AY244" s="562"/>
      <c r="AZ244" s="562"/>
      <c r="BA244" s="562"/>
      <c r="BB244" s="563"/>
      <c r="BD244" s="586" t="s">
        <v>755</v>
      </c>
      <c r="BE244" s="586" t="s">
        <v>756</v>
      </c>
      <c r="BF244" s="615" t="s">
        <v>757</v>
      </c>
      <c r="BG244" s="615" t="s">
        <v>758</v>
      </c>
      <c r="BH244" s="615" t="s">
        <v>765</v>
      </c>
      <c r="BI244" s="615" t="s">
        <v>766</v>
      </c>
      <c r="BJ244" s="616" t="s">
        <v>767</v>
      </c>
      <c r="BK244" s="617" t="s">
        <v>768</v>
      </c>
      <c r="BL244" s="586" t="s">
        <v>759</v>
      </c>
      <c r="BM244" s="618" t="s">
        <v>769</v>
      </c>
      <c r="BN244" s="586" t="s">
        <v>760</v>
      </c>
      <c r="BO244" s="619" t="s">
        <v>770</v>
      </c>
      <c r="BP244" s="619" t="s">
        <v>771</v>
      </c>
      <c r="BQ244" s="620" t="s">
        <v>772</v>
      </c>
      <c r="BR244" s="620" t="s">
        <v>773</v>
      </c>
      <c r="BS244" s="586" t="s">
        <v>761</v>
      </c>
      <c r="BT244" s="586" t="s">
        <v>762</v>
      </c>
      <c r="BU244" s="586" t="s">
        <v>763</v>
      </c>
      <c r="BY244" s="586" t="s">
        <v>764</v>
      </c>
      <c r="BZ244" s="576"/>
      <c r="DD244" s="587"/>
      <c r="DE244" s="588" t="s">
        <v>755</v>
      </c>
      <c r="DF244" s="588" t="s">
        <v>756</v>
      </c>
      <c r="DG244" s="590" t="s">
        <v>757</v>
      </c>
      <c r="DH244" s="590" t="s">
        <v>758</v>
      </c>
      <c r="DI244" s="590" t="s">
        <v>765</v>
      </c>
      <c r="DJ244" s="590" t="s">
        <v>766</v>
      </c>
      <c r="DK244" s="592" t="s">
        <v>768</v>
      </c>
      <c r="DL244" s="588" t="s">
        <v>759</v>
      </c>
      <c r="DM244" s="588" t="s">
        <v>769</v>
      </c>
      <c r="DN244" s="588" t="s">
        <v>760</v>
      </c>
      <c r="DO244" s="588"/>
      <c r="DP244" s="588"/>
      <c r="DQ244" s="669"/>
      <c r="DR244" s="669"/>
      <c r="DS244" s="588" t="s">
        <v>761</v>
      </c>
      <c r="DT244" s="588" t="s">
        <v>762</v>
      </c>
      <c r="DU244" s="588" t="s">
        <v>763</v>
      </c>
      <c r="DV244" s="562"/>
      <c r="DW244" s="562"/>
      <c r="DX244" s="562"/>
    </row>
    <row r="245" spans="3:128" s="560" customFormat="1">
      <c r="C245" s="560">
        <v>0.45</v>
      </c>
      <c r="P245" s="561"/>
      <c r="Q245" s="562"/>
      <c r="R245" s="562">
        <v>0.6</v>
      </c>
      <c r="S245" s="562"/>
      <c r="T245" s="562"/>
      <c r="U245" s="562"/>
      <c r="V245" s="562"/>
      <c r="W245" s="562"/>
      <c r="X245" s="562"/>
      <c r="Y245" s="562"/>
      <c r="Z245" s="562"/>
      <c r="AA245" s="562"/>
      <c r="AB245" s="562"/>
      <c r="AC245" s="562"/>
      <c r="AD245" s="563"/>
      <c r="AE245" s="561"/>
      <c r="AF245" s="568">
        <v>19</v>
      </c>
      <c r="AG245" s="562"/>
      <c r="AH245" s="577"/>
      <c r="AI245" s="577"/>
      <c r="AJ245" s="577"/>
      <c r="AK245" s="577">
        <v>1</v>
      </c>
      <c r="AL245" s="577"/>
      <c r="AM245" s="577"/>
      <c r="AN245" s="562">
        <v>2.5</v>
      </c>
      <c r="AO245" s="562">
        <f t="shared" si="46"/>
        <v>5</v>
      </c>
      <c r="AP245" s="598">
        <v>0.140625</v>
      </c>
      <c r="AQ245" s="599">
        <v>4.3759999999999994</v>
      </c>
      <c r="AR245" s="599">
        <f t="shared" si="47"/>
        <v>0.62400000000000055</v>
      </c>
      <c r="AS245" s="600"/>
      <c r="AT245" s="600">
        <v>1</v>
      </c>
      <c r="AU245" s="577" t="s">
        <v>778</v>
      </c>
      <c r="AV245" s="577"/>
      <c r="AW245" s="562"/>
      <c r="AX245" s="562"/>
      <c r="AY245" s="562"/>
      <c r="AZ245" s="562"/>
      <c r="BA245" s="562"/>
      <c r="BB245" s="563"/>
      <c r="BD245" s="566">
        <v>1</v>
      </c>
      <c r="BF245" s="566">
        <v>2.5</v>
      </c>
      <c r="BG245" s="566" t="s">
        <v>828</v>
      </c>
      <c r="BH245" s="566"/>
      <c r="BI245" s="566">
        <v>1</v>
      </c>
      <c r="BJ245" s="566"/>
      <c r="BK245" s="566"/>
      <c r="BL245" s="614">
        <v>2</v>
      </c>
      <c r="BM245" s="576">
        <f>BL245+BL245</f>
        <v>4</v>
      </c>
      <c r="BN245" s="566" t="s">
        <v>1009</v>
      </c>
      <c r="BO245" s="603">
        <v>4</v>
      </c>
      <c r="BP245" s="611">
        <f>BM245-BO245</f>
        <v>0</v>
      </c>
      <c r="BQ245" s="604"/>
      <c r="BR245" s="678">
        <v>1</v>
      </c>
      <c r="BS245" s="576" t="s">
        <v>778</v>
      </c>
      <c r="BT245" s="679" t="s">
        <v>1010</v>
      </c>
      <c r="BU245" s="581"/>
      <c r="BY245" s="576"/>
      <c r="BZ245" s="576"/>
      <c r="DD245" s="561"/>
      <c r="DE245" s="562" t="s">
        <v>1011</v>
      </c>
      <c r="DF245" s="562"/>
      <c r="DG245" s="577"/>
      <c r="DH245" s="577"/>
      <c r="DI245" s="577"/>
      <c r="DJ245" s="577"/>
      <c r="DK245" s="577"/>
      <c r="DL245" s="577"/>
      <c r="DM245" s="577"/>
      <c r="DN245" s="577"/>
      <c r="DO245" s="577"/>
      <c r="DP245" s="577"/>
      <c r="DQ245" s="600"/>
      <c r="DR245" s="600"/>
      <c r="DS245" s="577"/>
      <c r="DT245" s="584"/>
      <c r="DU245" s="577"/>
      <c r="DV245" s="562"/>
      <c r="DW245" s="562"/>
      <c r="DX245" s="562"/>
    </row>
    <row r="246" spans="3:128" s="560" customFormat="1">
      <c r="C246" s="560">
        <v>0.48</v>
      </c>
      <c r="P246" s="561"/>
      <c r="Q246" s="562"/>
      <c r="R246" s="562">
        <v>0.7</v>
      </c>
      <c r="S246" s="562"/>
      <c r="T246" s="562"/>
      <c r="U246" s="562"/>
      <c r="V246" s="562"/>
      <c r="W246" s="562"/>
      <c r="X246" s="562"/>
      <c r="Y246" s="562"/>
      <c r="Z246" s="562"/>
      <c r="AA246" s="562"/>
      <c r="AB246" s="562"/>
      <c r="AC246" s="562"/>
      <c r="AD246" s="563"/>
      <c r="AE246" s="561"/>
      <c r="AF246" s="568">
        <v>20</v>
      </c>
      <c r="AG246" s="562"/>
      <c r="AH246" s="577"/>
      <c r="AI246" s="577"/>
      <c r="AJ246" s="577"/>
      <c r="AK246" s="577">
        <v>1</v>
      </c>
      <c r="AL246" s="577"/>
      <c r="AM246" s="577"/>
      <c r="AN246" s="562">
        <v>2.5</v>
      </c>
      <c r="AO246" s="562">
        <f t="shared" si="46"/>
        <v>5</v>
      </c>
      <c r="AP246" s="598">
        <v>0.140625</v>
      </c>
      <c r="AQ246" s="599">
        <v>4.3696666666666664</v>
      </c>
      <c r="AR246" s="599">
        <f t="shared" si="47"/>
        <v>0.63033333333333363</v>
      </c>
      <c r="AS246" s="600"/>
      <c r="AT246" s="600">
        <v>1</v>
      </c>
      <c r="AU246" s="577" t="s">
        <v>778</v>
      </c>
      <c r="AV246" s="577"/>
      <c r="AW246" s="562"/>
      <c r="AX246" s="562"/>
      <c r="AY246" s="562"/>
      <c r="AZ246" s="562"/>
      <c r="BA246" s="562"/>
      <c r="BB246" s="563"/>
      <c r="BD246" s="566">
        <v>2</v>
      </c>
      <c r="BE246" s="576"/>
      <c r="BF246" s="566">
        <v>0.2</v>
      </c>
      <c r="BG246" s="566" t="s">
        <v>778</v>
      </c>
      <c r="BH246" s="566">
        <v>1</v>
      </c>
      <c r="BI246" s="566"/>
      <c r="BJ246" s="566"/>
      <c r="BK246" s="566"/>
      <c r="BL246" s="680">
        <v>2.2999999999999998</v>
      </c>
      <c r="BM246" s="576">
        <f>BL246+BL246</f>
        <v>4.5999999999999996</v>
      </c>
      <c r="BN246" s="576"/>
      <c r="BO246" s="611">
        <v>4</v>
      </c>
      <c r="BP246" s="611">
        <f>BM246-BO246</f>
        <v>0.59999999999999964</v>
      </c>
      <c r="BQ246" s="612"/>
      <c r="BR246" s="612">
        <v>1</v>
      </c>
      <c r="BS246" s="576" t="s">
        <v>778</v>
      </c>
      <c r="BT246" s="679" t="s">
        <v>1012</v>
      </c>
      <c r="BY246" s="585" t="s">
        <v>780</v>
      </c>
      <c r="BZ246" s="585" t="s">
        <v>616</v>
      </c>
      <c r="DD246" s="561"/>
      <c r="DE246" s="577" t="s">
        <v>859</v>
      </c>
      <c r="DF246" s="577">
        <v>0.3</v>
      </c>
      <c r="DG246" s="577"/>
      <c r="DH246" s="577"/>
      <c r="DI246" s="577"/>
      <c r="DJ246" s="577"/>
      <c r="DK246" s="577"/>
      <c r="DL246" s="577"/>
      <c r="DM246" s="577"/>
      <c r="DN246" s="577"/>
      <c r="DO246" s="577"/>
      <c r="DP246" s="577"/>
      <c r="DQ246" s="600"/>
      <c r="DR246" s="600"/>
      <c r="DS246" s="577"/>
      <c r="DT246" s="609"/>
      <c r="DU246" s="577"/>
      <c r="DV246" s="562"/>
      <c r="DW246" s="562"/>
      <c r="DX246" s="562"/>
    </row>
    <row r="247" spans="3:128" s="560" customFormat="1">
      <c r="C247" s="560">
        <v>0.45</v>
      </c>
      <c r="P247" s="561"/>
      <c r="Q247" s="562"/>
      <c r="R247" s="562">
        <v>0.6</v>
      </c>
      <c r="S247" s="562"/>
      <c r="T247" s="562"/>
      <c r="U247" s="562"/>
      <c r="V247" s="562"/>
      <c r="W247" s="562"/>
      <c r="X247" s="562"/>
      <c r="Y247" s="562"/>
      <c r="Z247" s="562"/>
      <c r="AA247" s="562"/>
      <c r="AB247" s="562"/>
      <c r="AC247" s="562"/>
      <c r="AD247" s="563"/>
      <c r="AE247" s="561"/>
      <c r="AF247" s="568">
        <v>21</v>
      </c>
      <c r="AG247" s="562"/>
      <c r="AH247" s="577">
        <v>0.4</v>
      </c>
      <c r="AI247" s="577" t="s">
        <v>777</v>
      </c>
      <c r="AJ247" s="577">
        <v>1</v>
      </c>
      <c r="AK247" s="577"/>
      <c r="AL247" s="577"/>
      <c r="AM247" s="577"/>
      <c r="AN247" s="562">
        <v>2.6</v>
      </c>
      <c r="AO247" s="562">
        <f t="shared" si="46"/>
        <v>5.2</v>
      </c>
      <c r="AP247" s="598">
        <v>0.140625</v>
      </c>
      <c r="AQ247" s="599">
        <v>4.3633333333333333</v>
      </c>
      <c r="AR247" s="599">
        <f t="shared" si="47"/>
        <v>0.83666666666666689</v>
      </c>
      <c r="AS247" s="600"/>
      <c r="AT247" s="600">
        <v>1</v>
      </c>
      <c r="AU247" s="577" t="s">
        <v>778</v>
      </c>
      <c r="AV247" s="577">
        <v>1764</v>
      </c>
      <c r="AW247" s="562"/>
      <c r="AX247" s="562"/>
      <c r="AY247" s="562"/>
      <c r="AZ247" s="562"/>
      <c r="BA247" s="562"/>
      <c r="BB247" s="563"/>
      <c r="BD247" s="566">
        <v>3</v>
      </c>
      <c r="BE247" s="576"/>
      <c r="BF247" s="566"/>
      <c r="BG247" s="566"/>
      <c r="BH247" s="566"/>
      <c r="BI247" s="566">
        <v>1</v>
      </c>
      <c r="BJ247" s="566"/>
      <c r="BK247" s="566"/>
      <c r="BL247" s="680">
        <v>1.8</v>
      </c>
      <c r="BM247" s="576">
        <f>BL247+BL247</f>
        <v>3.6</v>
      </c>
      <c r="BN247" s="681" t="s">
        <v>797</v>
      </c>
      <c r="BO247" s="611">
        <v>3.4</v>
      </c>
      <c r="BP247" s="611">
        <f>BM247-BO247</f>
        <v>0.20000000000000018</v>
      </c>
      <c r="BQ247" s="612">
        <v>1</v>
      </c>
      <c r="BR247" s="612"/>
      <c r="BS247" s="576" t="s">
        <v>778</v>
      </c>
      <c r="BT247" s="680"/>
      <c r="BY247" s="585" t="s">
        <v>785</v>
      </c>
      <c r="BZ247" s="585" t="s">
        <v>542</v>
      </c>
      <c r="DD247" s="561"/>
      <c r="DE247" s="577"/>
      <c r="DF247" s="577">
        <v>0.16</v>
      </c>
      <c r="DG247" s="577"/>
      <c r="DH247" s="577"/>
      <c r="DI247" s="577"/>
      <c r="DJ247" s="577"/>
      <c r="DK247" s="577"/>
      <c r="DL247" s="577"/>
      <c r="DM247" s="577"/>
      <c r="DN247" s="577"/>
      <c r="DO247" s="577"/>
      <c r="DP247" s="577"/>
      <c r="DQ247" s="600"/>
      <c r="DR247" s="600"/>
      <c r="DS247" s="577"/>
      <c r="DT247" s="584"/>
      <c r="DU247" s="577"/>
      <c r="DV247" s="562"/>
      <c r="DW247" s="562"/>
      <c r="DX247" s="562"/>
    </row>
    <row r="248" spans="3:128" s="560" customFormat="1">
      <c r="C248" s="560">
        <v>0.43</v>
      </c>
      <c r="P248" s="561"/>
      <c r="Q248" s="562"/>
      <c r="R248" s="562">
        <v>0.7</v>
      </c>
      <c r="S248" s="562"/>
      <c r="T248" s="562"/>
      <c r="U248" s="562"/>
      <c r="V248" s="562"/>
      <c r="W248" s="562"/>
      <c r="X248" s="562"/>
      <c r="Y248" s="562"/>
      <c r="Z248" s="562"/>
      <c r="AA248" s="562"/>
      <c r="AB248" s="562"/>
      <c r="AC248" s="562"/>
      <c r="AD248" s="563"/>
      <c r="AE248" s="561"/>
      <c r="AF248" s="568">
        <v>22</v>
      </c>
      <c r="AG248" s="562"/>
      <c r="AH248" s="577"/>
      <c r="AI248" s="577"/>
      <c r="AJ248" s="577"/>
      <c r="AK248" s="577">
        <v>1</v>
      </c>
      <c r="AL248" s="577"/>
      <c r="AM248" s="577"/>
      <c r="AN248" s="562">
        <v>2.65</v>
      </c>
      <c r="AO248" s="562">
        <f t="shared" si="46"/>
        <v>5.3</v>
      </c>
      <c r="AP248" s="598">
        <v>0.140625</v>
      </c>
      <c r="AQ248" s="599">
        <v>4.3569999999999993</v>
      </c>
      <c r="AR248" s="599">
        <f t="shared" si="47"/>
        <v>0.9430000000000005</v>
      </c>
      <c r="AS248" s="600"/>
      <c r="AT248" s="600">
        <v>1</v>
      </c>
      <c r="AU248" s="577" t="s">
        <v>778</v>
      </c>
      <c r="AV248" s="577"/>
      <c r="AW248" s="562"/>
      <c r="AX248" s="562"/>
      <c r="AY248" s="562"/>
      <c r="AZ248" s="562"/>
      <c r="BA248" s="562"/>
      <c r="BB248" s="563"/>
      <c r="BD248" s="566">
        <v>4</v>
      </c>
      <c r="BE248" s="576"/>
      <c r="BF248" s="566">
        <v>0.5</v>
      </c>
      <c r="BG248" s="566" t="s">
        <v>778</v>
      </c>
      <c r="BH248" s="566">
        <v>1</v>
      </c>
      <c r="BI248" s="566"/>
      <c r="BJ248" s="566"/>
      <c r="BK248" s="566"/>
      <c r="BL248" s="680">
        <v>2.7</v>
      </c>
      <c r="BM248" s="576">
        <f>BL248+BL248</f>
        <v>5.4</v>
      </c>
      <c r="BN248" s="576" t="s">
        <v>796</v>
      </c>
      <c r="BO248" s="611">
        <v>5</v>
      </c>
      <c r="BP248" s="611">
        <f>BM248-BO248</f>
        <v>0.40000000000000036</v>
      </c>
      <c r="BQ248" s="612">
        <v>1</v>
      </c>
      <c r="BR248" s="612"/>
      <c r="BS248" s="576" t="s">
        <v>778</v>
      </c>
      <c r="BT248" s="679" t="s">
        <v>1013</v>
      </c>
      <c r="BY248" s="585" t="s">
        <v>789</v>
      </c>
      <c r="BZ248" s="585" t="s">
        <v>790</v>
      </c>
      <c r="DD248" s="561"/>
      <c r="DE248" s="577"/>
      <c r="DF248" s="577">
        <v>0.19</v>
      </c>
      <c r="DG248" s="577"/>
      <c r="DH248" s="577"/>
      <c r="DI248" s="577"/>
      <c r="DJ248" s="577"/>
      <c r="DK248" s="577"/>
      <c r="DL248" s="577"/>
      <c r="DM248" s="577"/>
      <c r="DN248" s="577"/>
      <c r="DO248" s="577"/>
      <c r="DP248" s="577"/>
      <c r="DQ248" s="600"/>
      <c r="DR248" s="600"/>
      <c r="DS248" s="577"/>
      <c r="DT248" s="584"/>
      <c r="DU248" s="577"/>
      <c r="DV248" s="562"/>
      <c r="DW248" s="562"/>
      <c r="DX248" s="562"/>
    </row>
    <row r="249" spans="3:128" s="560" customFormat="1">
      <c r="C249" s="560">
        <v>0.4</v>
      </c>
      <c r="P249" s="561"/>
      <c r="Q249" s="562"/>
      <c r="R249" s="562">
        <v>0.6</v>
      </c>
      <c r="S249" s="562"/>
      <c r="T249" s="562"/>
      <c r="U249" s="562"/>
      <c r="V249" s="562"/>
      <c r="W249" s="562"/>
      <c r="X249" s="562"/>
      <c r="Y249" s="562"/>
      <c r="Z249" s="562"/>
      <c r="AA249" s="562"/>
      <c r="AB249" s="562"/>
      <c r="AC249" s="562"/>
      <c r="AD249" s="563"/>
      <c r="AE249" s="561"/>
      <c r="AF249" s="568">
        <v>23</v>
      </c>
      <c r="AG249" s="562"/>
      <c r="AH249" s="577"/>
      <c r="AI249" s="577"/>
      <c r="AJ249" s="577"/>
      <c r="AK249" s="577">
        <v>1</v>
      </c>
      <c r="AL249" s="577"/>
      <c r="AM249" s="577"/>
      <c r="AN249" s="562">
        <v>2.6</v>
      </c>
      <c r="AO249" s="562">
        <f t="shared" si="46"/>
        <v>5.2</v>
      </c>
      <c r="AP249" s="598">
        <v>0.140625</v>
      </c>
      <c r="AQ249" s="599">
        <v>4.3506666666666662</v>
      </c>
      <c r="AR249" s="599">
        <f t="shared" si="47"/>
        <v>0.84933333333333394</v>
      </c>
      <c r="AS249" s="600"/>
      <c r="AT249" s="600">
        <v>1</v>
      </c>
      <c r="AU249" s="577" t="s">
        <v>778</v>
      </c>
      <c r="AV249" s="577"/>
      <c r="AW249" s="562"/>
      <c r="AX249" s="562"/>
      <c r="AY249" s="562"/>
      <c r="AZ249" s="562"/>
      <c r="BA249" s="562"/>
      <c r="BB249" s="563"/>
      <c r="BD249" s="566" t="s">
        <v>778</v>
      </c>
      <c r="BE249" s="576"/>
      <c r="BF249" s="566">
        <v>14.4</v>
      </c>
      <c r="BG249" s="566" t="s">
        <v>828</v>
      </c>
      <c r="BH249" s="566"/>
      <c r="BI249" s="566"/>
      <c r="BJ249" s="566"/>
      <c r="BK249" s="566"/>
      <c r="BL249" s="680"/>
      <c r="BM249" s="576"/>
      <c r="BN249" s="576"/>
      <c r="BO249" s="611"/>
      <c r="BP249" s="611"/>
      <c r="BQ249" s="612"/>
      <c r="BR249" s="612"/>
      <c r="BS249" s="576" t="s">
        <v>778</v>
      </c>
      <c r="BT249" s="679" t="s">
        <v>1014</v>
      </c>
      <c r="BY249" s="585" t="s">
        <v>791</v>
      </c>
      <c r="BZ249" s="585" t="s">
        <v>792</v>
      </c>
      <c r="DD249" s="561"/>
      <c r="DE249" s="577"/>
      <c r="DF249" s="577">
        <v>0.2</v>
      </c>
      <c r="DG249" s="577"/>
      <c r="DH249" s="577"/>
      <c r="DI249" s="577"/>
      <c r="DJ249" s="577"/>
      <c r="DK249" s="577"/>
      <c r="DL249" s="577"/>
      <c r="DM249" s="577"/>
      <c r="DN249" s="577"/>
      <c r="DO249" s="577"/>
      <c r="DP249" s="577"/>
      <c r="DQ249" s="600"/>
      <c r="DR249" s="600"/>
      <c r="DS249" s="577"/>
      <c r="DT249" s="584"/>
      <c r="DU249" s="577"/>
      <c r="DV249" s="562"/>
      <c r="DW249" s="562"/>
      <c r="DX249" s="562"/>
    </row>
    <row r="250" spans="3:128" s="560" customFormat="1">
      <c r="C250" s="560">
        <v>0.43</v>
      </c>
      <c r="P250" s="561"/>
      <c r="Q250" s="562"/>
      <c r="R250" s="562">
        <v>0.55000000000000004</v>
      </c>
      <c r="S250" s="562"/>
      <c r="T250" s="562"/>
      <c r="U250" s="562"/>
      <c r="V250" s="562"/>
      <c r="W250" s="562"/>
      <c r="X250" s="562"/>
      <c r="Y250" s="562"/>
      <c r="Z250" s="562"/>
      <c r="AA250" s="562"/>
      <c r="AB250" s="562"/>
      <c r="AC250" s="562"/>
      <c r="AD250" s="563"/>
      <c r="AE250" s="561"/>
      <c r="AF250" s="568">
        <v>24</v>
      </c>
      <c r="AG250" s="562"/>
      <c r="AH250" s="577"/>
      <c r="AI250" s="577"/>
      <c r="AJ250" s="577"/>
      <c r="AK250" s="577">
        <v>1</v>
      </c>
      <c r="AL250" s="577"/>
      <c r="AM250" s="577"/>
      <c r="AN250" s="562">
        <v>2.65</v>
      </c>
      <c r="AO250" s="562">
        <f t="shared" si="46"/>
        <v>5.3</v>
      </c>
      <c r="AP250" s="598">
        <v>0.140625</v>
      </c>
      <c r="AQ250" s="599">
        <v>4.3443333333333332</v>
      </c>
      <c r="AR250" s="599">
        <f t="shared" si="47"/>
        <v>0.95566666666666666</v>
      </c>
      <c r="AS250" s="600"/>
      <c r="AT250" s="600">
        <v>1</v>
      </c>
      <c r="AU250" s="577" t="s">
        <v>778</v>
      </c>
      <c r="AV250" s="577"/>
      <c r="AW250" s="562"/>
      <c r="AX250" s="562"/>
      <c r="AY250" s="562"/>
      <c r="AZ250" s="562"/>
      <c r="BA250" s="562"/>
      <c r="BB250" s="563"/>
      <c r="BD250" s="566">
        <v>5</v>
      </c>
      <c r="BE250" s="576"/>
      <c r="BF250" s="566"/>
      <c r="BG250" s="566"/>
      <c r="BH250" s="566"/>
      <c r="BI250" s="566">
        <v>1</v>
      </c>
      <c r="BJ250" s="566"/>
      <c r="BK250" s="566"/>
      <c r="BL250" s="680">
        <v>2</v>
      </c>
      <c r="BM250" s="576">
        <f>BL250+BL250</f>
        <v>4</v>
      </c>
      <c r="BN250" s="576"/>
      <c r="BO250" s="611">
        <v>4</v>
      </c>
      <c r="BP250" s="611">
        <f>BM250-BO250</f>
        <v>0</v>
      </c>
      <c r="BQ250" s="612"/>
      <c r="BR250" s="612">
        <v>1</v>
      </c>
      <c r="BS250" s="576" t="s">
        <v>778</v>
      </c>
      <c r="BT250" s="680"/>
      <c r="BY250" s="585" t="s">
        <v>794</v>
      </c>
      <c r="BZ250" s="585" t="s">
        <v>795</v>
      </c>
      <c r="DD250" s="561"/>
      <c r="DE250" s="577" t="s">
        <v>859</v>
      </c>
      <c r="DF250" s="577">
        <v>0.3</v>
      </c>
      <c r="DG250" s="577"/>
      <c r="DH250" s="577"/>
      <c r="DI250" s="577"/>
      <c r="DJ250" s="577"/>
      <c r="DK250" s="577"/>
      <c r="DL250" s="577"/>
      <c r="DM250" s="577"/>
      <c r="DN250" s="577"/>
      <c r="DO250" s="577"/>
      <c r="DP250" s="577"/>
      <c r="DQ250" s="600"/>
      <c r="DR250" s="600"/>
      <c r="DS250" s="577"/>
      <c r="DT250" s="577"/>
      <c r="DU250" s="577"/>
      <c r="DV250" s="577"/>
      <c r="DW250" s="577"/>
      <c r="DX250" s="577"/>
    </row>
    <row r="251" spans="3:128" s="560" customFormat="1">
      <c r="C251" s="560">
        <v>0.4</v>
      </c>
      <c r="P251" s="561"/>
      <c r="Q251" s="562"/>
      <c r="R251" s="562">
        <v>0.57999999999999996</v>
      </c>
      <c r="S251" s="562"/>
      <c r="T251" s="562"/>
      <c r="U251" s="562"/>
      <c r="V251" s="562"/>
      <c r="W251" s="562"/>
      <c r="X251" s="562"/>
      <c r="Y251" s="562"/>
      <c r="Z251" s="562"/>
      <c r="AA251" s="562"/>
      <c r="AB251" s="562"/>
      <c r="AC251" s="562"/>
      <c r="AD251" s="563"/>
      <c r="AE251" s="561"/>
      <c r="AF251" s="568">
        <v>25</v>
      </c>
      <c r="AG251" s="562"/>
      <c r="AH251" s="577"/>
      <c r="AI251" s="577"/>
      <c r="AJ251" s="577"/>
      <c r="AK251" s="577">
        <v>1</v>
      </c>
      <c r="AL251" s="577"/>
      <c r="AM251" s="577"/>
      <c r="AN251" s="562">
        <v>2.6</v>
      </c>
      <c r="AO251" s="562">
        <f t="shared" si="46"/>
        <v>5.2</v>
      </c>
      <c r="AP251" s="598">
        <v>0.140625</v>
      </c>
      <c r="AQ251" s="599">
        <v>4.3379999999999992</v>
      </c>
      <c r="AR251" s="599">
        <f t="shared" si="47"/>
        <v>0.86200000000000099</v>
      </c>
      <c r="AS251" s="600"/>
      <c r="AT251" s="600">
        <v>1</v>
      </c>
      <c r="AU251" s="577" t="s">
        <v>778</v>
      </c>
      <c r="AV251" s="577"/>
      <c r="AW251" s="562"/>
      <c r="AX251" s="562"/>
      <c r="AY251" s="562"/>
      <c r="AZ251" s="562"/>
      <c r="BA251" s="562"/>
      <c r="BB251" s="563"/>
      <c r="BD251" s="566">
        <v>6</v>
      </c>
      <c r="BE251" s="576"/>
      <c r="BF251" s="566"/>
      <c r="BG251" s="566"/>
      <c r="BH251" s="566"/>
      <c r="BI251" s="566">
        <v>1</v>
      </c>
      <c r="BJ251" s="566"/>
      <c r="BK251" s="566"/>
      <c r="BL251" s="680">
        <v>2</v>
      </c>
      <c r="BM251" s="576">
        <f>BL251+BL251</f>
        <v>4</v>
      </c>
      <c r="BN251" s="576"/>
      <c r="BO251" s="611">
        <v>3.9948275862068967</v>
      </c>
      <c r="BP251" s="611">
        <f>BM251-BO251</f>
        <v>5.1724137931032921E-3</v>
      </c>
      <c r="BQ251" s="612"/>
      <c r="BR251" s="612">
        <v>1</v>
      </c>
      <c r="BS251" s="576" t="s">
        <v>778</v>
      </c>
      <c r="BT251" s="680"/>
      <c r="BY251" s="585" t="s">
        <v>798</v>
      </c>
      <c r="BZ251" s="585" t="s">
        <v>546</v>
      </c>
      <c r="DD251" s="561"/>
      <c r="DE251" s="577"/>
      <c r="DF251" s="577">
        <v>0.2</v>
      </c>
      <c r="DG251" s="577"/>
      <c r="DH251" s="577"/>
      <c r="DI251" s="577"/>
      <c r="DJ251" s="577"/>
      <c r="DK251" s="577"/>
      <c r="DL251" s="577"/>
      <c r="DM251" s="577"/>
      <c r="DN251" s="577"/>
      <c r="DO251" s="577"/>
      <c r="DP251" s="577"/>
      <c r="DQ251" s="600"/>
      <c r="DR251" s="600"/>
      <c r="DS251" s="577"/>
      <c r="DT251" s="577"/>
      <c r="DU251" s="577"/>
      <c r="DV251" s="577"/>
      <c r="DW251" s="577"/>
      <c r="DX251" s="577"/>
    </row>
    <row r="252" spans="3:128" s="560" customFormat="1">
      <c r="C252" s="560">
        <v>0.44</v>
      </c>
      <c r="P252" s="561"/>
      <c r="Q252" s="562"/>
      <c r="R252" s="562">
        <v>0.81</v>
      </c>
      <c r="S252" s="562"/>
      <c r="T252" s="562"/>
      <c r="U252" s="562"/>
      <c r="V252" s="562"/>
      <c r="W252" s="562"/>
      <c r="X252" s="562"/>
      <c r="Y252" s="562"/>
      <c r="Z252" s="562"/>
      <c r="AA252" s="562"/>
      <c r="AB252" s="562"/>
      <c r="AC252" s="562"/>
      <c r="AD252" s="563"/>
      <c r="AE252" s="561"/>
      <c r="AF252" s="568">
        <v>26</v>
      </c>
      <c r="AG252" s="562"/>
      <c r="AH252" s="577"/>
      <c r="AI252" s="577"/>
      <c r="AJ252" s="577"/>
      <c r="AK252" s="577">
        <v>1</v>
      </c>
      <c r="AL252" s="577"/>
      <c r="AM252" s="577"/>
      <c r="AN252" s="562">
        <v>2.5</v>
      </c>
      <c r="AO252" s="562">
        <f t="shared" si="46"/>
        <v>5</v>
      </c>
      <c r="AP252" s="598">
        <v>0.140625</v>
      </c>
      <c r="AQ252" s="599">
        <v>4.3316666666666661</v>
      </c>
      <c r="AR252" s="599">
        <f t="shared" si="47"/>
        <v>0.66833333333333389</v>
      </c>
      <c r="AS252" s="600"/>
      <c r="AT252" s="600">
        <v>1</v>
      </c>
      <c r="AU252" s="577" t="s">
        <v>778</v>
      </c>
      <c r="AV252" s="577"/>
      <c r="AW252" s="562"/>
      <c r="AX252" s="562"/>
      <c r="AY252" s="562"/>
      <c r="AZ252" s="562"/>
      <c r="BA252" s="562"/>
      <c r="BB252" s="563"/>
      <c r="BD252" s="566">
        <v>7</v>
      </c>
      <c r="BE252" s="576"/>
      <c r="BF252" s="566"/>
      <c r="BG252" s="566"/>
      <c r="BH252" s="566"/>
      <c r="BI252" s="566">
        <v>1</v>
      </c>
      <c r="BJ252" s="566"/>
      <c r="BK252" s="566"/>
      <c r="BL252" s="680">
        <v>2.1</v>
      </c>
      <c r="BM252" s="576">
        <f>BL252+BL252</f>
        <v>4.2</v>
      </c>
      <c r="BN252" s="576"/>
      <c r="BO252" s="611">
        <v>3.989655172413793</v>
      </c>
      <c r="BP252" s="611">
        <f>BM252-BO252</f>
        <v>0.21034482758620721</v>
      </c>
      <c r="BQ252" s="612"/>
      <c r="BR252" s="612">
        <v>1</v>
      </c>
      <c r="BS252" s="576" t="s">
        <v>778</v>
      </c>
      <c r="BT252" s="680"/>
      <c r="BY252" s="585" t="s">
        <v>800</v>
      </c>
      <c r="BZ252" s="585" t="s">
        <v>801</v>
      </c>
      <c r="DD252" s="561"/>
      <c r="DE252" s="577"/>
      <c r="DF252" s="577">
        <v>0.16</v>
      </c>
      <c r="DG252" s="577"/>
      <c r="DH252" s="577"/>
      <c r="DI252" s="577"/>
      <c r="DJ252" s="577"/>
      <c r="DK252" s="577"/>
      <c r="DL252" s="577"/>
      <c r="DM252" s="577"/>
      <c r="DN252" s="577"/>
      <c r="DO252" s="577"/>
      <c r="DP252" s="577"/>
      <c r="DQ252" s="600"/>
      <c r="DR252" s="600"/>
      <c r="DS252" s="577"/>
      <c r="DT252" s="577"/>
      <c r="DU252" s="577"/>
      <c r="DV252" s="577"/>
      <c r="DW252" s="577"/>
      <c r="DX252" s="577"/>
    </row>
    <row r="253" spans="3:128" s="560" customFormat="1">
      <c r="C253" s="560">
        <v>0.5</v>
      </c>
      <c r="P253" s="561"/>
      <c r="Q253" s="562"/>
      <c r="R253" s="562">
        <v>0.84</v>
      </c>
      <c r="S253" s="562"/>
      <c r="T253" s="562"/>
      <c r="U253" s="562"/>
      <c r="V253" s="562"/>
      <c r="W253" s="562"/>
      <c r="X253" s="562"/>
      <c r="Y253" s="562"/>
      <c r="Z253" s="562"/>
      <c r="AA253" s="562"/>
      <c r="AB253" s="562"/>
      <c r="AC253" s="562"/>
      <c r="AD253" s="563"/>
      <c r="AE253" s="561"/>
      <c r="AF253" s="568">
        <v>27</v>
      </c>
      <c r="AG253" s="562"/>
      <c r="AH253" s="577"/>
      <c r="AI253" s="577"/>
      <c r="AJ253" s="577"/>
      <c r="AK253" s="577">
        <v>1</v>
      </c>
      <c r="AL253" s="577"/>
      <c r="AM253" s="577"/>
      <c r="AN253" s="562">
        <v>2.65</v>
      </c>
      <c r="AO253" s="562">
        <f t="shared" si="46"/>
        <v>5.3</v>
      </c>
      <c r="AP253" s="598">
        <v>0.140625</v>
      </c>
      <c r="AQ253" s="599">
        <v>4.325333333333333</v>
      </c>
      <c r="AR253" s="599">
        <f t="shared" si="47"/>
        <v>0.97466666666666679</v>
      </c>
      <c r="AS253" s="600"/>
      <c r="AT253" s="600">
        <v>1</v>
      </c>
      <c r="AU253" s="577" t="s">
        <v>778</v>
      </c>
      <c r="AV253" s="577"/>
      <c r="AW253" s="562"/>
      <c r="AX253" s="562"/>
      <c r="AY253" s="562"/>
      <c r="AZ253" s="562"/>
      <c r="BA253" s="562"/>
      <c r="BB253" s="563"/>
      <c r="BD253" s="566">
        <v>8</v>
      </c>
      <c r="BE253" s="576"/>
      <c r="BF253" s="566">
        <v>0.6</v>
      </c>
      <c r="BG253" s="566" t="s">
        <v>778</v>
      </c>
      <c r="BH253" s="566">
        <v>1</v>
      </c>
      <c r="BI253" s="566"/>
      <c r="BJ253" s="566"/>
      <c r="BK253" s="566"/>
      <c r="BL253" s="680">
        <v>2</v>
      </c>
      <c r="BM253" s="576">
        <f>BL253+BL253</f>
        <v>4</v>
      </c>
      <c r="BN253" s="576"/>
      <c r="BO253" s="611">
        <v>3.9844827586206897</v>
      </c>
      <c r="BP253" s="611">
        <f>BM253-BO253</f>
        <v>1.551724137931032E-2</v>
      </c>
      <c r="BQ253" s="612"/>
      <c r="BR253" s="612">
        <v>1</v>
      </c>
      <c r="BS253" s="576" t="s">
        <v>778</v>
      </c>
      <c r="BT253" s="679" t="s">
        <v>1015</v>
      </c>
      <c r="BU253" s="560" t="s">
        <v>889</v>
      </c>
      <c r="BY253" s="585" t="s">
        <v>804</v>
      </c>
      <c r="BZ253" s="585" t="s">
        <v>805</v>
      </c>
      <c r="DD253" s="561"/>
      <c r="DE253" s="577"/>
      <c r="DF253" s="577">
        <v>0.2</v>
      </c>
      <c r="DG253" s="577"/>
      <c r="DH253" s="577"/>
      <c r="DI253" s="577"/>
      <c r="DJ253" s="577"/>
      <c r="DK253" s="577"/>
      <c r="DL253" s="577"/>
      <c r="DM253" s="577"/>
      <c r="DN253" s="577"/>
      <c r="DO253" s="577"/>
      <c r="DP253" s="577"/>
      <c r="DQ253" s="600"/>
      <c r="DR253" s="600"/>
      <c r="DS253" s="577"/>
      <c r="DT253" s="577"/>
      <c r="DU253" s="577"/>
      <c r="DV253" s="577"/>
      <c r="DW253" s="577"/>
      <c r="DX253" s="577"/>
    </row>
    <row r="254" spans="3:128" s="560" customFormat="1">
      <c r="C254" s="560">
        <v>0.55000000000000004</v>
      </c>
      <c r="P254" s="561"/>
      <c r="Q254" s="562"/>
      <c r="R254" s="562">
        <v>0.8</v>
      </c>
      <c r="S254" s="562"/>
      <c r="T254" s="562"/>
      <c r="U254" s="562"/>
      <c r="V254" s="562"/>
      <c r="W254" s="562"/>
      <c r="X254" s="562"/>
      <c r="Y254" s="562"/>
      <c r="Z254" s="562"/>
      <c r="AA254" s="562"/>
      <c r="AB254" s="562"/>
      <c r="AC254" s="562"/>
      <c r="AD254" s="563"/>
      <c r="AE254" s="561"/>
      <c r="AF254" s="568">
        <v>28</v>
      </c>
      <c r="AG254" s="562"/>
      <c r="AH254" s="577"/>
      <c r="AI254" s="577"/>
      <c r="AJ254" s="577"/>
      <c r="AK254" s="577">
        <v>1</v>
      </c>
      <c r="AL254" s="577"/>
      <c r="AM254" s="577"/>
      <c r="AN254" s="562">
        <v>2.65</v>
      </c>
      <c r="AO254" s="562">
        <f t="shared" si="46"/>
        <v>5.3</v>
      </c>
      <c r="AP254" s="598">
        <v>0.140625</v>
      </c>
      <c r="AQ254" s="599">
        <v>4.319</v>
      </c>
      <c r="AR254" s="599">
        <f t="shared" si="47"/>
        <v>0.98099999999999987</v>
      </c>
      <c r="AS254" s="600"/>
      <c r="AT254" s="600">
        <v>1</v>
      </c>
      <c r="AU254" s="577" t="s">
        <v>778</v>
      </c>
      <c r="AV254" s="577"/>
      <c r="AW254" s="562"/>
      <c r="AX254" s="562"/>
      <c r="AY254" s="562"/>
      <c r="AZ254" s="562"/>
      <c r="BA254" s="562"/>
      <c r="BB254" s="563"/>
      <c r="BD254" s="566">
        <v>9</v>
      </c>
      <c r="BE254" s="576"/>
      <c r="BF254" s="566">
        <v>1.5</v>
      </c>
      <c r="BG254" s="566" t="s">
        <v>778</v>
      </c>
      <c r="BH254" s="566">
        <v>1</v>
      </c>
      <c r="BI254" s="566"/>
      <c r="BJ254" s="566"/>
      <c r="BK254" s="566"/>
      <c r="BL254" s="680">
        <v>2.2999999999999998</v>
      </c>
      <c r="BM254" s="576">
        <f>BL254+BL254</f>
        <v>4.5999999999999996</v>
      </c>
      <c r="BN254" s="576"/>
      <c r="BO254" s="611">
        <v>3.9793103448275864</v>
      </c>
      <c r="BP254" s="611">
        <f>BM254-BO254</f>
        <v>0.62068965517241326</v>
      </c>
      <c r="BQ254" s="612"/>
      <c r="BR254" s="612">
        <v>1</v>
      </c>
      <c r="BS254" s="576" t="s">
        <v>778</v>
      </c>
      <c r="BT254" s="679" t="s">
        <v>1016</v>
      </c>
      <c r="BY254" s="585" t="s">
        <v>807</v>
      </c>
      <c r="BZ254" s="585" t="s">
        <v>808</v>
      </c>
      <c r="DD254" s="561"/>
      <c r="DE254" s="577" t="s">
        <v>859</v>
      </c>
      <c r="DF254" s="577">
        <v>0.35</v>
      </c>
      <c r="DG254" s="577"/>
      <c r="DH254" s="577"/>
      <c r="DI254" s="577"/>
      <c r="DJ254" s="577"/>
      <c r="DK254" s="577"/>
      <c r="DL254" s="577"/>
      <c r="DM254" s="577"/>
      <c r="DN254" s="577"/>
      <c r="DO254" s="577"/>
      <c r="DP254" s="577"/>
      <c r="DQ254" s="600"/>
      <c r="DR254" s="600"/>
      <c r="DS254" s="577"/>
      <c r="DT254" s="577"/>
      <c r="DU254" s="577"/>
      <c r="DV254" s="577"/>
      <c r="DW254" s="577"/>
      <c r="DX254" s="577"/>
    </row>
    <row r="255" spans="3:128" s="560" customFormat="1">
      <c r="C255" s="560">
        <v>0.54</v>
      </c>
      <c r="P255" s="561"/>
      <c r="Q255" s="562"/>
      <c r="R255" s="562">
        <v>1</v>
      </c>
      <c r="S255" s="562"/>
      <c r="T255" s="562"/>
      <c r="U255" s="562"/>
      <c r="V255" s="562"/>
      <c r="W255" s="562"/>
      <c r="X255" s="562"/>
      <c r="Y255" s="562"/>
      <c r="Z255" s="562"/>
      <c r="AA255" s="562"/>
      <c r="AB255" s="562"/>
      <c r="AC255" s="562"/>
      <c r="AD255" s="563"/>
      <c r="AE255" s="561"/>
      <c r="AF255" s="568">
        <v>29</v>
      </c>
      <c r="AG255" s="562"/>
      <c r="AH255" s="577">
        <v>0.3</v>
      </c>
      <c r="AI255" s="577" t="s">
        <v>793</v>
      </c>
      <c r="AJ255" s="577"/>
      <c r="AK255" s="577">
        <v>1</v>
      </c>
      <c r="AL255" s="577"/>
      <c r="AM255" s="577">
        <v>1</v>
      </c>
      <c r="AN255" s="562">
        <v>2.6</v>
      </c>
      <c r="AO255" s="562">
        <f t="shared" si="46"/>
        <v>5.2</v>
      </c>
      <c r="AP255" s="598">
        <v>0.140625</v>
      </c>
      <c r="AQ255" s="599">
        <v>4.312666666666666</v>
      </c>
      <c r="AR255" s="599">
        <f t="shared" si="47"/>
        <v>0.8873333333333342</v>
      </c>
      <c r="AS255" s="600"/>
      <c r="AT255" s="600">
        <v>1</v>
      </c>
      <c r="AU255" s="577" t="s">
        <v>778</v>
      </c>
      <c r="AV255" s="577">
        <v>1763</v>
      </c>
      <c r="AW255" s="562"/>
      <c r="AX255" s="562"/>
      <c r="AY255" s="562"/>
      <c r="AZ255" s="562"/>
      <c r="BA255" s="562"/>
      <c r="BB255" s="563"/>
      <c r="BD255" s="566" t="s">
        <v>778</v>
      </c>
      <c r="BE255" s="576"/>
      <c r="BF255" s="566">
        <v>6</v>
      </c>
      <c r="BG255" s="566"/>
      <c r="BH255" s="566"/>
      <c r="BI255" s="566"/>
      <c r="BJ255" s="566"/>
      <c r="BK255" s="566"/>
      <c r="BL255" s="680"/>
      <c r="BM255" s="576"/>
      <c r="BN255" s="576"/>
      <c r="BO255" s="611">
        <v>3.9741379310344827</v>
      </c>
      <c r="BP255" s="611"/>
      <c r="BQ255" s="612"/>
      <c r="BR255" s="612"/>
      <c r="BS255" s="576" t="s">
        <v>778</v>
      </c>
      <c r="BT255" s="679" t="s">
        <v>1017</v>
      </c>
      <c r="BY255" s="585" t="s">
        <v>810</v>
      </c>
      <c r="BZ255" s="585" t="s">
        <v>550</v>
      </c>
      <c r="DD255" s="561"/>
      <c r="DE255" s="577"/>
      <c r="DF255" s="577">
        <v>0.25</v>
      </c>
      <c r="DG255" s="577"/>
      <c r="DH255" s="577"/>
      <c r="DI255" s="577"/>
      <c r="DJ255" s="577"/>
      <c r="DK255" s="577"/>
      <c r="DL255" s="577"/>
      <c r="DM255" s="577"/>
      <c r="DN255" s="577"/>
      <c r="DO255" s="577"/>
      <c r="DP255" s="577"/>
      <c r="DQ255" s="600"/>
      <c r="DR255" s="600"/>
      <c r="DS255" s="577"/>
      <c r="DT255" s="577"/>
      <c r="DU255" s="577"/>
      <c r="DV255" s="577"/>
      <c r="DW255" s="577"/>
      <c r="DX255" s="577"/>
    </row>
    <row r="256" spans="3:128" s="560" customFormat="1">
      <c r="C256" s="560">
        <v>0.46</v>
      </c>
      <c r="P256" s="561"/>
      <c r="Q256" s="562"/>
      <c r="R256" s="562">
        <v>0.65</v>
      </c>
      <c r="S256" s="562"/>
      <c r="T256" s="562"/>
      <c r="U256" s="562"/>
      <c r="V256" s="562"/>
      <c r="W256" s="562"/>
      <c r="X256" s="562"/>
      <c r="Y256" s="562"/>
      <c r="Z256" s="562"/>
      <c r="AA256" s="562"/>
      <c r="AB256" s="562"/>
      <c r="AC256" s="562"/>
      <c r="AD256" s="563"/>
      <c r="AE256" s="561"/>
      <c r="AF256" s="568">
        <v>30</v>
      </c>
      <c r="AG256" s="562"/>
      <c r="AH256" s="577">
        <v>0.2</v>
      </c>
      <c r="AI256" s="577" t="s">
        <v>802</v>
      </c>
      <c r="AJ256" s="577"/>
      <c r="AK256" s="577">
        <v>1</v>
      </c>
      <c r="AL256" s="577">
        <v>1</v>
      </c>
      <c r="AM256" s="577"/>
      <c r="AN256" s="562">
        <v>2.65</v>
      </c>
      <c r="AO256" s="562">
        <f t="shared" si="46"/>
        <v>5.3</v>
      </c>
      <c r="AP256" s="598">
        <v>0.140625</v>
      </c>
      <c r="AQ256" s="599">
        <v>4.3063333333333329</v>
      </c>
      <c r="AR256" s="599">
        <f t="shared" si="47"/>
        <v>0.99366666666666692</v>
      </c>
      <c r="AS256" s="600"/>
      <c r="AT256" s="600">
        <v>1</v>
      </c>
      <c r="AU256" s="577" t="s">
        <v>778</v>
      </c>
      <c r="AV256" s="577">
        <v>1762</v>
      </c>
      <c r="AW256" s="562"/>
      <c r="AX256" s="562"/>
      <c r="AY256" s="562"/>
      <c r="AZ256" s="562"/>
      <c r="BA256" s="562"/>
      <c r="BB256" s="563"/>
      <c r="BD256" s="566">
        <v>10</v>
      </c>
      <c r="BE256" s="576"/>
      <c r="BF256" s="566">
        <v>0.6</v>
      </c>
      <c r="BG256" s="566" t="s">
        <v>778</v>
      </c>
      <c r="BH256" s="566">
        <v>1</v>
      </c>
      <c r="BI256" s="566"/>
      <c r="BJ256" s="566"/>
      <c r="BK256" s="566"/>
      <c r="BL256" s="680">
        <v>2.2999999999999998</v>
      </c>
      <c r="BM256" s="576">
        <f t="shared" ref="BM256:BM279" si="49">BL256+BL256</f>
        <v>4.5999999999999996</v>
      </c>
      <c r="BN256" s="576"/>
      <c r="BO256" s="611">
        <v>3.9689655172413794</v>
      </c>
      <c r="BP256" s="611">
        <f t="shared" ref="BP256:BP279" si="50">BM256-BO256</f>
        <v>0.63103448275862029</v>
      </c>
      <c r="BQ256" s="612"/>
      <c r="BR256" s="612">
        <v>1</v>
      </c>
      <c r="BS256" s="576" t="s">
        <v>778</v>
      </c>
      <c r="BT256" s="679" t="s">
        <v>1018</v>
      </c>
      <c r="BU256" s="560" t="s">
        <v>889</v>
      </c>
      <c r="BY256" s="585" t="s">
        <v>813</v>
      </c>
      <c r="BZ256" s="585" t="s">
        <v>552</v>
      </c>
      <c r="DD256" s="561"/>
      <c r="DE256" s="577"/>
      <c r="DF256" s="577">
        <v>1.1000000000000001</v>
      </c>
      <c r="DG256" s="577"/>
      <c r="DH256" s="577"/>
      <c r="DI256" s="577"/>
      <c r="DJ256" s="577"/>
      <c r="DK256" s="577"/>
      <c r="DL256" s="577"/>
      <c r="DM256" s="577"/>
      <c r="DN256" s="577"/>
      <c r="DO256" s="577"/>
      <c r="DP256" s="577"/>
      <c r="DQ256" s="600"/>
      <c r="DR256" s="600"/>
      <c r="DS256" s="577"/>
      <c r="DT256" s="577"/>
      <c r="DU256" s="577"/>
      <c r="DV256" s="577"/>
      <c r="DW256" s="577"/>
      <c r="DX256" s="577"/>
    </row>
    <row r="257" spans="2:128" s="560" customFormat="1">
      <c r="B257" s="560" t="s">
        <v>1019</v>
      </c>
      <c r="P257" s="561"/>
      <c r="Q257" s="562"/>
      <c r="R257" s="562">
        <v>0.6</v>
      </c>
      <c r="S257" s="562"/>
      <c r="T257" s="562"/>
      <c r="U257" s="562"/>
      <c r="V257" s="562"/>
      <c r="W257" s="562"/>
      <c r="X257" s="562"/>
      <c r="Y257" s="562"/>
      <c r="Z257" s="562"/>
      <c r="AA257" s="562"/>
      <c r="AB257" s="562"/>
      <c r="AC257" s="562"/>
      <c r="AD257" s="563"/>
      <c r="AE257" s="561"/>
      <c r="AF257" s="568">
        <v>31</v>
      </c>
      <c r="AG257" s="562"/>
      <c r="AH257" s="577">
        <v>0.25</v>
      </c>
      <c r="AI257" s="577" t="s">
        <v>802</v>
      </c>
      <c r="AJ257" s="577"/>
      <c r="AK257" s="577">
        <v>1</v>
      </c>
      <c r="AL257" s="577">
        <v>1</v>
      </c>
      <c r="AM257" s="577"/>
      <c r="AN257" s="562">
        <v>2.7</v>
      </c>
      <c r="AO257" s="562">
        <f t="shared" si="46"/>
        <v>5.4</v>
      </c>
      <c r="AP257" s="598">
        <v>0.140625</v>
      </c>
      <c r="AQ257" s="599">
        <v>4.3</v>
      </c>
      <c r="AR257" s="599">
        <f t="shared" si="47"/>
        <v>1.1000000000000005</v>
      </c>
      <c r="AS257" s="600"/>
      <c r="AT257" s="600">
        <v>1</v>
      </c>
      <c r="AU257" s="577" t="s">
        <v>778</v>
      </c>
      <c r="AV257" s="577">
        <v>1761</v>
      </c>
      <c r="AW257" s="562"/>
      <c r="AX257" s="562"/>
      <c r="AY257" s="562"/>
      <c r="AZ257" s="562"/>
      <c r="BA257" s="562"/>
      <c r="BB257" s="563"/>
      <c r="BD257" s="566">
        <v>11</v>
      </c>
      <c r="BE257" s="576"/>
      <c r="BF257" s="566"/>
      <c r="BG257" s="566"/>
      <c r="BH257" s="566"/>
      <c r="BI257" s="566">
        <v>1</v>
      </c>
      <c r="BJ257" s="566"/>
      <c r="BK257" s="566"/>
      <c r="BL257" s="680">
        <v>2</v>
      </c>
      <c r="BM257" s="576">
        <f t="shared" si="49"/>
        <v>4</v>
      </c>
      <c r="BN257" s="576"/>
      <c r="BO257" s="611">
        <v>3.9637931034482761</v>
      </c>
      <c r="BP257" s="611">
        <f t="shared" si="50"/>
        <v>3.6206896551723933E-2</v>
      </c>
      <c r="BQ257" s="612"/>
      <c r="BR257" s="612">
        <v>1</v>
      </c>
      <c r="BS257" s="576" t="s">
        <v>778</v>
      </c>
      <c r="BT257" s="680"/>
      <c r="BY257" s="585" t="s">
        <v>815</v>
      </c>
      <c r="BZ257" s="585" t="s">
        <v>816</v>
      </c>
      <c r="DD257" s="561"/>
      <c r="DE257" s="577"/>
      <c r="DF257" s="577">
        <v>0.65</v>
      </c>
      <c r="DG257" s="577"/>
      <c r="DH257" s="577"/>
      <c r="DI257" s="577"/>
      <c r="DJ257" s="577"/>
      <c r="DK257" s="577"/>
      <c r="DL257" s="577"/>
      <c r="DM257" s="577"/>
      <c r="DN257" s="577"/>
      <c r="DO257" s="577"/>
      <c r="DP257" s="577"/>
      <c r="DQ257" s="600"/>
      <c r="DR257" s="600"/>
      <c r="DS257" s="577"/>
      <c r="DT257" s="577"/>
      <c r="DU257" s="577"/>
      <c r="DV257" s="577"/>
      <c r="DW257" s="577"/>
      <c r="DX257" s="577"/>
    </row>
    <row r="258" spans="2:128" s="560" customFormat="1">
      <c r="C258" s="560">
        <v>0.5</v>
      </c>
      <c r="P258" s="561"/>
      <c r="Q258" s="562"/>
      <c r="R258" s="562">
        <v>0.6</v>
      </c>
      <c r="S258" s="562"/>
      <c r="T258" s="562"/>
      <c r="U258" s="562"/>
      <c r="V258" s="562"/>
      <c r="W258" s="562"/>
      <c r="X258" s="562"/>
      <c r="Y258" s="562"/>
      <c r="Z258" s="562"/>
      <c r="AA258" s="562"/>
      <c r="AB258" s="562"/>
      <c r="AC258" s="562"/>
      <c r="AD258" s="563"/>
      <c r="AE258" s="561"/>
      <c r="AF258" s="568">
        <v>32</v>
      </c>
      <c r="AG258" s="562"/>
      <c r="AH258" s="577">
        <v>0.65</v>
      </c>
      <c r="AI258" s="577" t="s">
        <v>777</v>
      </c>
      <c r="AJ258" s="577">
        <v>1</v>
      </c>
      <c r="AK258" s="577"/>
      <c r="AL258" s="577"/>
      <c r="AM258" s="577"/>
      <c r="AN258" s="562">
        <v>3.2</v>
      </c>
      <c r="AO258" s="562">
        <f t="shared" si="46"/>
        <v>6.4</v>
      </c>
      <c r="AP258" s="598">
        <v>0.15625</v>
      </c>
      <c r="AQ258" s="599">
        <v>4.3</v>
      </c>
      <c r="AR258" s="599">
        <f t="shared" si="47"/>
        <v>2.1000000000000005</v>
      </c>
      <c r="AS258" s="600">
        <v>1</v>
      </c>
      <c r="AT258" s="600"/>
      <c r="AU258" s="577" t="s">
        <v>778</v>
      </c>
      <c r="AV258" s="577">
        <v>1760</v>
      </c>
      <c r="AW258" s="562"/>
      <c r="AX258" s="562"/>
      <c r="AY258" s="562"/>
      <c r="AZ258" s="562"/>
      <c r="BA258" s="562"/>
      <c r="BB258" s="563"/>
      <c r="BD258" s="566">
        <v>12</v>
      </c>
      <c r="BF258" s="566"/>
      <c r="BG258" s="566"/>
      <c r="BH258" s="566"/>
      <c r="BI258" s="566">
        <v>1</v>
      </c>
      <c r="BJ258" s="566"/>
      <c r="BK258" s="566"/>
      <c r="BL258" s="680">
        <v>2.2999999999999998</v>
      </c>
      <c r="BM258" s="576">
        <f t="shared" si="49"/>
        <v>4.5999999999999996</v>
      </c>
      <c r="BO258" s="611">
        <v>3.9586206896551723</v>
      </c>
      <c r="BP258" s="611">
        <f t="shared" si="50"/>
        <v>0.64137931034482731</v>
      </c>
      <c r="BQ258" s="658"/>
      <c r="BR258" s="612">
        <v>1</v>
      </c>
      <c r="BS258" s="576" t="s">
        <v>778</v>
      </c>
      <c r="BT258" s="680"/>
      <c r="BV258" s="627" t="s">
        <v>806</v>
      </c>
      <c r="BW258" s="627">
        <f>COUNT(BP245:BP279)</f>
        <v>33</v>
      </c>
      <c r="DD258" s="561"/>
      <c r="DE258" s="577" t="s">
        <v>859</v>
      </c>
      <c r="DF258" s="577">
        <v>0.45</v>
      </c>
      <c r="DG258" s="577"/>
      <c r="DH258" s="577"/>
      <c r="DI258" s="577"/>
      <c r="DJ258" s="577"/>
      <c r="DK258" s="577"/>
      <c r="DL258" s="577"/>
      <c r="DM258" s="577"/>
      <c r="DN258" s="577"/>
      <c r="DO258" s="577"/>
      <c r="DP258" s="577"/>
      <c r="DQ258" s="600"/>
      <c r="DR258" s="600"/>
      <c r="DS258" s="577"/>
      <c r="DT258" s="577"/>
      <c r="DU258" s="577"/>
      <c r="DV258" s="577"/>
      <c r="DW258" s="577"/>
      <c r="DX258" s="577"/>
    </row>
    <row r="259" spans="2:128" s="560" customFormat="1">
      <c r="C259" s="560">
        <v>0.45</v>
      </c>
      <c r="P259" s="561"/>
      <c r="Q259" s="562"/>
      <c r="R259" s="562">
        <v>0.65</v>
      </c>
      <c r="S259" s="562"/>
      <c r="T259" s="562"/>
      <c r="U259" s="562"/>
      <c r="V259" s="562"/>
      <c r="W259" s="562"/>
      <c r="X259" s="562"/>
      <c r="Y259" s="562"/>
      <c r="Z259" s="562"/>
      <c r="AA259" s="562"/>
      <c r="AB259" s="562"/>
      <c r="AC259" s="562"/>
      <c r="AD259" s="563"/>
      <c r="AE259" s="561"/>
      <c r="AF259" s="562"/>
      <c r="AG259" s="562"/>
      <c r="AH259" s="562"/>
      <c r="AI259" s="562"/>
      <c r="AJ259" s="632">
        <f>SUM(AJ225:AJ258)</f>
        <v>2</v>
      </c>
      <c r="AK259" s="632">
        <f>SUM(AK225:AK258)</f>
        <v>30</v>
      </c>
      <c r="AL259" s="633">
        <f>SUM(AL225:AL258)</f>
        <v>3</v>
      </c>
      <c r="AM259" s="634">
        <f>SUM(AM225:AM258)</f>
        <v>6</v>
      </c>
      <c r="AN259" s="562"/>
      <c r="AO259" s="635">
        <f>SUM(AO227:AO258)</f>
        <v>164.90000000000003</v>
      </c>
      <c r="AP259" s="659"/>
      <c r="AQ259" s="636">
        <f>SUM(AQ227:AQ258)</f>
        <v>140.54500000000002</v>
      </c>
      <c r="AR259" s="636">
        <f>SUM(AR228:AR258)</f>
        <v>25.845000000000006</v>
      </c>
      <c r="AS259" s="637">
        <f>SUM(AS225:AS258)</f>
        <v>1</v>
      </c>
      <c r="AT259" s="637">
        <f>SUM(AT225:AT258)</f>
        <v>31</v>
      </c>
      <c r="AU259" s="562"/>
      <c r="AV259" s="562"/>
      <c r="AW259" s="562"/>
      <c r="AX259" s="562"/>
      <c r="AY259" s="562"/>
      <c r="AZ259" s="562"/>
      <c r="BA259" s="562"/>
      <c r="BB259" s="563"/>
      <c r="BD259" s="566">
        <v>13</v>
      </c>
      <c r="BF259" s="566"/>
      <c r="BG259" s="566"/>
      <c r="BH259" s="566"/>
      <c r="BI259" s="566">
        <v>1</v>
      </c>
      <c r="BJ259" s="566"/>
      <c r="BK259" s="566"/>
      <c r="BL259" s="680">
        <v>2</v>
      </c>
      <c r="BM259" s="576">
        <f t="shared" si="49"/>
        <v>4</v>
      </c>
      <c r="BO259" s="611">
        <v>3.953448275862069</v>
      </c>
      <c r="BP259" s="611">
        <f t="shared" si="50"/>
        <v>4.6551724137930961E-2</v>
      </c>
      <c r="BQ259" s="658"/>
      <c r="BR259" s="612">
        <v>1</v>
      </c>
      <c r="BS259" s="576" t="s">
        <v>778</v>
      </c>
      <c r="BT259" s="680"/>
      <c r="BV259" s="627" t="s">
        <v>812</v>
      </c>
      <c r="BW259" s="628">
        <f>SUM(BP245:BP279)</f>
        <v>10.024137931034481</v>
      </c>
      <c r="DD259" s="561"/>
      <c r="DE259" s="577"/>
      <c r="DF259" s="577">
        <v>0.3</v>
      </c>
      <c r="DG259" s="577"/>
      <c r="DH259" s="577"/>
      <c r="DI259" s="577"/>
      <c r="DJ259" s="577"/>
      <c r="DK259" s="577"/>
      <c r="DL259" s="577"/>
      <c r="DM259" s="577"/>
      <c r="DN259" s="577"/>
      <c r="DO259" s="577"/>
      <c r="DP259" s="577"/>
      <c r="DQ259" s="600"/>
      <c r="DR259" s="600"/>
      <c r="DS259" s="577"/>
      <c r="DT259" s="577"/>
      <c r="DU259" s="577"/>
      <c r="DV259" s="577"/>
      <c r="DW259" s="577"/>
      <c r="DX259" s="577"/>
    </row>
    <row r="260" spans="2:128" s="560" customFormat="1">
      <c r="C260" s="560">
        <v>0.5</v>
      </c>
      <c r="P260" s="561"/>
      <c r="Q260" s="562"/>
      <c r="R260" s="562">
        <v>0.68</v>
      </c>
      <c r="S260" s="562"/>
      <c r="T260" s="562"/>
      <c r="U260" s="562"/>
      <c r="V260" s="562"/>
      <c r="W260" s="562"/>
      <c r="X260" s="562"/>
      <c r="Y260" s="562"/>
      <c r="Z260" s="562"/>
      <c r="AA260" s="562"/>
      <c r="AB260" s="562"/>
      <c r="AC260" s="562"/>
      <c r="AD260" s="563"/>
      <c r="AE260" s="567">
        <v>41141</v>
      </c>
      <c r="AF260" s="568" t="s">
        <v>725</v>
      </c>
      <c r="AG260" s="568"/>
      <c r="AH260" s="568" t="s">
        <v>726</v>
      </c>
      <c r="AI260" s="569" t="s">
        <v>727</v>
      </c>
      <c r="AJ260" s="569"/>
      <c r="AK260" s="569"/>
      <c r="AL260" s="569"/>
      <c r="AM260" s="569"/>
      <c r="AN260" s="569" t="s">
        <v>728</v>
      </c>
      <c r="AO260" s="569"/>
      <c r="AP260" s="569" t="s">
        <v>729</v>
      </c>
      <c r="AQ260" s="651"/>
      <c r="AR260" s="638">
        <f>+AR259/AO259</f>
        <v>0.15673135233474833</v>
      </c>
      <c r="AS260" s="639"/>
      <c r="AT260" s="639"/>
      <c r="AU260" s="569" t="s">
        <v>730</v>
      </c>
      <c r="AV260" s="569" t="s">
        <v>731</v>
      </c>
      <c r="AW260" s="568"/>
      <c r="AX260" s="562"/>
      <c r="AY260" s="562"/>
      <c r="AZ260" s="562"/>
      <c r="BA260" s="562"/>
      <c r="BB260" s="563"/>
      <c r="BD260" s="566">
        <v>14</v>
      </c>
      <c r="BF260" s="566"/>
      <c r="BG260" s="566"/>
      <c r="BH260" s="566"/>
      <c r="BI260" s="566">
        <v>1</v>
      </c>
      <c r="BJ260" s="566"/>
      <c r="BK260" s="566"/>
      <c r="BL260" s="680">
        <v>2</v>
      </c>
      <c r="BM260" s="576">
        <f t="shared" si="49"/>
        <v>4</v>
      </c>
      <c r="BO260" s="611">
        <v>3.9482758620689653</v>
      </c>
      <c r="BP260" s="611">
        <f t="shared" si="50"/>
        <v>5.1724137931034697E-2</v>
      </c>
      <c r="BQ260" s="658"/>
      <c r="BR260" s="612">
        <v>1</v>
      </c>
      <c r="BS260" s="576" t="s">
        <v>778</v>
      </c>
      <c r="BT260" s="680"/>
      <c r="BV260" s="627" t="s">
        <v>811</v>
      </c>
      <c r="BW260" s="628">
        <f>MAX(BP245:BP279)</f>
        <v>1.7499999999999996</v>
      </c>
      <c r="DD260" s="561"/>
      <c r="DE260" s="577"/>
      <c r="DF260" s="577">
        <v>0.25</v>
      </c>
      <c r="DG260" s="577"/>
      <c r="DH260" s="577"/>
      <c r="DI260" s="577"/>
      <c r="DJ260" s="577"/>
      <c r="DK260" s="577"/>
      <c r="DL260" s="577"/>
      <c r="DM260" s="577"/>
      <c r="DN260" s="577"/>
      <c r="DO260" s="577"/>
      <c r="DP260" s="577"/>
      <c r="DQ260" s="600"/>
      <c r="DR260" s="600"/>
      <c r="DS260" s="577"/>
      <c r="DT260" s="577"/>
      <c r="DU260" s="577"/>
      <c r="DV260" s="577"/>
      <c r="DW260" s="577"/>
      <c r="DX260" s="577"/>
    </row>
    <row r="261" spans="2:128" s="560" customFormat="1">
      <c r="C261" s="560">
        <v>0.46</v>
      </c>
      <c r="P261" s="561"/>
      <c r="Q261" s="562"/>
      <c r="R261" s="562">
        <v>0.57999999999999996</v>
      </c>
      <c r="S261" s="562"/>
      <c r="T261" s="562"/>
      <c r="U261" s="562"/>
      <c r="V261" s="562"/>
      <c r="W261" s="562"/>
      <c r="X261" s="562"/>
      <c r="Y261" s="562"/>
      <c r="Z261" s="562"/>
      <c r="AA261" s="562"/>
      <c r="AB261" s="562"/>
      <c r="AC261" s="562"/>
      <c r="AD261" s="563"/>
      <c r="AE261" s="561"/>
      <c r="AF261" s="568"/>
      <c r="AG261" s="568"/>
      <c r="AH261" s="568"/>
      <c r="AI261" s="577" t="s">
        <v>1020</v>
      </c>
      <c r="AJ261" s="577"/>
      <c r="AK261" s="577"/>
      <c r="AL261" s="577"/>
      <c r="AM261" s="577"/>
      <c r="AN261" s="577" t="s">
        <v>1021</v>
      </c>
      <c r="AO261" s="577"/>
      <c r="AP261" s="577">
        <v>58</v>
      </c>
      <c r="AQ261" s="599"/>
      <c r="AR261" s="599"/>
      <c r="AS261" s="600"/>
      <c r="AT261" s="600"/>
      <c r="AU261" s="577">
        <v>54</v>
      </c>
      <c r="AV261" s="577"/>
      <c r="AW261" s="568"/>
      <c r="AX261" s="562"/>
      <c r="AY261" s="562"/>
      <c r="AZ261" s="562"/>
      <c r="BA261" s="562"/>
      <c r="BB261" s="563"/>
      <c r="BD261" s="566">
        <v>15</v>
      </c>
      <c r="BF261" s="566"/>
      <c r="BG261" s="566"/>
      <c r="BH261" s="566"/>
      <c r="BI261" s="566">
        <v>1</v>
      </c>
      <c r="BJ261" s="566"/>
      <c r="BK261" s="566"/>
      <c r="BL261" s="680">
        <v>2.2000000000000002</v>
      </c>
      <c r="BM261" s="576">
        <f t="shared" si="49"/>
        <v>4.4000000000000004</v>
      </c>
      <c r="BO261" s="611">
        <v>3.943103448275862</v>
      </c>
      <c r="BP261" s="611">
        <f t="shared" si="50"/>
        <v>0.45689655172413834</v>
      </c>
      <c r="BQ261" s="658"/>
      <c r="BR261" s="612">
        <v>1</v>
      </c>
      <c r="BS261" s="576" t="s">
        <v>778</v>
      </c>
      <c r="BT261" s="680"/>
      <c r="BV261" s="627" t="s">
        <v>814</v>
      </c>
      <c r="BW261" s="628">
        <f>MIN(BP245:BP279)</f>
        <v>0</v>
      </c>
      <c r="DD261" s="561"/>
      <c r="DE261" s="577"/>
      <c r="DF261" s="577">
        <v>0.25</v>
      </c>
      <c r="DG261" s="577"/>
      <c r="DH261" s="577"/>
      <c r="DI261" s="577"/>
      <c r="DJ261" s="577"/>
      <c r="DK261" s="577"/>
      <c r="DL261" s="577"/>
      <c r="DM261" s="577"/>
      <c r="DN261" s="577"/>
      <c r="DO261" s="577"/>
      <c r="DP261" s="577"/>
      <c r="DQ261" s="600"/>
      <c r="DR261" s="600"/>
      <c r="DS261" s="577"/>
      <c r="DT261" s="577"/>
      <c r="DU261" s="577"/>
      <c r="DV261" s="577"/>
      <c r="DW261" s="577"/>
      <c r="DX261" s="577"/>
    </row>
    <row r="262" spans="2:128" s="560" customFormat="1">
      <c r="C262" s="560">
        <v>0.53</v>
      </c>
      <c r="P262" s="561"/>
      <c r="Q262" s="562"/>
      <c r="R262" s="562">
        <v>1</v>
      </c>
      <c r="S262" s="562"/>
      <c r="T262" s="562"/>
      <c r="U262" s="562"/>
      <c r="V262" s="562"/>
      <c r="W262" s="562"/>
      <c r="X262" s="562"/>
      <c r="Y262" s="562"/>
      <c r="Z262" s="562"/>
      <c r="AA262" s="562"/>
      <c r="AB262" s="562"/>
      <c r="AC262" s="562"/>
      <c r="AD262" s="563"/>
      <c r="AE262" s="561" t="s">
        <v>522</v>
      </c>
      <c r="AF262" s="578" t="s">
        <v>1022</v>
      </c>
      <c r="AG262" s="578"/>
      <c r="AH262" s="569"/>
      <c r="AI262" s="568"/>
      <c r="AJ262" s="568"/>
      <c r="AK262" s="568"/>
      <c r="AL262" s="568"/>
      <c r="AM262" s="568"/>
      <c r="AN262" s="568"/>
      <c r="AO262" s="568"/>
      <c r="AP262" s="569"/>
      <c r="AQ262" s="583" t="s">
        <v>1023</v>
      </c>
      <c r="AR262" s="651"/>
      <c r="AS262" s="639"/>
      <c r="AT262" s="639"/>
      <c r="AU262" s="569"/>
      <c r="AV262" s="577"/>
      <c r="AW262" s="569"/>
      <c r="AX262" s="562"/>
      <c r="AY262" s="562"/>
      <c r="AZ262" s="562"/>
      <c r="BA262" s="562"/>
      <c r="BB262" s="563"/>
      <c r="BD262" s="566">
        <v>16</v>
      </c>
      <c r="BF262" s="566"/>
      <c r="BG262" s="566"/>
      <c r="BH262" s="566"/>
      <c r="BI262" s="566">
        <v>1</v>
      </c>
      <c r="BJ262" s="566"/>
      <c r="BK262" s="566"/>
      <c r="BL262" s="680">
        <v>2</v>
      </c>
      <c r="BM262" s="576">
        <f t="shared" si="49"/>
        <v>4</v>
      </c>
      <c r="BO262" s="611">
        <v>3.9379310344827587</v>
      </c>
      <c r="BP262" s="611">
        <f t="shared" si="50"/>
        <v>6.2068965517241281E-2</v>
      </c>
      <c r="BQ262" s="658">
        <f>COUNT(BP245:BP279)</f>
        <v>33</v>
      </c>
      <c r="BR262" s="612">
        <v>1</v>
      </c>
      <c r="BS262" s="576" t="s">
        <v>778</v>
      </c>
      <c r="BT262" s="680"/>
      <c r="BV262" s="627" t="s">
        <v>817</v>
      </c>
      <c r="BW262" s="628">
        <f>AVERAGE(BP245:BP279)</f>
        <v>0.30376175548589335</v>
      </c>
      <c r="DD262" s="561"/>
      <c r="DE262" s="577" t="s">
        <v>859</v>
      </c>
      <c r="DF262" s="577">
        <v>0.25</v>
      </c>
      <c r="DG262" s="577"/>
      <c r="DH262" s="577"/>
      <c r="DI262" s="577"/>
      <c r="DJ262" s="577"/>
      <c r="DK262" s="577"/>
      <c r="DL262" s="577"/>
      <c r="DM262" s="577"/>
      <c r="DN262" s="577"/>
      <c r="DO262" s="577"/>
      <c r="DP262" s="577"/>
      <c r="DQ262" s="600"/>
      <c r="DR262" s="600"/>
      <c r="DS262" s="577"/>
      <c r="DT262" s="577"/>
      <c r="DU262" s="577"/>
      <c r="DV262" s="577"/>
      <c r="DW262" s="577"/>
      <c r="DX262" s="577"/>
    </row>
    <row r="263" spans="2:128" s="560" customFormat="1">
      <c r="C263" s="560">
        <v>0.48</v>
      </c>
      <c r="P263" s="561"/>
      <c r="Q263" s="562"/>
      <c r="R263" s="562">
        <v>0.8</v>
      </c>
      <c r="S263" s="562"/>
      <c r="T263" s="562"/>
      <c r="U263" s="562"/>
      <c r="V263" s="562"/>
      <c r="W263" s="562"/>
      <c r="X263" s="562"/>
      <c r="Y263" s="562"/>
      <c r="Z263" s="562"/>
      <c r="AA263" s="562"/>
      <c r="AB263" s="562"/>
      <c r="AC263" s="562"/>
      <c r="AD263" s="563"/>
      <c r="AE263" s="587"/>
      <c r="AF263" s="588" t="s">
        <v>755</v>
      </c>
      <c r="AG263" s="588" t="s">
        <v>756</v>
      </c>
      <c r="AH263" s="590" t="s">
        <v>757</v>
      </c>
      <c r="AI263" s="590" t="s">
        <v>758</v>
      </c>
      <c r="AJ263" s="590" t="s">
        <v>765</v>
      </c>
      <c r="AK263" s="590" t="s">
        <v>766</v>
      </c>
      <c r="AL263" s="591" t="s">
        <v>767</v>
      </c>
      <c r="AM263" s="592" t="s">
        <v>768</v>
      </c>
      <c r="AN263" s="588" t="s">
        <v>759</v>
      </c>
      <c r="AO263" s="593" t="s">
        <v>769</v>
      </c>
      <c r="AP263" s="588" t="s">
        <v>760</v>
      </c>
      <c r="AQ263" s="663" t="s">
        <v>770</v>
      </c>
      <c r="AR263" s="663" t="s">
        <v>771</v>
      </c>
      <c r="AS263" s="595" t="s">
        <v>772</v>
      </c>
      <c r="AT263" s="595" t="s">
        <v>773</v>
      </c>
      <c r="AU263" s="588" t="s">
        <v>761</v>
      </c>
      <c r="AV263" s="588" t="s">
        <v>762</v>
      </c>
      <c r="AW263" s="588" t="s">
        <v>763</v>
      </c>
      <c r="AX263" s="562"/>
      <c r="AY263" s="562"/>
      <c r="AZ263" s="562"/>
      <c r="BA263" s="588" t="s">
        <v>764</v>
      </c>
      <c r="BB263" s="589"/>
      <c r="BD263" s="566">
        <v>17</v>
      </c>
      <c r="BF263" s="566"/>
      <c r="BG263" s="566"/>
      <c r="BH263" s="566"/>
      <c r="BI263" s="566">
        <v>1</v>
      </c>
      <c r="BJ263" s="566"/>
      <c r="BK263" s="566"/>
      <c r="BL263" s="680">
        <v>2.2999999999999998</v>
      </c>
      <c r="BM263" s="576">
        <f t="shared" si="49"/>
        <v>4.5999999999999996</v>
      </c>
      <c r="BO263" s="611">
        <v>3.932758620689655</v>
      </c>
      <c r="BP263" s="611">
        <f t="shared" si="50"/>
        <v>0.66724137931034466</v>
      </c>
      <c r="BQ263" s="658"/>
      <c r="BR263" s="612">
        <v>1</v>
      </c>
      <c r="BS263" s="576" t="s">
        <v>778</v>
      </c>
      <c r="BT263" s="680"/>
      <c r="BU263" s="560" t="s">
        <v>889</v>
      </c>
      <c r="BV263" s="627" t="s">
        <v>818</v>
      </c>
      <c r="BW263" s="627" t="e">
        <f ca="1">_xlfn.STDEV.S(BP245:BP279)</f>
        <v>#NAME?</v>
      </c>
      <c r="DD263" s="561"/>
      <c r="DE263" s="577"/>
      <c r="DF263" s="577">
        <v>0.25</v>
      </c>
      <c r="DG263" s="577"/>
      <c r="DH263" s="577"/>
      <c r="DI263" s="577"/>
      <c r="DJ263" s="577"/>
      <c r="DK263" s="577"/>
      <c r="DL263" s="577"/>
      <c r="DM263" s="577"/>
      <c r="DN263" s="577"/>
      <c r="DO263" s="577"/>
      <c r="DP263" s="577"/>
      <c r="DQ263" s="600"/>
      <c r="DR263" s="600"/>
      <c r="DS263" s="577"/>
      <c r="DT263" s="577"/>
      <c r="DU263" s="577"/>
      <c r="DV263" s="577"/>
      <c r="DW263" s="577"/>
      <c r="DX263" s="577"/>
    </row>
    <row r="264" spans="2:128" s="560" customFormat="1">
      <c r="C264" s="560">
        <v>0.5</v>
      </c>
      <c r="P264" s="561"/>
      <c r="Q264" s="562"/>
      <c r="R264" s="562">
        <v>0.97</v>
      </c>
      <c r="S264" s="562"/>
      <c r="T264" s="562"/>
      <c r="U264" s="562"/>
      <c r="V264" s="562"/>
      <c r="W264" s="562"/>
      <c r="X264" s="562"/>
      <c r="Y264" s="562"/>
      <c r="Z264" s="562"/>
      <c r="AA264" s="562"/>
      <c r="AB264" s="562"/>
      <c r="AC264" s="562"/>
      <c r="AD264" s="563"/>
      <c r="AE264" s="561"/>
      <c r="AF264" s="568">
        <v>1</v>
      </c>
      <c r="AG264" s="562"/>
      <c r="AH264" s="577"/>
      <c r="AI264" s="577"/>
      <c r="AJ264" s="577"/>
      <c r="AK264" s="577">
        <v>1</v>
      </c>
      <c r="AL264" s="577"/>
      <c r="AM264" s="577"/>
      <c r="AN264" s="562">
        <v>2.2999999999999998</v>
      </c>
      <c r="AO264" s="562">
        <f t="shared" ref="AO264:AO290" si="51">AN264+AN264</f>
        <v>4.5999999999999996</v>
      </c>
      <c r="AP264" s="598">
        <v>0.140625</v>
      </c>
      <c r="AQ264" s="599">
        <v>4.43</v>
      </c>
      <c r="AR264" s="599">
        <f t="shared" ref="AR264:AR290" si="52">AO264-AQ264</f>
        <v>0.16999999999999993</v>
      </c>
      <c r="AS264" s="600"/>
      <c r="AT264" s="600">
        <v>1</v>
      </c>
      <c r="AU264" s="577" t="s">
        <v>778</v>
      </c>
      <c r="AV264" s="584"/>
      <c r="AW264" s="562"/>
      <c r="AX264" s="562"/>
      <c r="AY264" s="562"/>
      <c r="AZ264" s="562"/>
      <c r="BA264" s="577"/>
      <c r="BB264" s="589"/>
      <c r="BD264" s="566">
        <v>18</v>
      </c>
      <c r="BF264" s="566"/>
      <c r="BG264" s="566"/>
      <c r="BH264" s="566"/>
      <c r="BI264" s="566">
        <v>1</v>
      </c>
      <c r="BJ264" s="566"/>
      <c r="BK264" s="566"/>
      <c r="BL264" s="680">
        <v>2.2000000000000002</v>
      </c>
      <c r="BM264" s="576">
        <f t="shared" si="49"/>
        <v>4.4000000000000004</v>
      </c>
      <c r="BO264" s="611">
        <v>3.9275862068965517</v>
      </c>
      <c r="BP264" s="611">
        <f t="shared" si="50"/>
        <v>0.47241379310344866</v>
      </c>
      <c r="BQ264" s="658"/>
      <c r="BR264" s="612">
        <v>1</v>
      </c>
      <c r="BS264" s="576" t="s">
        <v>778</v>
      </c>
      <c r="BT264" s="680"/>
      <c r="BU264" s="560" t="s">
        <v>1024</v>
      </c>
      <c r="DD264" s="561"/>
      <c r="DE264" s="577"/>
      <c r="DF264" s="577">
        <v>0.25</v>
      </c>
      <c r="DG264" s="577"/>
      <c r="DH264" s="577"/>
      <c r="DI264" s="577"/>
      <c r="DJ264" s="577"/>
      <c r="DK264" s="577"/>
      <c r="DL264" s="577"/>
      <c r="DM264" s="577"/>
      <c r="DN264" s="577"/>
      <c r="DO264" s="577"/>
      <c r="DP264" s="577"/>
      <c r="DQ264" s="600"/>
      <c r="DR264" s="600"/>
      <c r="DS264" s="577"/>
      <c r="DT264" s="577"/>
      <c r="DU264" s="577"/>
      <c r="DV264" s="577"/>
      <c r="DW264" s="577"/>
      <c r="DX264" s="577"/>
    </row>
    <row r="265" spans="2:128" s="560" customFormat="1">
      <c r="C265" s="560">
        <v>0.5</v>
      </c>
      <c r="P265" s="561"/>
      <c r="Q265" s="562"/>
      <c r="R265" s="562">
        <v>0.7</v>
      </c>
      <c r="S265" s="562"/>
      <c r="T265" s="562"/>
      <c r="U265" s="562"/>
      <c r="V265" s="562"/>
      <c r="W265" s="562"/>
      <c r="X265" s="562"/>
      <c r="Y265" s="562"/>
      <c r="Z265" s="562"/>
      <c r="AA265" s="562"/>
      <c r="AB265" s="562"/>
      <c r="AC265" s="562"/>
      <c r="AD265" s="563"/>
      <c r="AE265" s="561"/>
      <c r="AF265" s="568">
        <v>2</v>
      </c>
      <c r="AG265" s="562"/>
      <c r="AH265" s="577">
        <v>0.1</v>
      </c>
      <c r="AI265" s="577"/>
      <c r="AJ265" s="577"/>
      <c r="AK265" s="577">
        <v>1</v>
      </c>
      <c r="AL265" s="577"/>
      <c r="AM265" s="577"/>
      <c r="AN265" s="562">
        <v>2.0499999999999998</v>
      </c>
      <c r="AO265" s="562">
        <f t="shared" si="51"/>
        <v>4.0999999999999996</v>
      </c>
      <c r="AP265" s="598">
        <v>0.140625</v>
      </c>
      <c r="AQ265" s="599">
        <v>4.4241935483870964</v>
      </c>
      <c r="AR265" s="599">
        <f t="shared" si="52"/>
        <v>-0.3241935483870968</v>
      </c>
      <c r="AS265" s="600"/>
      <c r="AT265" s="600">
        <v>1</v>
      </c>
      <c r="AU265" s="577" t="s">
        <v>778</v>
      </c>
      <c r="AV265" s="609">
        <v>2397</v>
      </c>
      <c r="AW265" s="562"/>
      <c r="AX265" s="562"/>
      <c r="AY265" s="562"/>
      <c r="AZ265" s="562"/>
      <c r="BA265" s="607" t="s">
        <v>780</v>
      </c>
      <c r="BB265" s="608" t="s">
        <v>616</v>
      </c>
      <c r="BD265" s="566">
        <v>19</v>
      </c>
      <c r="BF265" s="566"/>
      <c r="BG265" s="566"/>
      <c r="BH265" s="566"/>
      <c r="BI265" s="566">
        <v>1</v>
      </c>
      <c r="BJ265" s="566"/>
      <c r="BK265" s="566"/>
      <c r="BL265" s="680">
        <v>2</v>
      </c>
      <c r="BM265" s="576">
        <f t="shared" si="49"/>
        <v>4</v>
      </c>
      <c r="BO265" s="611">
        <v>3.9224137931034484</v>
      </c>
      <c r="BP265" s="611">
        <f t="shared" si="50"/>
        <v>7.7586206896551602E-2</v>
      </c>
      <c r="BQ265" s="658"/>
      <c r="BR265" s="612">
        <v>1</v>
      </c>
      <c r="BS265" s="576" t="s">
        <v>778</v>
      </c>
      <c r="BT265" s="680"/>
      <c r="DD265" s="561"/>
      <c r="DE265" s="577"/>
      <c r="DF265" s="577">
        <v>0.25</v>
      </c>
      <c r="DG265" s="577"/>
      <c r="DH265" s="577"/>
      <c r="DI265" s="577"/>
      <c r="DJ265" s="577"/>
      <c r="DK265" s="577"/>
      <c r="DL265" s="577"/>
      <c r="DM265" s="577"/>
      <c r="DN265" s="577"/>
      <c r="DO265" s="577"/>
      <c r="DP265" s="577"/>
      <c r="DQ265" s="600"/>
      <c r="DR265" s="600"/>
      <c r="DS265" s="577"/>
      <c r="DT265" s="577"/>
      <c r="DU265" s="577"/>
      <c r="DV265" s="577"/>
      <c r="DW265" s="577"/>
      <c r="DX265" s="577"/>
    </row>
    <row r="266" spans="2:128" s="560" customFormat="1">
      <c r="C266" s="560">
        <v>0.5</v>
      </c>
      <c r="P266" s="561"/>
      <c r="Q266" s="562"/>
      <c r="R266" s="562">
        <v>0.5</v>
      </c>
      <c r="S266" s="562"/>
      <c r="T266" s="562"/>
      <c r="U266" s="562"/>
      <c r="V266" s="562"/>
      <c r="W266" s="562"/>
      <c r="X266" s="562"/>
      <c r="Y266" s="562"/>
      <c r="Z266" s="562"/>
      <c r="AA266" s="562"/>
      <c r="AB266" s="562"/>
      <c r="AC266" s="562"/>
      <c r="AD266" s="563"/>
      <c r="AE266" s="561"/>
      <c r="AF266" s="568">
        <v>3</v>
      </c>
      <c r="AG266" s="562"/>
      <c r="AH266" s="577"/>
      <c r="AI266" s="577"/>
      <c r="AJ266" s="577"/>
      <c r="AK266" s="577">
        <v>1</v>
      </c>
      <c r="AL266" s="577"/>
      <c r="AM266" s="577"/>
      <c r="AN266" s="562">
        <v>2.6</v>
      </c>
      <c r="AO266" s="562">
        <f t="shared" si="51"/>
        <v>5.2</v>
      </c>
      <c r="AP266" s="598">
        <v>0.140625</v>
      </c>
      <c r="AQ266" s="599">
        <v>4.4183870967741932</v>
      </c>
      <c r="AR266" s="599">
        <f t="shared" si="52"/>
        <v>0.78161290322580701</v>
      </c>
      <c r="AS266" s="600"/>
      <c r="AT266" s="600">
        <v>1</v>
      </c>
      <c r="AU266" s="577" t="s">
        <v>778</v>
      </c>
      <c r="AV266" s="584"/>
      <c r="AW266" s="562"/>
      <c r="AX266" s="562"/>
      <c r="AY266" s="562"/>
      <c r="AZ266" s="562"/>
      <c r="BA266" s="607" t="s">
        <v>785</v>
      </c>
      <c r="BB266" s="608" t="s">
        <v>542</v>
      </c>
      <c r="BD266" s="566">
        <v>20</v>
      </c>
      <c r="BF266" s="566"/>
      <c r="BG266" s="566"/>
      <c r="BH266" s="566"/>
      <c r="BI266" s="566">
        <v>1</v>
      </c>
      <c r="BJ266" s="566"/>
      <c r="BK266" s="566"/>
      <c r="BL266" s="680">
        <v>2</v>
      </c>
      <c r="BM266" s="576">
        <f t="shared" si="49"/>
        <v>4</v>
      </c>
      <c r="BO266" s="611">
        <v>3.9172413793103447</v>
      </c>
      <c r="BP266" s="611">
        <f t="shared" si="50"/>
        <v>8.2758620689655338E-2</v>
      </c>
      <c r="BQ266" s="658"/>
      <c r="BR266" s="612">
        <v>1</v>
      </c>
      <c r="BS266" s="576" t="s">
        <v>778</v>
      </c>
      <c r="BT266" s="680"/>
      <c r="DD266" s="561"/>
      <c r="DE266" s="577" t="s">
        <v>859</v>
      </c>
      <c r="DF266" s="577">
        <v>0.35</v>
      </c>
      <c r="DG266" s="577"/>
      <c r="DH266" s="577"/>
      <c r="DI266" s="577"/>
      <c r="DJ266" s="577"/>
      <c r="DK266" s="577"/>
      <c r="DL266" s="577"/>
      <c r="DM266" s="577"/>
      <c r="DN266" s="577"/>
      <c r="DO266" s="577"/>
      <c r="DP266" s="577"/>
      <c r="DQ266" s="600"/>
      <c r="DR266" s="600"/>
      <c r="DS266" s="577"/>
      <c r="DT266" s="577"/>
      <c r="DU266" s="577"/>
      <c r="DV266" s="577"/>
      <c r="DW266" s="577"/>
      <c r="DX266" s="577"/>
    </row>
    <row r="267" spans="2:128" s="560" customFormat="1">
      <c r="C267" s="560">
        <v>0.5</v>
      </c>
      <c r="P267" s="561"/>
      <c r="Q267" s="562"/>
      <c r="R267" s="562">
        <v>0.65</v>
      </c>
      <c r="S267" s="562"/>
      <c r="T267" s="562"/>
      <c r="U267" s="562"/>
      <c r="V267" s="562"/>
      <c r="W267" s="562"/>
      <c r="X267" s="562"/>
      <c r="Y267" s="562"/>
      <c r="Z267" s="562"/>
      <c r="AA267" s="562"/>
      <c r="AB267" s="562"/>
      <c r="AC267" s="562"/>
      <c r="AD267" s="563"/>
      <c r="AE267" s="561"/>
      <c r="AF267" s="568">
        <v>4</v>
      </c>
      <c r="AG267" s="562"/>
      <c r="AH267" s="577">
        <v>0.2</v>
      </c>
      <c r="AI267" s="577" t="s">
        <v>777</v>
      </c>
      <c r="AJ267" s="577">
        <v>1</v>
      </c>
      <c r="AK267" s="577"/>
      <c r="AL267" s="577"/>
      <c r="AM267" s="577"/>
      <c r="AN267" s="562">
        <v>2.5</v>
      </c>
      <c r="AO267" s="562">
        <f t="shared" si="51"/>
        <v>5</v>
      </c>
      <c r="AP267" s="598">
        <v>0.140625</v>
      </c>
      <c r="AQ267" s="599">
        <v>4.4125806451612899</v>
      </c>
      <c r="AR267" s="599">
        <f t="shared" si="52"/>
        <v>0.58741935483871011</v>
      </c>
      <c r="AS267" s="600"/>
      <c r="AT267" s="600">
        <v>1</v>
      </c>
      <c r="AU267" s="577" t="s">
        <v>778</v>
      </c>
      <c r="AV267" s="584">
        <v>2396</v>
      </c>
      <c r="AW267" s="562"/>
      <c r="AX267" s="562"/>
      <c r="AY267" s="562"/>
      <c r="AZ267" s="562"/>
      <c r="BA267" s="607" t="s">
        <v>789</v>
      </c>
      <c r="BB267" s="608" t="s">
        <v>790</v>
      </c>
      <c r="BD267" s="566">
        <v>21</v>
      </c>
      <c r="BF267" s="566"/>
      <c r="BG267" s="566"/>
      <c r="BH267" s="566"/>
      <c r="BI267" s="566">
        <v>1</v>
      </c>
      <c r="BJ267" s="566"/>
      <c r="BK267" s="566"/>
      <c r="BL267" s="680">
        <v>2.1</v>
      </c>
      <c r="BM267" s="576">
        <f t="shared" si="49"/>
        <v>4.2</v>
      </c>
      <c r="BO267" s="611">
        <v>3.9120689655172414</v>
      </c>
      <c r="BP267" s="611">
        <f t="shared" si="50"/>
        <v>0.28793103448275881</v>
      </c>
      <c r="BQ267" s="658"/>
      <c r="BR267" s="612">
        <v>1</v>
      </c>
      <c r="BS267" s="576" t="s">
        <v>778</v>
      </c>
      <c r="BT267" s="680"/>
      <c r="DD267" s="561"/>
      <c r="DE267" s="577"/>
      <c r="DF267" s="577">
        <v>0.35</v>
      </c>
      <c r="DG267" s="577"/>
      <c r="DH267" s="577"/>
      <c r="DI267" s="577"/>
      <c r="DJ267" s="577"/>
      <c r="DK267" s="577"/>
      <c r="DL267" s="577"/>
      <c r="DM267" s="577"/>
      <c r="DN267" s="577"/>
      <c r="DO267" s="577"/>
      <c r="DP267" s="577"/>
      <c r="DQ267" s="600"/>
      <c r="DR267" s="600"/>
      <c r="DS267" s="577"/>
      <c r="DT267" s="577"/>
      <c r="DU267" s="577"/>
      <c r="DV267" s="577"/>
      <c r="DW267" s="577"/>
      <c r="DX267" s="577"/>
    </row>
    <row r="268" spans="2:128" s="560" customFormat="1">
      <c r="C268" s="560">
        <v>0.5</v>
      </c>
      <c r="P268" s="561"/>
      <c r="Q268" s="562"/>
      <c r="R268" s="562">
        <v>0.7</v>
      </c>
      <c r="S268" s="562"/>
      <c r="T268" s="562"/>
      <c r="U268" s="562"/>
      <c r="V268" s="562"/>
      <c r="W268" s="562"/>
      <c r="X268" s="562"/>
      <c r="Y268" s="562"/>
      <c r="Z268" s="562"/>
      <c r="AA268" s="562"/>
      <c r="AB268" s="562"/>
      <c r="AC268" s="562"/>
      <c r="AD268" s="563"/>
      <c r="AE268" s="561"/>
      <c r="AF268" s="568">
        <v>5</v>
      </c>
      <c r="AG268" s="562"/>
      <c r="AH268" s="577"/>
      <c r="AI268" s="577"/>
      <c r="AJ268" s="577"/>
      <c r="AK268" s="577">
        <v>1</v>
      </c>
      <c r="AL268" s="577"/>
      <c r="AM268" s="577"/>
      <c r="AN268" s="562">
        <v>2.4</v>
      </c>
      <c r="AO268" s="562">
        <f t="shared" si="51"/>
        <v>4.8</v>
      </c>
      <c r="AP268" s="598">
        <v>0.140625</v>
      </c>
      <c r="AQ268" s="599">
        <v>4.4067741935483866</v>
      </c>
      <c r="AR268" s="599">
        <f t="shared" si="52"/>
        <v>0.3932258064516132</v>
      </c>
      <c r="AS268" s="600"/>
      <c r="AT268" s="600">
        <v>1</v>
      </c>
      <c r="AU268" s="577" t="s">
        <v>778</v>
      </c>
      <c r="AV268" s="584"/>
      <c r="AW268" s="562"/>
      <c r="AX268" s="562"/>
      <c r="AY268" s="562"/>
      <c r="AZ268" s="562"/>
      <c r="BA268" s="607" t="s">
        <v>791</v>
      </c>
      <c r="BB268" s="608" t="s">
        <v>792</v>
      </c>
      <c r="BD268" s="566">
        <v>22</v>
      </c>
      <c r="BF268" s="566">
        <v>0.1</v>
      </c>
      <c r="BG268" s="566" t="s">
        <v>778</v>
      </c>
      <c r="BH268" s="566">
        <v>1</v>
      </c>
      <c r="BI268" s="566"/>
      <c r="BJ268" s="566"/>
      <c r="BK268" s="566"/>
      <c r="BL268" s="680">
        <v>2</v>
      </c>
      <c r="BM268" s="576">
        <f t="shared" si="49"/>
        <v>4</v>
      </c>
      <c r="BO268" s="611">
        <v>3.9068965517241381</v>
      </c>
      <c r="BP268" s="611">
        <f t="shared" si="50"/>
        <v>9.3103448275861922E-2</v>
      </c>
      <c r="BQ268" s="658"/>
      <c r="BR268" s="612">
        <v>1</v>
      </c>
      <c r="BS268" s="576" t="s">
        <v>778</v>
      </c>
      <c r="BT268" s="680"/>
      <c r="DD268" s="561"/>
      <c r="DE268" s="577"/>
      <c r="DF268" s="577">
        <v>0.3</v>
      </c>
      <c r="DG268" s="577"/>
      <c r="DH268" s="577"/>
      <c r="DI268" s="577"/>
      <c r="DJ268" s="577"/>
      <c r="DK268" s="577"/>
      <c r="DL268" s="577"/>
      <c r="DM268" s="577"/>
      <c r="DN268" s="577"/>
      <c r="DO268" s="577"/>
      <c r="DP268" s="577"/>
      <c r="DQ268" s="600"/>
      <c r="DR268" s="600"/>
      <c r="DS268" s="577"/>
      <c r="DT268" s="577"/>
      <c r="DU268" s="577"/>
      <c r="DV268" s="577"/>
      <c r="DW268" s="577"/>
      <c r="DX268" s="577"/>
    </row>
    <row r="269" spans="2:128" s="560" customFormat="1">
      <c r="C269" s="560">
        <v>0.47</v>
      </c>
      <c r="P269" s="561"/>
      <c r="Q269" s="562"/>
      <c r="R269" s="562">
        <v>0.6</v>
      </c>
      <c r="S269" s="562"/>
      <c r="T269" s="562"/>
      <c r="U269" s="562"/>
      <c r="V269" s="562"/>
      <c r="W269" s="562"/>
      <c r="X269" s="562"/>
      <c r="Y269" s="562"/>
      <c r="Z269" s="562"/>
      <c r="AA269" s="562"/>
      <c r="AB269" s="562"/>
      <c r="AC269" s="562"/>
      <c r="AD269" s="563"/>
      <c r="AE269" s="561"/>
      <c r="AF269" s="568">
        <v>6</v>
      </c>
      <c r="AG269" s="562"/>
      <c r="AH269" s="577"/>
      <c r="AI269" s="577"/>
      <c r="AJ269" s="577"/>
      <c r="AK269" s="577">
        <v>1</v>
      </c>
      <c r="AL269" s="577"/>
      <c r="AM269" s="577"/>
      <c r="AN269" s="562">
        <v>2.7</v>
      </c>
      <c r="AO269" s="562">
        <f t="shared" si="51"/>
        <v>5.4</v>
      </c>
      <c r="AP269" s="598">
        <v>0.15625</v>
      </c>
      <c r="AQ269" s="599">
        <v>5.4</v>
      </c>
      <c r="AR269" s="599">
        <f t="shared" si="52"/>
        <v>0</v>
      </c>
      <c r="AS269" s="600">
        <v>1</v>
      </c>
      <c r="AT269" s="600"/>
      <c r="AU269" s="577" t="s">
        <v>778</v>
      </c>
      <c r="AV269" s="577"/>
      <c r="AW269" s="562"/>
      <c r="AX269" s="562"/>
      <c r="AY269" s="562"/>
      <c r="AZ269" s="562"/>
      <c r="BA269" s="607" t="s">
        <v>794</v>
      </c>
      <c r="BB269" s="608" t="s">
        <v>795</v>
      </c>
      <c r="BD269" s="566">
        <v>23</v>
      </c>
      <c r="BF269" s="566">
        <v>1.8</v>
      </c>
      <c r="BG269" s="566" t="s">
        <v>828</v>
      </c>
      <c r="BH269" s="566"/>
      <c r="BI269" s="566">
        <v>1</v>
      </c>
      <c r="BJ269" s="566"/>
      <c r="BK269" s="566"/>
      <c r="BL269" s="680">
        <v>2</v>
      </c>
      <c r="BM269" s="576">
        <f t="shared" si="49"/>
        <v>4</v>
      </c>
      <c r="BO269" s="611">
        <v>3.9017241379310343</v>
      </c>
      <c r="BP269" s="611">
        <f t="shared" si="50"/>
        <v>9.8275862068965658E-2</v>
      </c>
      <c r="BQ269" s="658"/>
      <c r="BR269" s="612">
        <v>1</v>
      </c>
      <c r="BS269" s="576" t="s">
        <v>778</v>
      </c>
      <c r="DD269" s="561"/>
      <c r="DE269" s="577"/>
      <c r="DF269" s="577">
        <v>0.33</v>
      </c>
      <c r="DG269" s="577"/>
      <c r="DH269" s="577"/>
      <c r="DI269" s="577"/>
      <c r="DJ269" s="577"/>
      <c r="DK269" s="577"/>
      <c r="DL269" s="577"/>
      <c r="DM269" s="577"/>
      <c r="DN269" s="577"/>
      <c r="DO269" s="577"/>
      <c r="DP269" s="577"/>
      <c r="DQ269" s="600"/>
      <c r="DR269" s="600"/>
      <c r="DS269" s="577"/>
      <c r="DT269" s="577"/>
      <c r="DU269" s="577"/>
      <c r="DV269" s="577"/>
      <c r="DW269" s="577"/>
      <c r="DX269" s="577"/>
    </row>
    <row r="270" spans="2:128" s="560" customFormat="1">
      <c r="C270" s="560">
        <v>0.5</v>
      </c>
      <c r="P270" s="561"/>
      <c r="Q270" s="562"/>
      <c r="R270" s="562">
        <v>0.65</v>
      </c>
      <c r="S270" s="562"/>
      <c r="T270" s="562"/>
      <c r="U270" s="562"/>
      <c r="V270" s="562"/>
      <c r="W270" s="562"/>
      <c r="X270" s="562"/>
      <c r="Y270" s="562"/>
      <c r="Z270" s="562"/>
      <c r="AA270" s="562"/>
      <c r="AB270" s="562"/>
      <c r="AC270" s="562"/>
      <c r="AD270" s="563"/>
      <c r="AE270" s="561"/>
      <c r="AF270" s="568">
        <v>7</v>
      </c>
      <c r="AG270" s="562"/>
      <c r="AH270" s="577"/>
      <c r="AI270" s="577"/>
      <c r="AJ270" s="577"/>
      <c r="AK270" s="577">
        <v>1</v>
      </c>
      <c r="AL270" s="577"/>
      <c r="AM270" s="577"/>
      <c r="AN270" s="562">
        <v>2.4</v>
      </c>
      <c r="AO270" s="562">
        <f t="shared" si="51"/>
        <v>4.8</v>
      </c>
      <c r="AP270" s="598">
        <v>0.140625</v>
      </c>
      <c r="AQ270" s="599">
        <v>4.3951612903225801</v>
      </c>
      <c r="AR270" s="599">
        <f t="shared" si="52"/>
        <v>0.40483870967741975</v>
      </c>
      <c r="AS270" s="600"/>
      <c r="AT270" s="600">
        <v>1</v>
      </c>
      <c r="AU270" s="577" t="s">
        <v>778</v>
      </c>
      <c r="AV270" s="577"/>
      <c r="AW270" s="562"/>
      <c r="AX270" s="562"/>
      <c r="AY270" s="562"/>
      <c r="AZ270" s="562"/>
      <c r="BA270" s="607" t="s">
        <v>798</v>
      </c>
      <c r="BB270" s="608" t="s">
        <v>546</v>
      </c>
      <c r="BD270" s="566">
        <v>24</v>
      </c>
      <c r="BF270" s="566"/>
      <c r="BG270" s="566"/>
      <c r="BH270" s="566"/>
      <c r="BI270" s="566">
        <v>1</v>
      </c>
      <c r="BJ270" s="566"/>
      <c r="BK270" s="566"/>
      <c r="BL270" s="680">
        <v>2.1</v>
      </c>
      <c r="BM270" s="576">
        <f t="shared" si="49"/>
        <v>4.2</v>
      </c>
      <c r="BO270" s="611">
        <v>3.896551724137931</v>
      </c>
      <c r="BP270" s="611">
        <f t="shared" si="50"/>
        <v>0.30344827586206913</v>
      </c>
      <c r="BQ270" s="658"/>
      <c r="BR270" s="612">
        <v>1</v>
      </c>
      <c r="BS270" s="576" t="s">
        <v>778</v>
      </c>
      <c r="BT270" s="679" t="s">
        <v>1025</v>
      </c>
      <c r="DD270" s="561"/>
      <c r="DE270" s="577" t="s">
        <v>859</v>
      </c>
      <c r="DF270" s="577">
        <v>0.45</v>
      </c>
      <c r="DG270" s="577"/>
      <c r="DH270" s="577"/>
      <c r="DI270" s="577"/>
      <c r="DJ270" s="577"/>
      <c r="DK270" s="577"/>
      <c r="DL270" s="577"/>
      <c r="DM270" s="577"/>
      <c r="DN270" s="577"/>
      <c r="DO270" s="577"/>
      <c r="DP270" s="577"/>
      <c r="DQ270" s="600"/>
      <c r="DR270" s="600"/>
      <c r="DS270" s="577"/>
      <c r="DT270" s="577"/>
      <c r="DU270" s="577"/>
      <c r="DV270" s="577"/>
      <c r="DW270" s="577"/>
      <c r="DX270" s="577"/>
    </row>
    <row r="271" spans="2:128" s="560" customFormat="1">
      <c r="C271" s="560">
        <v>0.47</v>
      </c>
      <c r="P271" s="561"/>
      <c r="Q271" s="562"/>
      <c r="R271" s="562">
        <v>0.6</v>
      </c>
      <c r="S271" s="562"/>
      <c r="T271" s="562"/>
      <c r="U271" s="562"/>
      <c r="V271" s="562"/>
      <c r="W271" s="562"/>
      <c r="X271" s="562"/>
      <c r="Y271" s="562"/>
      <c r="Z271" s="562"/>
      <c r="AA271" s="562"/>
      <c r="AB271" s="562"/>
      <c r="AC271" s="562"/>
      <c r="AD271" s="563"/>
      <c r="AE271" s="561"/>
      <c r="AF271" s="568">
        <v>8</v>
      </c>
      <c r="AG271" s="562"/>
      <c r="AH271" s="577">
        <v>0.1</v>
      </c>
      <c r="AI271" s="577" t="s">
        <v>777</v>
      </c>
      <c r="AJ271" s="577">
        <v>1</v>
      </c>
      <c r="AK271" s="577"/>
      <c r="AL271" s="577"/>
      <c r="AM271" s="577"/>
      <c r="AN271" s="562">
        <v>2.4500000000000002</v>
      </c>
      <c r="AO271" s="562">
        <f t="shared" si="51"/>
        <v>4.9000000000000004</v>
      </c>
      <c r="AP271" s="598">
        <v>0.140625</v>
      </c>
      <c r="AQ271" s="599">
        <v>4.3893548387096768</v>
      </c>
      <c r="AR271" s="599">
        <f t="shared" si="52"/>
        <v>0.51064516129032356</v>
      </c>
      <c r="AS271" s="600"/>
      <c r="AT271" s="600">
        <v>1</v>
      </c>
      <c r="AU271" s="577" t="s">
        <v>778</v>
      </c>
      <c r="AV271" s="577">
        <v>2395</v>
      </c>
      <c r="AW271" s="562"/>
      <c r="AX271" s="562"/>
      <c r="AY271" s="562"/>
      <c r="AZ271" s="562"/>
      <c r="BA271" s="607" t="s">
        <v>800</v>
      </c>
      <c r="BB271" s="608" t="s">
        <v>801</v>
      </c>
      <c r="BD271" s="566">
        <v>25</v>
      </c>
      <c r="BF271" s="566"/>
      <c r="BG271" s="566"/>
      <c r="BH271" s="566"/>
      <c r="BI271" s="566">
        <v>1</v>
      </c>
      <c r="BJ271" s="566"/>
      <c r="BK271" s="566"/>
      <c r="BL271" s="680">
        <v>2</v>
      </c>
      <c r="BM271" s="576">
        <f t="shared" si="49"/>
        <v>4</v>
      </c>
      <c r="BO271" s="611">
        <v>3.8913793103448278</v>
      </c>
      <c r="BP271" s="611">
        <f t="shared" si="50"/>
        <v>0.10862068965517224</v>
      </c>
      <c r="BQ271" s="658"/>
      <c r="BR271" s="612">
        <v>1</v>
      </c>
      <c r="BS271" s="576" t="s">
        <v>778</v>
      </c>
      <c r="BT271" s="680"/>
      <c r="DD271" s="561"/>
      <c r="DE271" s="577"/>
      <c r="DF271" s="577">
        <v>0.35</v>
      </c>
      <c r="DG271" s="577"/>
      <c r="DH271" s="577"/>
      <c r="DI271" s="577"/>
      <c r="DJ271" s="577"/>
      <c r="DK271" s="577"/>
      <c r="DL271" s="577"/>
      <c r="DM271" s="577"/>
      <c r="DN271" s="577"/>
      <c r="DO271" s="577"/>
      <c r="DP271" s="577"/>
      <c r="DQ271" s="600"/>
      <c r="DR271" s="600"/>
      <c r="DS271" s="577"/>
      <c r="DT271" s="577"/>
      <c r="DU271" s="577"/>
      <c r="DV271" s="577"/>
      <c r="DW271" s="577"/>
      <c r="DX271" s="577"/>
    </row>
    <row r="272" spans="2:128" s="560" customFormat="1">
      <c r="C272" s="560">
        <v>0.5</v>
      </c>
      <c r="P272" s="561"/>
      <c r="Q272" s="562"/>
      <c r="R272" s="562">
        <v>0.53</v>
      </c>
      <c r="S272" s="562"/>
      <c r="T272" s="562"/>
      <c r="U272" s="562"/>
      <c r="V272" s="562"/>
      <c r="W272" s="562"/>
      <c r="X272" s="562"/>
      <c r="Y272" s="562"/>
      <c r="Z272" s="562"/>
      <c r="AA272" s="562"/>
      <c r="AB272" s="562"/>
      <c r="AC272" s="562"/>
      <c r="AD272" s="563"/>
      <c r="AE272" s="561"/>
      <c r="AF272" s="568">
        <v>9</v>
      </c>
      <c r="AG272" s="562"/>
      <c r="AH272" s="577"/>
      <c r="AI272" s="577"/>
      <c r="AJ272" s="577"/>
      <c r="AK272" s="577">
        <v>1</v>
      </c>
      <c r="AL272" s="577"/>
      <c r="AM272" s="577"/>
      <c r="AN272" s="562">
        <v>2.4</v>
      </c>
      <c r="AO272" s="562">
        <f t="shared" si="51"/>
        <v>4.8</v>
      </c>
      <c r="AP272" s="598">
        <v>0.140625</v>
      </c>
      <c r="AQ272" s="599">
        <v>4.3835483870967744</v>
      </c>
      <c r="AR272" s="599">
        <f t="shared" si="52"/>
        <v>0.41645161290322541</v>
      </c>
      <c r="AS272" s="600"/>
      <c r="AT272" s="600">
        <v>1</v>
      </c>
      <c r="AU272" s="577" t="s">
        <v>778</v>
      </c>
      <c r="AV272" s="577"/>
      <c r="AW272" s="562"/>
      <c r="AX272" s="562"/>
      <c r="AY272" s="562"/>
      <c r="AZ272" s="562"/>
      <c r="BA272" s="607" t="s">
        <v>804</v>
      </c>
      <c r="BB272" s="608" t="s">
        <v>805</v>
      </c>
      <c r="BD272" s="566">
        <v>26</v>
      </c>
      <c r="BF272" s="566"/>
      <c r="BG272" s="566"/>
      <c r="BH272" s="566"/>
      <c r="BI272" s="566">
        <v>1</v>
      </c>
      <c r="BJ272" s="566"/>
      <c r="BK272" s="566"/>
      <c r="BL272" s="680">
        <v>2</v>
      </c>
      <c r="BM272" s="576">
        <f t="shared" si="49"/>
        <v>4</v>
      </c>
      <c r="BO272" s="611">
        <v>3.886206896551724</v>
      </c>
      <c r="BP272" s="611">
        <f t="shared" si="50"/>
        <v>0.11379310344827598</v>
      </c>
      <c r="BQ272" s="658"/>
      <c r="BR272" s="612">
        <v>1</v>
      </c>
      <c r="BS272" s="576" t="s">
        <v>778</v>
      </c>
      <c r="BT272" s="680"/>
      <c r="DD272" s="561"/>
      <c r="DE272" s="577"/>
      <c r="DF272" s="577">
        <v>0.33</v>
      </c>
      <c r="DG272" s="577"/>
      <c r="DH272" s="577"/>
      <c r="DI272" s="577"/>
      <c r="DJ272" s="577"/>
      <c r="DK272" s="577"/>
      <c r="DL272" s="577"/>
      <c r="DM272" s="577"/>
      <c r="DN272" s="577"/>
      <c r="DO272" s="577"/>
      <c r="DP272" s="577"/>
      <c r="DQ272" s="600"/>
      <c r="DR272" s="600"/>
      <c r="DS272" s="577"/>
      <c r="DT272" s="577"/>
      <c r="DU272" s="577"/>
      <c r="DV272" s="577"/>
      <c r="DW272" s="577"/>
      <c r="DX272" s="577"/>
    </row>
    <row r="273" spans="2:128" s="560" customFormat="1">
      <c r="C273" s="560">
        <v>0.5</v>
      </c>
      <c r="P273" s="561"/>
      <c r="Q273" s="562"/>
      <c r="R273" s="562">
        <v>0.6</v>
      </c>
      <c r="S273" s="562"/>
      <c r="T273" s="562"/>
      <c r="U273" s="562"/>
      <c r="V273" s="562"/>
      <c r="W273" s="562"/>
      <c r="X273" s="562"/>
      <c r="Y273" s="562"/>
      <c r="Z273" s="562"/>
      <c r="AA273" s="562"/>
      <c r="AB273" s="562"/>
      <c r="AC273" s="562"/>
      <c r="AD273" s="563"/>
      <c r="AE273" s="561"/>
      <c r="AF273" s="568">
        <v>10</v>
      </c>
      <c r="AG273" s="562"/>
      <c r="AH273" s="577"/>
      <c r="AI273" s="577"/>
      <c r="AJ273" s="577"/>
      <c r="AK273" s="577">
        <v>1</v>
      </c>
      <c r="AL273" s="577"/>
      <c r="AM273" s="577"/>
      <c r="AN273" s="562">
        <v>2.5</v>
      </c>
      <c r="AO273" s="562">
        <f t="shared" si="51"/>
        <v>5</v>
      </c>
      <c r="AP273" s="598">
        <v>0.140625</v>
      </c>
      <c r="AQ273" s="599">
        <v>4.3777419354838711</v>
      </c>
      <c r="AR273" s="599">
        <f t="shared" si="52"/>
        <v>0.62225806451612886</v>
      </c>
      <c r="AS273" s="600"/>
      <c r="AT273" s="600">
        <v>1</v>
      </c>
      <c r="AU273" s="577" t="s">
        <v>778</v>
      </c>
      <c r="AV273" s="577"/>
      <c r="AW273" s="562"/>
      <c r="AX273" s="562"/>
      <c r="AY273" s="562"/>
      <c r="AZ273" s="562"/>
      <c r="BA273" s="607" t="s">
        <v>807</v>
      </c>
      <c r="BB273" s="608" t="s">
        <v>808</v>
      </c>
      <c r="BD273" s="566">
        <v>27</v>
      </c>
      <c r="BF273" s="566"/>
      <c r="BG273" s="566"/>
      <c r="BH273" s="566"/>
      <c r="BI273" s="566">
        <v>1</v>
      </c>
      <c r="BJ273" s="566"/>
      <c r="BK273" s="566"/>
      <c r="BL273" s="680">
        <v>2</v>
      </c>
      <c r="BM273" s="576">
        <f t="shared" si="49"/>
        <v>4</v>
      </c>
      <c r="BO273" s="611">
        <v>3.8810344827586207</v>
      </c>
      <c r="BP273" s="611">
        <f t="shared" si="50"/>
        <v>0.11896551724137927</v>
      </c>
      <c r="BQ273" s="658"/>
      <c r="BR273" s="612">
        <v>1</v>
      </c>
      <c r="BS273" s="576" t="s">
        <v>778</v>
      </c>
      <c r="BT273" s="680"/>
      <c r="DD273" s="561"/>
      <c r="DE273" s="577"/>
      <c r="DF273" s="577">
        <v>0.4</v>
      </c>
      <c r="DG273" s="577"/>
      <c r="DH273" s="577"/>
      <c r="DI273" s="577"/>
      <c r="DJ273" s="577"/>
      <c r="DK273" s="577"/>
      <c r="DL273" s="577"/>
      <c r="DM273" s="577"/>
      <c r="DN273" s="577"/>
      <c r="DO273" s="577"/>
      <c r="DP273" s="577"/>
      <c r="DQ273" s="600"/>
      <c r="DR273" s="600"/>
      <c r="DS273" s="577"/>
      <c r="DT273" s="577"/>
      <c r="DU273" s="577"/>
      <c r="DV273" s="577"/>
      <c r="DW273" s="577"/>
      <c r="DX273" s="577"/>
    </row>
    <row r="274" spans="2:128" s="560" customFormat="1">
      <c r="B274" s="560" t="s">
        <v>1026</v>
      </c>
      <c r="P274" s="561"/>
      <c r="Q274" s="562"/>
      <c r="R274" s="562">
        <v>0.9</v>
      </c>
      <c r="S274" s="562"/>
      <c r="T274" s="562"/>
      <c r="U274" s="562"/>
      <c r="V274" s="562"/>
      <c r="W274" s="562"/>
      <c r="X274" s="562"/>
      <c r="Y274" s="562"/>
      <c r="Z274" s="562"/>
      <c r="AA274" s="562"/>
      <c r="AB274" s="562"/>
      <c r="AC274" s="562"/>
      <c r="AD274" s="563"/>
      <c r="AE274" s="561"/>
      <c r="AF274" s="568">
        <v>11</v>
      </c>
      <c r="AG274" s="562"/>
      <c r="AH274" s="577"/>
      <c r="AI274" s="577"/>
      <c r="AJ274" s="577"/>
      <c r="AK274" s="577">
        <v>1</v>
      </c>
      <c r="AL274" s="577"/>
      <c r="AM274" s="577"/>
      <c r="AN274" s="562">
        <v>2.4500000000000002</v>
      </c>
      <c r="AO274" s="562">
        <f t="shared" si="51"/>
        <v>4.9000000000000004</v>
      </c>
      <c r="AP274" s="598">
        <v>0.140625</v>
      </c>
      <c r="AQ274" s="599">
        <v>4.3719354838709679</v>
      </c>
      <c r="AR274" s="599">
        <f t="shared" si="52"/>
        <v>0.52806451612903249</v>
      </c>
      <c r="AS274" s="600"/>
      <c r="AT274" s="600">
        <v>1</v>
      </c>
      <c r="AU274" s="577" t="s">
        <v>778</v>
      </c>
      <c r="AV274" s="577"/>
      <c r="AW274" s="562"/>
      <c r="AX274" s="562"/>
      <c r="AY274" s="562"/>
      <c r="AZ274" s="562"/>
      <c r="BA274" s="607" t="s">
        <v>810</v>
      </c>
      <c r="BB274" s="608" t="s">
        <v>550</v>
      </c>
      <c r="BD274" s="566">
        <v>28</v>
      </c>
      <c r="BF274" s="566"/>
      <c r="BG274" s="566"/>
      <c r="BH274" s="566"/>
      <c r="BI274" s="566">
        <v>1</v>
      </c>
      <c r="BJ274" s="566"/>
      <c r="BK274" s="566"/>
      <c r="BL274" s="680">
        <v>2</v>
      </c>
      <c r="BM274" s="576">
        <f t="shared" si="49"/>
        <v>4</v>
      </c>
      <c r="BO274" s="611">
        <v>3.875862068965517</v>
      </c>
      <c r="BP274" s="611">
        <f t="shared" si="50"/>
        <v>0.12413793103448301</v>
      </c>
      <c r="BQ274" s="658"/>
      <c r="BR274" s="612">
        <v>1</v>
      </c>
      <c r="BS274" s="576" t="s">
        <v>778</v>
      </c>
      <c r="BT274" s="680"/>
      <c r="DD274" s="561"/>
      <c r="DE274" s="577" t="s">
        <v>859</v>
      </c>
      <c r="DF274" s="577">
        <v>0.5</v>
      </c>
      <c r="DG274" s="577"/>
      <c r="DH274" s="577"/>
      <c r="DI274" s="577"/>
      <c r="DJ274" s="577"/>
      <c r="DK274" s="577"/>
      <c r="DL274" s="577"/>
      <c r="DM274" s="577"/>
      <c r="DN274" s="577"/>
      <c r="DO274" s="577"/>
      <c r="DP274" s="577"/>
      <c r="DQ274" s="600"/>
      <c r="DR274" s="600"/>
      <c r="DS274" s="577"/>
      <c r="DT274" s="577"/>
      <c r="DU274" s="577"/>
      <c r="DV274" s="577"/>
      <c r="DW274" s="577"/>
      <c r="DX274" s="577"/>
    </row>
    <row r="275" spans="2:128" s="560" customFormat="1">
      <c r="C275" s="560">
        <v>0.5</v>
      </c>
      <c r="P275" s="561"/>
      <c r="Q275" s="562"/>
      <c r="R275" s="562">
        <v>0.8</v>
      </c>
      <c r="S275" s="562"/>
      <c r="T275" s="562"/>
      <c r="U275" s="562"/>
      <c r="V275" s="562"/>
      <c r="W275" s="562"/>
      <c r="X275" s="562"/>
      <c r="Y275" s="562"/>
      <c r="Z275" s="562"/>
      <c r="AA275" s="562"/>
      <c r="AB275" s="562"/>
      <c r="AC275" s="562"/>
      <c r="AD275" s="563"/>
      <c r="AE275" s="561"/>
      <c r="AF275" s="568">
        <v>12</v>
      </c>
      <c r="AG275" s="562"/>
      <c r="AH275" s="577"/>
      <c r="AI275" s="577"/>
      <c r="AJ275" s="577"/>
      <c r="AK275" s="577">
        <v>1</v>
      </c>
      <c r="AL275" s="577"/>
      <c r="AM275" s="577"/>
      <c r="AN275" s="562">
        <v>2.4</v>
      </c>
      <c r="AO275" s="562">
        <f t="shared" si="51"/>
        <v>4.8</v>
      </c>
      <c r="AP275" s="598">
        <v>0.140625</v>
      </c>
      <c r="AQ275" s="599">
        <v>4.3661290322580646</v>
      </c>
      <c r="AR275" s="599">
        <f t="shared" si="52"/>
        <v>0.43387096774193523</v>
      </c>
      <c r="AS275" s="600"/>
      <c r="AT275" s="600">
        <v>1</v>
      </c>
      <c r="AU275" s="577" t="s">
        <v>778</v>
      </c>
      <c r="AV275" s="577"/>
      <c r="AW275" s="562"/>
      <c r="AX275" s="625" t="s">
        <v>806</v>
      </c>
      <c r="AY275" s="562">
        <f>COUNT(AR264:AR295)</f>
        <v>30</v>
      </c>
      <c r="AZ275" s="562"/>
      <c r="BA275" s="607" t="s">
        <v>813</v>
      </c>
      <c r="BB275" s="608" t="s">
        <v>552</v>
      </c>
      <c r="BD275" s="566">
        <v>29</v>
      </c>
      <c r="BF275" s="566">
        <v>0.1</v>
      </c>
      <c r="BG275" s="566" t="s">
        <v>777</v>
      </c>
      <c r="BH275" s="566">
        <v>1</v>
      </c>
      <c r="BI275" s="566"/>
      <c r="BJ275" s="566"/>
      <c r="BK275" s="566"/>
      <c r="BL275" s="680">
        <v>2.2999999999999998</v>
      </c>
      <c r="BM275" s="576">
        <f t="shared" si="49"/>
        <v>4.5999999999999996</v>
      </c>
      <c r="BO275" s="611">
        <v>3.8706896551724137</v>
      </c>
      <c r="BP275" s="611">
        <f t="shared" si="50"/>
        <v>0.72931034482758594</v>
      </c>
      <c r="BQ275" s="658"/>
      <c r="BR275" s="612">
        <v>1</v>
      </c>
      <c r="BS275" s="576" t="s">
        <v>778</v>
      </c>
      <c r="BT275" s="679" t="s">
        <v>1027</v>
      </c>
      <c r="DD275" s="561"/>
      <c r="DE275" s="577"/>
      <c r="DF275" s="577">
        <v>0.4</v>
      </c>
      <c r="DG275" s="577"/>
      <c r="DH275" s="577"/>
      <c r="DI275" s="577"/>
      <c r="DJ275" s="577"/>
      <c r="DK275" s="577"/>
      <c r="DL275" s="577"/>
      <c r="DM275" s="577"/>
      <c r="DN275" s="577"/>
      <c r="DO275" s="577"/>
      <c r="DP275" s="577"/>
      <c r="DQ275" s="600"/>
      <c r="DR275" s="600"/>
      <c r="DS275" s="577"/>
      <c r="DT275" s="577"/>
      <c r="DU275" s="577"/>
      <c r="DV275" s="577"/>
      <c r="DW275" s="577"/>
      <c r="DX275" s="577"/>
    </row>
    <row r="276" spans="2:128" s="560" customFormat="1">
      <c r="C276" s="560">
        <v>0.46</v>
      </c>
      <c r="P276" s="561"/>
      <c r="Q276" s="562"/>
      <c r="R276" s="562">
        <v>0.7</v>
      </c>
      <c r="S276" s="562"/>
      <c r="T276" s="562"/>
      <c r="U276" s="562"/>
      <c r="V276" s="562"/>
      <c r="W276" s="562"/>
      <c r="X276" s="562"/>
      <c r="Y276" s="562"/>
      <c r="Z276" s="562"/>
      <c r="AA276" s="562"/>
      <c r="AB276" s="562"/>
      <c r="AC276" s="562"/>
      <c r="AD276" s="563"/>
      <c r="AE276" s="561"/>
      <c r="AF276" s="568">
        <v>13</v>
      </c>
      <c r="AG276" s="562"/>
      <c r="AH276" s="577"/>
      <c r="AI276" s="577"/>
      <c r="AJ276" s="577"/>
      <c r="AK276" s="577">
        <v>1</v>
      </c>
      <c r="AL276" s="577"/>
      <c r="AM276" s="577"/>
      <c r="AN276" s="562">
        <v>2.5</v>
      </c>
      <c r="AO276" s="562">
        <f t="shared" si="51"/>
        <v>5</v>
      </c>
      <c r="AP276" s="598">
        <v>0.140625</v>
      </c>
      <c r="AQ276" s="599">
        <v>4.3603225806451613</v>
      </c>
      <c r="AR276" s="599">
        <f t="shared" si="52"/>
        <v>0.63967741935483868</v>
      </c>
      <c r="AS276" s="600"/>
      <c r="AT276" s="600">
        <v>1</v>
      </c>
      <c r="AU276" s="577" t="s">
        <v>778</v>
      </c>
      <c r="AV276" s="577"/>
      <c r="AW276" s="562"/>
      <c r="AX276" s="625" t="s">
        <v>809</v>
      </c>
      <c r="AY276" s="649">
        <f>SUM(AR264:AR295)</f>
        <v>10.995483870967746</v>
      </c>
      <c r="AZ276" s="562"/>
      <c r="BA276" s="607" t="s">
        <v>815</v>
      </c>
      <c r="BB276" s="608" t="s">
        <v>816</v>
      </c>
      <c r="BD276" s="566">
        <v>30</v>
      </c>
      <c r="BF276" s="566"/>
      <c r="BG276" s="566"/>
      <c r="BH276" s="566"/>
      <c r="BI276" s="566">
        <v>1</v>
      </c>
      <c r="BJ276" s="566"/>
      <c r="BK276" s="566"/>
      <c r="BL276" s="680">
        <v>2.2999999999999998</v>
      </c>
      <c r="BM276" s="576">
        <f t="shared" si="49"/>
        <v>4.5999999999999996</v>
      </c>
      <c r="BO276" s="611">
        <v>3.8655172413793104</v>
      </c>
      <c r="BP276" s="611">
        <f t="shared" si="50"/>
        <v>0.73448275862068924</v>
      </c>
      <c r="BQ276" s="658"/>
      <c r="BR276" s="612">
        <v>1</v>
      </c>
      <c r="BS276" s="576" t="s">
        <v>778</v>
      </c>
      <c r="BT276" s="566"/>
      <c r="DD276" s="561"/>
      <c r="DE276" s="577"/>
      <c r="DF276" s="577">
        <v>0.35</v>
      </c>
      <c r="DG276" s="577"/>
      <c r="DH276" s="577"/>
      <c r="DI276" s="577"/>
      <c r="DJ276" s="577"/>
      <c r="DK276" s="577"/>
      <c r="DL276" s="577"/>
      <c r="DM276" s="577"/>
      <c r="DN276" s="577"/>
      <c r="DO276" s="577"/>
      <c r="DP276" s="577"/>
      <c r="DQ276" s="600"/>
      <c r="DR276" s="600"/>
      <c r="DS276" s="577"/>
      <c r="DT276" s="577"/>
      <c r="DU276" s="577"/>
      <c r="DV276" s="577"/>
      <c r="DW276" s="577"/>
      <c r="DX276" s="577"/>
    </row>
    <row r="277" spans="2:128" s="560" customFormat="1">
      <c r="C277" s="560">
        <v>0.47</v>
      </c>
      <c r="P277" s="561"/>
      <c r="Q277" s="562"/>
      <c r="R277" s="562">
        <v>0.6</v>
      </c>
      <c r="S277" s="562"/>
      <c r="T277" s="562"/>
      <c r="U277" s="562"/>
      <c r="V277" s="562"/>
      <c r="W277" s="562"/>
      <c r="X277" s="562"/>
      <c r="Y277" s="562"/>
      <c r="Z277" s="562"/>
      <c r="AA277" s="562"/>
      <c r="AB277" s="562"/>
      <c r="AC277" s="562"/>
      <c r="AD277" s="563"/>
      <c r="AE277" s="561"/>
      <c r="AF277" s="568">
        <v>14</v>
      </c>
      <c r="AG277" s="562"/>
      <c r="AH277" s="577"/>
      <c r="AI277" s="577"/>
      <c r="AJ277" s="577"/>
      <c r="AK277" s="577">
        <v>1</v>
      </c>
      <c r="AL277" s="577"/>
      <c r="AM277" s="577"/>
      <c r="AN277" s="562">
        <v>2.5</v>
      </c>
      <c r="AO277" s="562">
        <f t="shared" si="51"/>
        <v>5</v>
      </c>
      <c r="AP277" s="598">
        <v>0.140625</v>
      </c>
      <c r="AQ277" s="599">
        <v>4.354516129032258</v>
      </c>
      <c r="AR277" s="599">
        <f t="shared" si="52"/>
        <v>0.64548387096774196</v>
      </c>
      <c r="AS277" s="600"/>
      <c r="AT277" s="600">
        <v>1</v>
      </c>
      <c r="AU277" s="577" t="s">
        <v>778</v>
      </c>
      <c r="AV277" s="577"/>
      <c r="AW277" s="562"/>
      <c r="AX277" s="625" t="s">
        <v>811</v>
      </c>
      <c r="AY277" s="649">
        <f>MAX(AR264:AR295)</f>
        <v>0.78161290322580701</v>
      </c>
      <c r="AZ277" s="562"/>
      <c r="BA277" s="562"/>
      <c r="BB277" s="563"/>
      <c r="BD277" s="566">
        <v>31</v>
      </c>
      <c r="BF277" s="566"/>
      <c r="BG277" s="566"/>
      <c r="BH277" s="566"/>
      <c r="BI277" s="566">
        <v>1</v>
      </c>
      <c r="BJ277" s="566"/>
      <c r="BK277" s="566"/>
      <c r="BL277" s="680">
        <v>2</v>
      </c>
      <c r="BM277" s="576">
        <f t="shared" si="49"/>
        <v>4</v>
      </c>
      <c r="BO277" s="611">
        <v>3.8603448275862067</v>
      </c>
      <c r="BP277" s="611">
        <f t="shared" si="50"/>
        <v>0.13965517241379333</v>
      </c>
      <c r="BQ277" s="658"/>
      <c r="BR277" s="612">
        <v>1</v>
      </c>
      <c r="BS277" s="576" t="s">
        <v>778</v>
      </c>
      <c r="BT277" s="566"/>
      <c r="DD277" s="561"/>
      <c r="DE277" s="577"/>
      <c r="DF277" s="577">
        <v>0.35</v>
      </c>
      <c r="DG277" s="577"/>
      <c r="DH277" s="577"/>
      <c r="DI277" s="577"/>
      <c r="DJ277" s="577"/>
      <c r="DK277" s="577"/>
      <c r="DL277" s="577"/>
      <c r="DM277" s="577"/>
      <c r="DN277" s="577"/>
      <c r="DO277" s="577"/>
      <c r="DP277" s="577"/>
      <c r="DQ277" s="600"/>
      <c r="DR277" s="600"/>
      <c r="DS277" s="577"/>
      <c r="DT277" s="577"/>
      <c r="DU277" s="577"/>
      <c r="DV277" s="577"/>
      <c r="DW277" s="577"/>
      <c r="DX277" s="577"/>
    </row>
    <row r="278" spans="2:128" s="560" customFormat="1">
      <c r="C278" s="560">
        <v>0.5</v>
      </c>
      <c r="P278" s="561"/>
      <c r="Q278" s="562"/>
      <c r="R278" s="562">
        <v>0.7</v>
      </c>
      <c r="S278" s="562"/>
      <c r="T278" s="562"/>
      <c r="U278" s="562"/>
      <c r="V278" s="562"/>
      <c r="W278" s="562"/>
      <c r="X278" s="562"/>
      <c r="Y278" s="562"/>
      <c r="Z278" s="562"/>
      <c r="AA278" s="562"/>
      <c r="AB278" s="562"/>
      <c r="AC278" s="562"/>
      <c r="AD278" s="563"/>
      <c r="AE278" s="561"/>
      <c r="AF278" s="568">
        <v>15</v>
      </c>
      <c r="AG278" s="562"/>
      <c r="AH278" s="577"/>
      <c r="AI278" s="577"/>
      <c r="AJ278" s="577"/>
      <c r="AK278" s="577">
        <v>1</v>
      </c>
      <c r="AL278" s="577"/>
      <c r="AM278" s="577"/>
      <c r="AN278" s="562">
        <v>2.4</v>
      </c>
      <c r="AO278" s="562">
        <f t="shared" si="51"/>
        <v>4.8</v>
      </c>
      <c r="AP278" s="598">
        <v>0.140625</v>
      </c>
      <c r="AQ278" s="599">
        <v>4.3487096774193548</v>
      </c>
      <c r="AR278" s="599">
        <f t="shared" si="52"/>
        <v>0.45129032258064505</v>
      </c>
      <c r="AS278" s="600"/>
      <c r="AT278" s="600">
        <v>1</v>
      </c>
      <c r="AU278" s="577" t="s">
        <v>778</v>
      </c>
      <c r="AV278" s="577"/>
      <c r="AW278" s="562"/>
      <c r="AX278" s="625" t="s">
        <v>814</v>
      </c>
      <c r="AY278" s="649">
        <f>MIN(AR264:AR295)</f>
        <v>-0.3241935483870968</v>
      </c>
      <c r="AZ278" s="562"/>
      <c r="BA278" s="562"/>
      <c r="BB278" s="563"/>
      <c r="BD278" s="566">
        <v>32</v>
      </c>
      <c r="BF278" s="566"/>
      <c r="BG278" s="566"/>
      <c r="BH278" s="566"/>
      <c r="BI278" s="566">
        <v>1</v>
      </c>
      <c r="BJ278" s="566"/>
      <c r="BK278" s="566"/>
      <c r="BL278" s="680">
        <v>2</v>
      </c>
      <c r="BM278" s="576">
        <f t="shared" si="49"/>
        <v>4</v>
      </c>
      <c r="BO278" s="611">
        <v>3.8551724137931034</v>
      </c>
      <c r="BP278" s="611">
        <f t="shared" si="50"/>
        <v>0.14482758620689662</v>
      </c>
      <c r="BQ278" s="658"/>
      <c r="BR278" s="612">
        <v>1</v>
      </c>
      <c r="BS278" s="576" t="s">
        <v>778</v>
      </c>
      <c r="BT278" s="566"/>
      <c r="DD278" s="561"/>
      <c r="DE278" s="577" t="s">
        <v>859</v>
      </c>
      <c r="DF278" s="577">
        <v>0.35</v>
      </c>
      <c r="DG278" s="577"/>
      <c r="DH278" s="577"/>
      <c r="DI278" s="577"/>
      <c r="DJ278" s="577"/>
      <c r="DK278" s="577"/>
      <c r="DL278" s="577"/>
      <c r="DM278" s="577"/>
      <c r="DN278" s="577"/>
      <c r="DO278" s="577"/>
      <c r="DP278" s="577"/>
      <c r="DQ278" s="600"/>
      <c r="DR278" s="600"/>
      <c r="DS278" s="577"/>
      <c r="DT278" s="577"/>
      <c r="DU278" s="577"/>
      <c r="DV278" s="577"/>
      <c r="DW278" s="577"/>
      <c r="DX278" s="577"/>
    </row>
    <row r="279" spans="2:128" s="560" customFormat="1">
      <c r="C279" s="560">
        <v>0.5</v>
      </c>
      <c r="P279" s="561"/>
      <c r="Q279" s="562"/>
      <c r="R279" s="562">
        <v>0.75</v>
      </c>
      <c r="S279" s="562"/>
      <c r="T279" s="562"/>
      <c r="U279" s="562"/>
      <c r="V279" s="562"/>
      <c r="W279" s="562"/>
      <c r="X279" s="562"/>
      <c r="Y279" s="562"/>
      <c r="Z279" s="562"/>
      <c r="AA279" s="562"/>
      <c r="AB279" s="562"/>
      <c r="AC279" s="562"/>
      <c r="AD279" s="563"/>
      <c r="AE279" s="561"/>
      <c r="AF279" s="568">
        <v>16</v>
      </c>
      <c r="AG279" s="562"/>
      <c r="AH279" s="577">
        <v>0.1</v>
      </c>
      <c r="AI279" s="577" t="s">
        <v>777</v>
      </c>
      <c r="AJ279" s="577">
        <v>1</v>
      </c>
      <c r="AK279" s="577"/>
      <c r="AL279" s="577"/>
      <c r="AM279" s="577"/>
      <c r="AN279" s="562">
        <v>2.5</v>
      </c>
      <c r="AO279" s="562">
        <f t="shared" si="51"/>
        <v>5</v>
      </c>
      <c r="AP279" s="598">
        <v>0.140625</v>
      </c>
      <c r="AQ279" s="599">
        <v>4.3429032258064515</v>
      </c>
      <c r="AR279" s="599">
        <f t="shared" si="52"/>
        <v>0.65709677419354851</v>
      </c>
      <c r="AS279" s="600"/>
      <c r="AT279" s="600">
        <v>1</v>
      </c>
      <c r="AU279" s="577" t="s">
        <v>778</v>
      </c>
      <c r="AV279" s="577">
        <v>2394</v>
      </c>
      <c r="AW279" s="562"/>
      <c r="AX279" s="625" t="s">
        <v>817</v>
      </c>
      <c r="AY279" s="649">
        <f>AVERAGE(AR264:AR295)</f>
        <v>0.36651612903225822</v>
      </c>
      <c r="AZ279" s="562"/>
      <c r="BA279" s="562"/>
      <c r="BB279" s="563"/>
      <c r="BD279" s="566">
        <v>33</v>
      </c>
      <c r="BF279" s="566"/>
      <c r="BG279" s="566"/>
      <c r="BH279" s="566"/>
      <c r="BI279" s="566">
        <v>1</v>
      </c>
      <c r="BJ279" s="566"/>
      <c r="BK279" s="566"/>
      <c r="BL279" s="680">
        <v>2.8</v>
      </c>
      <c r="BM279" s="576">
        <f t="shared" si="49"/>
        <v>5.6</v>
      </c>
      <c r="BO279" s="611">
        <v>3.85</v>
      </c>
      <c r="BP279" s="611">
        <f t="shared" si="50"/>
        <v>1.7499999999999996</v>
      </c>
      <c r="BQ279" s="658"/>
      <c r="BR279" s="612">
        <v>1</v>
      </c>
      <c r="BS279" s="576" t="s">
        <v>778</v>
      </c>
      <c r="BT279" s="566"/>
      <c r="DD279" s="561"/>
      <c r="DE279" s="577"/>
      <c r="DF279" s="577">
        <v>0.08</v>
      </c>
      <c r="DG279" s="577"/>
      <c r="DH279" s="577"/>
      <c r="DI279" s="577"/>
      <c r="DJ279" s="577"/>
      <c r="DK279" s="577"/>
      <c r="DL279" s="577"/>
      <c r="DM279" s="577"/>
      <c r="DN279" s="577"/>
      <c r="DO279" s="577"/>
      <c r="DP279" s="577"/>
      <c r="DQ279" s="600"/>
      <c r="DR279" s="600"/>
      <c r="DS279" s="577"/>
      <c r="DT279" s="577"/>
      <c r="DU279" s="577"/>
      <c r="DV279" s="577"/>
      <c r="DW279" s="577"/>
      <c r="DX279" s="577"/>
    </row>
    <row r="280" spans="2:128" s="560" customFormat="1">
      <c r="C280" s="560">
        <v>0.43</v>
      </c>
      <c r="P280" s="561"/>
      <c r="Q280" s="562"/>
      <c r="R280" s="562">
        <v>0.61</v>
      </c>
      <c r="S280" s="562"/>
      <c r="T280" s="562"/>
      <c r="U280" s="562"/>
      <c r="V280" s="562"/>
      <c r="W280" s="562"/>
      <c r="X280" s="562"/>
      <c r="Y280" s="562"/>
      <c r="Z280" s="562"/>
      <c r="AA280" s="562"/>
      <c r="AB280" s="562"/>
      <c r="AC280" s="562"/>
      <c r="AD280" s="563"/>
      <c r="AE280" s="561"/>
      <c r="AF280" s="568">
        <v>17</v>
      </c>
      <c r="AG280" s="562"/>
      <c r="AH280" s="577"/>
      <c r="AI280" s="577"/>
      <c r="AJ280" s="577"/>
      <c r="AK280" s="577">
        <v>1</v>
      </c>
      <c r="AL280" s="577"/>
      <c r="AM280" s="577"/>
      <c r="AN280" s="562">
        <v>2.5</v>
      </c>
      <c r="AO280" s="562">
        <f t="shared" si="51"/>
        <v>5</v>
      </c>
      <c r="AP280" s="598">
        <v>0.140625</v>
      </c>
      <c r="AQ280" s="599">
        <v>4.3370967741935482</v>
      </c>
      <c r="AR280" s="599">
        <f t="shared" si="52"/>
        <v>0.66290322580645178</v>
      </c>
      <c r="AS280" s="600"/>
      <c r="AT280" s="600">
        <v>1</v>
      </c>
      <c r="AU280" s="577" t="s">
        <v>778</v>
      </c>
      <c r="AV280" s="577"/>
      <c r="AW280" s="562"/>
      <c r="AX280" s="625" t="s">
        <v>818</v>
      </c>
      <c r="AY280" s="625" t="e">
        <f ca="1">_xlfn.STDEV.S(AR264:AR295)</f>
        <v>#NAME?</v>
      </c>
      <c r="AZ280" s="562"/>
      <c r="BA280" s="562"/>
      <c r="BB280" s="563"/>
      <c r="BH280" s="640">
        <f>SUM(BH245:BH279)</f>
        <v>7</v>
      </c>
      <c r="BI280" s="640">
        <f>SUM(BI245:BI279)</f>
        <v>26</v>
      </c>
      <c r="BJ280" s="641"/>
      <c r="BK280" s="642"/>
      <c r="BM280" s="676">
        <f>SUM(BM245:BM279)</f>
        <v>140.19999999999999</v>
      </c>
      <c r="BO280" s="605"/>
      <c r="BP280" s="605"/>
      <c r="BQ280" s="658"/>
      <c r="BR280" s="658"/>
      <c r="DD280" s="561"/>
      <c r="DE280" s="577"/>
      <c r="DF280" s="577">
        <v>0.1</v>
      </c>
      <c r="DG280" s="577"/>
      <c r="DH280" s="577"/>
      <c r="DI280" s="577"/>
      <c r="DJ280" s="577"/>
      <c r="DK280" s="577"/>
      <c r="DL280" s="577"/>
      <c r="DM280" s="577"/>
      <c r="DN280" s="577"/>
      <c r="DO280" s="577"/>
      <c r="DP280" s="577"/>
      <c r="DQ280" s="600"/>
      <c r="DR280" s="600"/>
      <c r="DS280" s="577"/>
      <c r="DT280" s="577"/>
      <c r="DU280" s="577"/>
      <c r="DV280" s="577"/>
      <c r="DW280" s="577"/>
      <c r="DX280" s="577"/>
    </row>
    <row r="281" spans="2:128" s="560" customFormat="1">
      <c r="C281" s="560">
        <v>0.5</v>
      </c>
      <c r="P281" s="561"/>
      <c r="Q281" s="562"/>
      <c r="R281" s="562">
        <v>0.7</v>
      </c>
      <c r="S281" s="562"/>
      <c r="T281" s="562"/>
      <c r="U281" s="562"/>
      <c r="V281" s="562"/>
      <c r="W281" s="562"/>
      <c r="X281" s="562"/>
      <c r="Y281" s="562"/>
      <c r="Z281" s="562"/>
      <c r="AA281" s="562"/>
      <c r="AB281" s="562"/>
      <c r="AC281" s="562"/>
      <c r="AD281" s="563"/>
      <c r="AE281" s="561"/>
      <c r="AF281" s="568">
        <v>18</v>
      </c>
      <c r="AG281" s="562"/>
      <c r="AH281" s="577"/>
      <c r="AI281" s="577"/>
      <c r="AJ281" s="577"/>
      <c r="AK281" s="577">
        <v>1</v>
      </c>
      <c r="AL281" s="577"/>
      <c r="AM281" s="577"/>
      <c r="AN281" s="562">
        <v>2.4500000000000002</v>
      </c>
      <c r="AO281" s="562">
        <f t="shared" si="51"/>
        <v>4.9000000000000004</v>
      </c>
      <c r="AP281" s="598">
        <v>0.140625</v>
      </c>
      <c r="AQ281" s="599">
        <v>4.3312903225806449</v>
      </c>
      <c r="AR281" s="599">
        <f t="shared" si="52"/>
        <v>0.56870967741935541</v>
      </c>
      <c r="AS281" s="600"/>
      <c r="AT281" s="600">
        <v>1</v>
      </c>
      <c r="AU281" s="577" t="s">
        <v>778</v>
      </c>
      <c r="AV281" s="577"/>
      <c r="AW281" s="562"/>
      <c r="AX281" s="562"/>
      <c r="AY281" s="562"/>
      <c r="AZ281" s="562"/>
      <c r="BA281" s="562"/>
      <c r="BB281" s="563"/>
      <c r="BJ281" s="623"/>
      <c r="BK281" s="623"/>
      <c r="BO281" s="660">
        <f>SUM(BO245:BO280)</f>
        <v>134.14999999999998</v>
      </c>
      <c r="BP281" s="660">
        <f>SUM(BP245:BP280)</f>
        <v>10.024137931034481</v>
      </c>
      <c r="BQ281" s="645">
        <f>SUM(BQ245:BQ280)</f>
        <v>35</v>
      </c>
      <c r="BR281" s="645">
        <f>SUM(BR245:BR280)</f>
        <v>31</v>
      </c>
      <c r="DD281" s="561"/>
      <c r="DE281" s="577"/>
      <c r="DF281" s="577" t="s">
        <v>1028</v>
      </c>
      <c r="DG281" s="577"/>
      <c r="DH281" s="577"/>
      <c r="DI281" s="577"/>
      <c r="DJ281" s="577"/>
      <c r="DK281" s="577"/>
      <c r="DL281" s="577"/>
      <c r="DM281" s="577"/>
      <c r="DN281" s="577"/>
      <c r="DO281" s="577"/>
      <c r="DP281" s="577"/>
      <c r="DQ281" s="600"/>
      <c r="DR281" s="600"/>
      <c r="DS281" s="577"/>
      <c r="DT281" s="577"/>
      <c r="DU281" s="577"/>
      <c r="DV281" s="577"/>
      <c r="DW281" s="577"/>
      <c r="DX281" s="577"/>
    </row>
    <row r="282" spans="2:128" s="560" customFormat="1">
      <c r="C282" s="560">
        <v>0.42</v>
      </c>
      <c r="P282" s="561"/>
      <c r="Q282" s="562"/>
      <c r="R282" s="562">
        <v>0.65</v>
      </c>
      <c r="S282" s="562"/>
      <c r="T282" s="562"/>
      <c r="U282" s="562"/>
      <c r="V282" s="562"/>
      <c r="W282" s="562"/>
      <c r="X282" s="562"/>
      <c r="Y282" s="562"/>
      <c r="Z282" s="562"/>
      <c r="AA282" s="562"/>
      <c r="AB282" s="562"/>
      <c r="AC282" s="562"/>
      <c r="AD282" s="563"/>
      <c r="AE282" s="561"/>
      <c r="AF282" s="568">
        <v>19</v>
      </c>
      <c r="AG282" s="562"/>
      <c r="AH282" s="577"/>
      <c r="AI282" s="577"/>
      <c r="AJ282" s="577"/>
      <c r="AK282" s="577">
        <v>1</v>
      </c>
      <c r="AL282" s="577"/>
      <c r="AM282" s="577"/>
      <c r="AN282" s="562">
        <v>2.4</v>
      </c>
      <c r="AO282" s="562">
        <f t="shared" si="51"/>
        <v>4.8</v>
      </c>
      <c r="AP282" s="598">
        <v>0.140625</v>
      </c>
      <c r="AQ282" s="599">
        <v>4.3254838709677417</v>
      </c>
      <c r="AR282" s="599">
        <f t="shared" si="52"/>
        <v>0.47451612903225815</v>
      </c>
      <c r="AS282" s="600"/>
      <c r="AT282" s="600">
        <v>1</v>
      </c>
      <c r="AU282" s="577" t="s">
        <v>778</v>
      </c>
      <c r="AV282" s="577"/>
      <c r="AW282" s="562"/>
      <c r="AX282" s="562"/>
      <c r="AY282" s="562"/>
      <c r="AZ282" s="562"/>
      <c r="BA282" s="562"/>
      <c r="BB282" s="563"/>
      <c r="BC282" s="682">
        <v>41095</v>
      </c>
      <c r="BD282" s="565" t="s">
        <v>725</v>
      </c>
      <c r="BE282" s="565"/>
      <c r="BF282" s="565" t="s">
        <v>726</v>
      </c>
      <c r="BG282" s="566" t="s">
        <v>727</v>
      </c>
      <c r="BH282" s="566"/>
      <c r="BI282" s="566"/>
      <c r="BJ282" s="566"/>
      <c r="BK282" s="566"/>
      <c r="BL282" s="566" t="s">
        <v>728</v>
      </c>
      <c r="BN282" s="566" t="s">
        <v>729</v>
      </c>
      <c r="BO282" s="603"/>
      <c r="BP282" s="646">
        <f>+BP281/BO281</f>
        <v>7.4723353939876877E-2</v>
      </c>
      <c r="BQ282" s="604"/>
      <c r="BR282" s="604"/>
      <c r="BS282" s="566" t="s">
        <v>730</v>
      </c>
      <c r="BT282" s="566" t="s">
        <v>731</v>
      </c>
      <c r="DD282" s="561"/>
      <c r="DE282" s="577" t="s">
        <v>1029</v>
      </c>
      <c r="DF282" s="577"/>
      <c r="DG282" s="577"/>
      <c r="DH282" s="577"/>
      <c r="DI282" s="577"/>
      <c r="DJ282" s="577"/>
      <c r="DK282" s="577"/>
      <c r="DL282" s="577"/>
      <c r="DM282" s="577"/>
      <c r="DN282" s="577"/>
      <c r="DO282" s="577"/>
      <c r="DP282" s="577"/>
      <c r="DQ282" s="600"/>
      <c r="DR282" s="600"/>
      <c r="DS282" s="577"/>
      <c r="DT282" s="577"/>
      <c r="DU282" s="577"/>
      <c r="DV282" s="577"/>
      <c r="DW282" s="577"/>
      <c r="DX282" s="577"/>
    </row>
    <row r="283" spans="2:128" s="560" customFormat="1">
      <c r="C283" s="560">
        <v>0.5</v>
      </c>
      <c r="P283" s="561"/>
      <c r="Q283" s="562"/>
      <c r="R283" s="562">
        <v>0.5</v>
      </c>
      <c r="S283" s="562"/>
      <c r="T283" s="562"/>
      <c r="U283" s="562"/>
      <c r="V283" s="562"/>
      <c r="W283" s="562"/>
      <c r="X283" s="562"/>
      <c r="Y283" s="562"/>
      <c r="Z283" s="562"/>
      <c r="AA283" s="562"/>
      <c r="AB283" s="562"/>
      <c r="AC283" s="562"/>
      <c r="AD283" s="563"/>
      <c r="AE283" s="561"/>
      <c r="AF283" s="568">
        <v>20</v>
      </c>
      <c r="AG283" s="562"/>
      <c r="AH283" s="577"/>
      <c r="AI283" s="577"/>
      <c r="AJ283" s="577"/>
      <c r="AK283" s="577">
        <v>1</v>
      </c>
      <c r="AL283" s="577"/>
      <c r="AM283" s="577"/>
      <c r="AN283" s="562">
        <v>2</v>
      </c>
      <c r="AO283" s="562">
        <f t="shared" si="51"/>
        <v>4</v>
      </c>
      <c r="AP283" s="598">
        <v>0.125</v>
      </c>
      <c r="AQ283" s="599">
        <v>3.4</v>
      </c>
      <c r="AR283" s="599">
        <f t="shared" si="52"/>
        <v>0.60000000000000009</v>
      </c>
      <c r="AS283" s="600">
        <v>1</v>
      </c>
      <c r="AT283" s="600"/>
      <c r="AU283" s="577" t="s">
        <v>778</v>
      </c>
      <c r="AV283" s="577"/>
      <c r="AW283" s="562"/>
      <c r="AX283" s="562"/>
      <c r="AY283" s="562"/>
      <c r="AZ283" s="562"/>
      <c r="BA283" s="562"/>
      <c r="BB283" s="563"/>
      <c r="BD283" s="565"/>
      <c r="BE283" s="565"/>
      <c r="BF283" s="565"/>
      <c r="BG283" s="576" t="s">
        <v>1030</v>
      </c>
      <c r="BH283" s="576"/>
      <c r="BI283" s="576"/>
      <c r="BJ283" s="576"/>
      <c r="BK283" s="576"/>
      <c r="BL283" s="576" t="s">
        <v>1031</v>
      </c>
      <c r="BN283" s="576">
        <v>23</v>
      </c>
      <c r="BO283" s="611"/>
      <c r="BP283" s="611"/>
      <c r="BQ283" s="612"/>
      <c r="BR283" s="612"/>
      <c r="BS283" s="576">
        <v>28</v>
      </c>
      <c r="BT283" s="622"/>
      <c r="DD283" s="561"/>
      <c r="DE283" s="577" t="s">
        <v>859</v>
      </c>
      <c r="DF283" s="577">
        <v>0.1</v>
      </c>
      <c r="DG283" s="577"/>
      <c r="DH283" s="577"/>
      <c r="DI283" s="577"/>
      <c r="DJ283" s="577"/>
      <c r="DK283" s="577"/>
      <c r="DL283" s="577"/>
      <c r="DM283" s="577"/>
      <c r="DN283" s="577"/>
      <c r="DO283" s="577"/>
      <c r="DP283" s="577"/>
      <c r="DQ283" s="600"/>
      <c r="DR283" s="600"/>
      <c r="DS283" s="577"/>
      <c r="DT283" s="577"/>
      <c r="DU283" s="577"/>
      <c r="DV283" s="577"/>
      <c r="DW283" s="577"/>
      <c r="DX283" s="577"/>
    </row>
    <row r="284" spans="2:128" s="560" customFormat="1">
      <c r="C284" s="560">
        <v>0.5</v>
      </c>
      <c r="P284" s="561"/>
      <c r="Q284" s="562"/>
      <c r="R284" s="562">
        <v>0.55000000000000004</v>
      </c>
      <c r="S284" s="562"/>
      <c r="T284" s="562"/>
      <c r="U284" s="562"/>
      <c r="V284" s="562"/>
      <c r="W284" s="562"/>
      <c r="X284" s="562"/>
      <c r="Y284" s="562"/>
      <c r="Z284" s="562"/>
      <c r="AA284" s="562"/>
      <c r="AB284" s="562"/>
      <c r="AC284" s="562"/>
      <c r="AD284" s="563"/>
      <c r="AE284" s="561"/>
      <c r="AF284" s="568">
        <v>21</v>
      </c>
      <c r="AG284" s="562"/>
      <c r="AH284" s="577"/>
      <c r="AI284" s="577"/>
      <c r="AJ284" s="577"/>
      <c r="AK284" s="577">
        <v>1</v>
      </c>
      <c r="AL284" s="577"/>
      <c r="AM284" s="577"/>
      <c r="AN284" s="562">
        <v>2.4</v>
      </c>
      <c r="AO284" s="562">
        <f t="shared" si="51"/>
        <v>4.8</v>
      </c>
      <c r="AP284" s="598">
        <v>0.140625</v>
      </c>
      <c r="AQ284" s="599">
        <v>4.3138709677419351</v>
      </c>
      <c r="AR284" s="599">
        <f t="shared" si="52"/>
        <v>0.4861290322580647</v>
      </c>
      <c r="AS284" s="600"/>
      <c r="AT284" s="600">
        <v>1</v>
      </c>
      <c r="AU284" s="577" t="s">
        <v>778</v>
      </c>
      <c r="AV284" s="577"/>
      <c r="AW284" s="562"/>
      <c r="AX284" s="562"/>
      <c r="AY284" s="562"/>
      <c r="AZ284" s="562"/>
      <c r="BA284" s="562"/>
      <c r="BB284" s="563"/>
      <c r="BC284" s="560" t="s">
        <v>502</v>
      </c>
      <c r="BD284" s="581" t="s">
        <v>1006</v>
      </c>
      <c r="BE284" s="582"/>
      <c r="BF284" s="566"/>
      <c r="BG284" s="565"/>
      <c r="BH284" s="565"/>
      <c r="BI284" s="565"/>
      <c r="BJ284" s="565"/>
      <c r="BK284" s="565"/>
      <c r="BL284" s="565"/>
      <c r="BN284" s="566"/>
      <c r="BO284" s="603"/>
      <c r="BP284" s="581" t="s">
        <v>1032</v>
      </c>
      <c r="BQ284" s="604"/>
      <c r="BR284" s="604"/>
      <c r="BS284" s="566"/>
      <c r="BT284" s="576"/>
      <c r="DD284" s="561"/>
      <c r="DE284" s="577"/>
      <c r="DF284" s="577">
        <v>0.11</v>
      </c>
      <c r="DG284" s="577"/>
      <c r="DH284" s="577"/>
      <c r="DI284" s="577"/>
      <c r="DJ284" s="577"/>
      <c r="DK284" s="577"/>
      <c r="DL284" s="577"/>
      <c r="DM284" s="577"/>
      <c r="DN284" s="577"/>
      <c r="DO284" s="577"/>
      <c r="DP284" s="577"/>
      <c r="DQ284" s="600"/>
      <c r="DR284" s="600"/>
      <c r="DS284" s="577"/>
      <c r="DT284" s="577"/>
      <c r="DU284" s="577"/>
      <c r="DV284" s="577"/>
      <c r="DW284" s="577"/>
      <c r="DX284" s="577"/>
    </row>
    <row r="285" spans="2:128" s="560" customFormat="1">
      <c r="C285" s="560">
        <v>0.42</v>
      </c>
      <c r="P285" s="561"/>
      <c r="Q285" s="562"/>
      <c r="R285" s="562">
        <v>0.45</v>
      </c>
      <c r="S285" s="562"/>
      <c r="T285" s="562"/>
      <c r="U285" s="562"/>
      <c r="V285" s="562"/>
      <c r="W285" s="562"/>
      <c r="X285" s="562"/>
      <c r="Y285" s="562"/>
      <c r="Z285" s="562"/>
      <c r="AA285" s="562"/>
      <c r="AB285" s="562"/>
      <c r="AC285" s="562"/>
      <c r="AD285" s="563"/>
      <c r="AE285" s="561"/>
      <c r="AF285" s="568">
        <v>22</v>
      </c>
      <c r="AG285" s="562"/>
      <c r="AH285" s="577">
        <v>0.4</v>
      </c>
      <c r="AI285" s="577" t="s">
        <v>828</v>
      </c>
      <c r="AJ285" s="577"/>
      <c r="AK285" s="577">
        <v>1</v>
      </c>
      <c r="AL285" s="577"/>
      <c r="AM285" s="577"/>
      <c r="AN285" s="562">
        <v>2.25</v>
      </c>
      <c r="AO285" s="562">
        <f t="shared" si="51"/>
        <v>4.5</v>
      </c>
      <c r="AP285" s="598">
        <v>0.140625</v>
      </c>
      <c r="AQ285" s="599">
        <v>4.3080645161290319</v>
      </c>
      <c r="AR285" s="599">
        <f t="shared" si="52"/>
        <v>0.19193548387096815</v>
      </c>
      <c r="AS285" s="600"/>
      <c r="AT285" s="600">
        <v>1</v>
      </c>
      <c r="AU285" s="577" t="s">
        <v>778</v>
      </c>
      <c r="AV285" s="577">
        <v>2393</v>
      </c>
      <c r="AW285" s="562"/>
      <c r="AX285" s="562"/>
      <c r="AY285" s="562"/>
      <c r="AZ285" s="562"/>
      <c r="BA285" s="562"/>
      <c r="BB285" s="563"/>
      <c r="BD285" s="586" t="s">
        <v>755</v>
      </c>
      <c r="BE285" s="586" t="s">
        <v>756</v>
      </c>
      <c r="BF285" s="615" t="s">
        <v>757</v>
      </c>
      <c r="BG285" s="615" t="s">
        <v>758</v>
      </c>
      <c r="BH285" s="615" t="s">
        <v>765</v>
      </c>
      <c r="BI285" s="615" t="s">
        <v>766</v>
      </c>
      <c r="BJ285" s="616" t="s">
        <v>767</v>
      </c>
      <c r="BK285" s="617" t="s">
        <v>768</v>
      </c>
      <c r="BL285" s="586" t="s">
        <v>759</v>
      </c>
      <c r="BM285" s="618" t="s">
        <v>769</v>
      </c>
      <c r="BN285" s="586" t="s">
        <v>760</v>
      </c>
      <c r="BO285" s="619" t="s">
        <v>770</v>
      </c>
      <c r="BP285" s="619" t="s">
        <v>771</v>
      </c>
      <c r="BQ285" s="620" t="s">
        <v>772</v>
      </c>
      <c r="BR285" s="620" t="s">
        <v>773</v>
      </c>
      <c r="BS285" s="586" t="s">
        <v>761</v>
      </c>
      <c r="BT285" s="586" t="s">
        <v>762</v>
      </c>
      <c r="BU285" s="586" t="s">
        <v>763</v>
      </c>
      <c r="DD285" s="561"/>
      <c r="DE285" s="577"/>
      <c r="DF285" s="577">
        <v>0.19</v>
      </c>
      <c r="DG285" s="577"/>
      <c r="DH285" s="577"/>
      <c r="DI285" s="577"/>
      <c r="DJ285" s="577"/>
      <c r="DK285" s="577"/>
      <c r="DL285" s="577"/>
      <c r="DM285" s="577"/>
      <c r="DN285" s="577"/>
      <c r="DO285" s="577"/>
      <c r="DP285" s="577"/>
      <c r="DQ285" s="600"/>
      <c r="DR285" s="600"/>
      <c r="DS285" s="577"/>
      <c r="DT285" s="577"/>
      <c r="DU285" s="577"/>
      <c r="DV285" s="577"/>
      <c r="DW285" s="577"/>
      <c r="DX285" s="577"/>
    </row>
    <row r="286" spans="2:128" s="560" customFormat="1">
      <c r="C286" s="560">
        <v>0.5</v>
      </c>
      <c r="P286" s="561"/>
      <c r="Q286" s="562"/>
      <c r="R286" s="562">
        <v>0.6</v>
      </c>
      <c r="S286" s="562"/>
      <c r="T286" s="562"/>
      <c r="U286" s="562"/>
      <c r="V286" s="562"/>
      <c r="W286" s="562"/>
      <c r="X286" s="562"/>
      <c r="Y286" s="562"/>
      <c r="Z286" s="562"/>
      <c r="AA286" s="562"/>
      <c r="AB286" s="562"/>
      <c r="AC286" s="562"/>
      <c r="AD286" s="563"/>
      <c r="AE286" s="561"/>
      <c r="AF286" s="568">
        <v>23</v>
      </c>
      <c r="AG286" s="562"/>
      <c r="AH286" s="577">
        <v>0.1</v>
      </c>
      <c r="AI286" s="577" t="s">
        <v>826</v>
      </c>
      <c r="AJ286" s="577">
        <v>1</v>
      </c>
      <c r="AK286" s="577"/>
      <c r="AL286" s="577"/>
      <c r="AM286" s="577"/>
      <c r="AN286" s="562">
        <v>2.25</v>
      </c>
      <c r="AO286" s="562">
        <f t="shared" si="51"/>
        <v>4.5</v>
      </c>
      <c r="AP286" s="598">
        <v>0.140625</v>
      </c>
      <c r="AQ286" s="599">
        <v>4.3022580645161286</v>
      </c>
      <c r="AR286" s="599">
        <f t="shared" si="52"/>
        <v>0.19774193548387142</v>
      </c>
      <c r="AS286" s="600"/>
      <c r="AT286" s="600">
        <v>1</v>
      </c>
      <c r="AU286" s="577" t="s">
        <v>778</v>
      </c>
      <c r="AV286" s="577">
        <v>2392</v>
      </c>
      <c r="AW286" s="562"/>
      <c r="AX286" s="562"/>
      <c r="AY286" s="562"/>
      <c r="AZ286" s="562"/>
      <c r="BA286" s="562"/>
      <c r="BB286" s="563"/>
      <c r="BD286" s="680" t="s">
        <v>1033</v>
      </c>
      <c r="BF286" s="680">
        <v>1.2</v>
      </c>
      <c r="BG286" s="680" t="s">
        <v>828</v>
      </c>
      <c r="BH286" s="680"/>
      <c r="BI286" s="680"/>
      <c r="BJ286" s="680"/>
      <c r="BK286" s="680"/>
      <c r="BL286" s="680"/>
      <c r="BM286" s="576"/>
      <c r="BN286" s="683" t="s">
        <v>1009</v>
      </c>
      <c r="BO286" s="605"/>
      <c r="BP286" s="605"/>
      <c r="BQ286" s="658"/>
      <c r="BR286" s="612"/>
      <c r="BT286" s="679" t="s">
        <v>1034</v>
      </c>
      <c r="BU286" s="680" t="s">
        <v>988</v>
      </c>
      <c r="DD286" s="561"/>
      <c r="DE286" s="577"/>
      <c r="DF286" s="577">
        <v>0.2</v>
      </c>
      <c r="DG286" s="577"/>
      <c r="DH286" s="577"/>
      <c r="DI286" s="577"/>
      <c r="DJ286" s="577"/>
      <c r="DK286" s="577"/>
      <c r="DL286" s="577"/>
      <c r="DM286" s="577"/>
      <c r="DN286" s="577"/>
      <c r="DO286" s="577"/>
      <c r="DP286" s="577"/>
      <c r="DQ286" s="600"/>
      <c r="DR286" s="600"/>
      <c r="DS286" s="577"/>
      <c r="DT286" s="577"/>
      <c r="DU286" s="577"/>
      <c r="DV286" s="577"/>
      <c r="DW286" s="577"/>
      <c r="DX286" s="577"/>
    </row>
    <row r="287" spans="2:128" s="560" customFormat="1">
      <c r="C287" s="560">
        <v>0.47</v>
      </c>
      <c r="P287" s="561"/>
      <c r="Q287" s="562"/>
      <c r="R287" s="562">
        <v>0.78</v>
      </c>
      <c r="S287" s="562"/>
      <c r="T287" s="562"/>
      <c r="U287" s="562"/>
      <c r="V287" s="562"/>
      <c r="W287" s="562"/>
      <c r="X287" s="562"/>
      <c r="Y287" s="562"/>
      <c r="Z287" s="562"/>
      <c r="AA287" s="562"/>
      <c r="AB287" s="562"/>
      <c r="AC287" s="562"/>
      <c r="AD287" s="563"/>
      <c r="AE287" s="561"/>
      <c r="AF287" s="568">
        <v>24</v>
      </c>
      <c r="AG287" s="562"/>
      <c r="AH287" s="577"/>
      <c r="AI287" s="577"/>
      <c r="AJ287" s="577"/>
      <c r="AK287" s="577">
        <v>1</v>
      </c>
      <c r="AL287" s="577"/>
      <c r="AM287" s="577"/>
      <c r="AN287" s="562">
        <v>2.25</v>
      </c>
      <c r="AO287" s="562">
        <f t="shared" si="51"/>
        <v>4.5</v>
      </c>
      <c r="AP287" s="598">
        <v>0.140625</v>
      </c>
      <c r="AQ287" s="599">
        <v>4.2964516129032262</v>
      </c>
      <c r="AR287" s="599">
        <f t="shared" si="52"/>
        <v>0.20354838709677381</v>
      </c>
      <c r="AS287" s="600"/>
      <c r="AT287" s="600">
        <v>1</v>
      </c>
      <c r="AU287" s="577" t="s">
        <v>778</v>
      </c>
      <c r="AV287" s="577"/>
      <c r="AW287" s="562"/>
      <c r="AX287" s="562"/>
      <c r="AY287" s="562"/>
      <c r="AZ287" s="562"/>
      <c r="BA287" s="562"/>
      <c r="BB287" s="563"/>
      <c r="BD287" s="680">
        <v>1</v>
      </c>
      <c r="BF287" s="680"/>
      <c r="BG287" s="680"/>
      <c r="BH287" s="680"/>
      <c r="BI287" s="680">
        <v>1</v>
      </c>
      <c r="BJ287" s="680"/>
      <c r="BK287" s="680"/>
      <c r="BL287" s="680">
        <v>2</v>
      </c>
      <c r="BM287" s="576">
        <f t="shared" ref="BM287:BM318" si="53">BL287+BL287</f>
        <v>4</v>
      </c>
      <c r="BN287" s="683"/>
      <c r="BO287" s="611">
        <v>2.7</v>
      </c>
      <c r="BP287" s="611">
        <f t="shared" ref="BP287:BP318" si="54">BM287-BO287</f>
        <v>1.2999999999999998</v>
      </c>
      <c r="BQ287" s="658"/>
      <c r="BR287" s="612">
        <v>1</v>
      </c>
      <c r="BS287" s="576" t="s">
        <v>778</v>
      </c>
      <c r="BT287" s="680"/>
      <c r="BU287" s="680"/>
      <c r="DD287" s="561"/>
      <c r="DE287" s="577" t="s">
        <v>859</v>
      </c>
      <c r="DF287" s="577">
        <v>0.17</v>
      </c>
      <c r="DG287" s="577"/>
      <c r="DH287" s="577"/>
      <c r="DI287" s="577"/>
      <c r="DJ287" s="577"/>
      <c r="DK287" s="577"/>
      <c r="DL287" s="577"/>
      <c r="DM287" s="577"/>
      <c r="DN287" s="577"/>
      <c r="DO287" s="577"/>
      <c r="DP287" s="577"/>
      <c r="DQ287" s="600"/>
      <c r="DR287" s="600"/>
      <c r="DS287" s="577"/>
      <c r="DT287" s="577"/>
      <c r="DU287" s="577"/>
      <c r="DV287" s="577"/>
      <c r="DW287" s="577"/>
      <c r="DX287" s="577"/>
    </row>
    <row r="288" spans="2:128" s="560" customFormat="1">
      <c r="C288" s="560">
        <v>0.47</v>
      </c>
      <c r="P288" s="561"/>
      <c r="Q288" s="562"/>
      <c r="R288" s="562">
        <v>0.5</v>
      </c>
      <c r="S288" s="562"/>
      <c r="T288" s="562"/>
      <c r="U288" s="562"/>
      <c r="V288" s="562"/>
      <c r="W288" s="562"/>
      <c r="X288" s="562"/>
      <c r="Y288" s="562"/>
      <c r="Z288" s="562"/>
      <c r="AA288" s="562"/>
      <c r="AB288" s="562"/>
      <c r="AC288" s="562"/>
      <c r="AD288" s="563"/>
      <c r="AE288" s="561"/>
      <c r="AF288" s="568">
        <v>25</v>
      </c>
      <c r="AG288" s="562"/>
      <c r="AH288" s="577">
        <v>11.6</v>
      </c>
      <c r="AI288" s="577" t="s">
        <v>793</v>
      </c>
      <c r="AJ288" s="577"/>
      <c r="AK288" s="577">
        <v>1</v>
      </c>
      <c r="AL288" s="577"/>
      <c r="AM288" s="577">
        <v>1</v>
      </c>
      <c r="AN288" s="562">
        <v>2.1</v>
      </c>
      <c r="AO288" s="562">
        <f t="shared" si="51"/>
        <v>4.2</v>
      </c>
      <c r="AP288" s="598">
        <v>0.140625</v>
      </c>
      <c r="AQ288" s="599">
        <v>4.2906451612903229</v>
      </c>
      <c r="AR288" s="599">
        <f t="shared" si="52"/>
        <v>-9.064516129032274E-2</v>
      </c>
      <c r="AS288" s="600"/>
      <c r="AT288" s="600">
        <v>1</v>
      </c>
      <c r="AU288" s="577" t="s">
        <v>778</v>
      </c>
      <c r="AV288" s="577">
        <v>2391</v>
      </c>
      <c r="AW288" s="562"/>
      <c r="AX288" s="562"/>
      <c r="AY288" s="562"/>
      <c r="AZ288" s="562"/>
      <c r="BA288" s="562"/>
      <c r="BB288" s="563"/>
      <c r="BD288" s="680">
        <v>2</v>
      </c>
      <c r="BF288" s="680"/>
      <c r="BG288" s="680"/>
      <c r="BH288" s="680"/>
      <c r="BI288" s="680">
        <v>1</v>
      </c>
      <c r="BJ288" s="680"/>
      <c r="BK288" s="680"/>
      <c r="BL288" s="680">
        <v>2</v>
      </c>
      <c r="BM288" s="576">
        <f t="shared" si="53"/>
        <v>4</v>
      </c>
      <c r="BN288" s="683"/>
      <c r="BO288" s="611">
        <v>2.7100000000000004</v>
      </c>
      <c r="BP288" s="611">
        <f t="shared" si="54"/>
        <v>1.2899999999999996</v>
      </c>
      <c r="BQ288" s="658"/>
      <c r="BR288" s="612">
        <v>1</v>
      </c>
      <c r="BS288" s="576" t="s">
        <v>778</v>
      </c>
      <c r="BT288" s="680"/>
      <c r="BU288" s="680" t="s">
        <v>889</v>
      </c>
      <c r="DD288" s="561"/>
      <c r="DE288" s="577"/>
      <c r="DF288" s="577">
        <v>0.11</v>
      </c>
      <c r="DG288" s="577"/>
      <c r="DH288" s="577"/>
      <c r="DI288" s="577"/>
      <c r="DJ288" s="577"/>
      <c r="DK288" s="577"/>
      <c r="DL288" s="577"/>
      <c r="DM288" s="577"/>
      <c r="DN288" s="577"/>
      <c r="DO288" s="577"/>
      <c r="DP288" s="577"/>
      <c r="DQ288" s="600"/>
      <c r="DR288" s="600"/>
      <c r="DS288" s="577"/>
      <c r="DT288" s="577"/>
      <c r="DU288" s="577"/>
      <c r="DV288" s="577"/>
      <c r="DW288" s="577"/>
      <c r="DX288" s="577"/>
    </row>
    <row r="289" spans="2:128" s="560" customFormat="1">
      <c r="C289" s="560">
        <v>0.47</v>
      </c>
      <c r="P289" s="561"/>
      <c r="Q289" s="562"/>
      <c r="R289" s="562">
        <v>0.56000000000000005</v>
      </c>
      <c r="S289" s="562"/>
      <c r="T289" s="562"/>
      <c r="U289" s="562"/>
      <c r="V289" s="562"/>
      <c r="W289" s="562"/>
      <c r="X289" s="562"/>
      <c r="Y289" s="562"/>
      <c r="Z289" s="562"/>
      <c r="AA289" s="562"/>
      <c r="AB289" s="562"/>
      <c r="AC289" s="562"/>
      <c r="AD289" s="563"/>
      <c r="AE289" s="561"/>
      <c r="AF289" s="568">
        <v>26</v>
      </c>
      <c r="AG289" s="562"/>
      <c r="AH289" s="577">
        <v>0.5</v>
      </c>
      <c r="AI289" s="577" t="s">
        <v>793</v>
      </c>
      <c r="AJ289" s="577"/>
      <c r="AK289" s="577">
        <v>1</v>
      </c>
      <c r="AL289" s="577"/>
      <c r="AM289" s="577">
        <v>1</v>
      </c>
      <c r="AN289" s="562">
        <v>2.2999999999999998</v>
      </c>
      <c r="AO289" s="562">
        <f t="shared" si="51"/>
        <v>4.5999999999999996</v>
      </c>
      <c r="AP289" s="598">
        <v>0.140625</v>
      </c>
      <c r="AQ289" s="599">
        <v>4.2848387096774196</v>
      </c>
      <c r="AR289" s="599">
        <f t="shared" si="52"/>
        <v>0.31516129032258</v>
      </c>
      <c r="AS289" s="600"/>
      <c r="AT289" s="600">
        <v>1</v>
      </c>
      <c r="AU289" s="577" t="s">
        <v>778</v>
      </c>
      <c r="AV289" s="577">
        <v>2390</v>
      </c>
      <c r="AW289" s="562"/>
      <c r="AX289" s="562"/>
      <c r="AY289" s="562"/>
      <c r="AZ289" s="562"/>
      <c r="BA289" s="562"/>
      <c r="BB289" s="563"/>
      <c r="BD289" s="680">
        <v>3</v>
      </c>
      <c r="BF289" s="680">
        <v>0.5</v>
      </c>
      <c r="BG289" s="680" t="s">
        <v>778</v>
      </c>
      <c r="BH289" s="680">
        <v>1</v>
      </c>
      <c r="BI289" s="680"/>
      <c r="BJ289" s="680"/>
      <c r="BK289" s="680"/>
      <c r="BL289" s="680">
        <v>2</v>
      </c>
      <c r="BM289" s="576">
        <f t="shared" si="53"/>
        <v>4</v>
      </c>
      <c r="BN289" s="683"/>
      <c r="BO289" s="611">
        <v>2.72</v>
      </c>
      <c r="BP289" s="611">
        <f t="shared" si="54"/>
        <v>1.2799999999999998</v>
      </c>
      <c r="BQ289" s="658"/>
      <c r="BR289" s="612">
        <v>1</v>
      </c>
      <c r="BS289" s="576" t="s">
        <v>778</v>
      </c>
      <c r="BT289" s="679" t="s">
        <v>1035</v>
      </c>
      <c r="BU289" s="680"/>
      <c r="DD289" s="561"/>
      <c r="DE289" s="577"/>
      <c r="DF289" s="577">
        <v>0.14000000000000001</v>
      </c>
      <c r="DG289" s="577"/>
      <c r="DH289" s="577"/>
      <c r="DI289" s="577"/>
      <c r="DJ289" s="577"/>
      <c r="DK289" s="577"/>
      <c r="DL289" s="577"/>
      <c r="DM289" s="577"/>
      <c r="DN289" s="577"/>
      <c r="DO289" s="577"/>
      <c r="DP289" s="577"/>
      <c r="DQ289" s="600"/>
      <c r="DR289" s="600"/>
      <c r="DS289" s="577"/>
      <c r="DT289" s="577"/>
      <c r="DU289" s="577"/>
      <c r="DV289" s="577"/>
      <c r="DW289" s="577"/>
      <c r="DX289" s="577"/>
    </row>
    <row r="290" spans="2:128" s="560" customFormat="1">
      <c r="C290" s="560">
        <v>0.5</v>
      </c>
      <c r="P290" s="561"/>
      <c r="Q290" s="562"/>
      <c r="R290" s="562">
        <v>0.65</v>
      </c>
      <c r="S290" s="562"/>
      <c r="T290" s="562"/>
      <c r="U290" s="562"/>
      <c r="V290" s="562"/>
      <c r="W290" s="562"/>
      <c r="X290" s="562"/>
      <c r="Y290" s="562"/>
      <c r="Z290" s="562"/>
      <c r="AA290" s="562"/>
      <c r="AB290" s="562"/>
      <c r="AC290" s="562"/>
      <c r="AD290" s="563"/>
      <c r="AE290" s="561"/>
      <c r="AF290" s="568">
        <v>27</v>
      </c>
      <c r="AG290" s="562"/>
      <c r="AH290" s="577">
        <v>0.5</v>
      </c>
      <c r="AI290" s="577" t="s">
        <v>802</v>
      </c>
      <c r="AJ290" s="577"/>
      <c r="AK290" s="577"/>
      <c r="AL290" s="577">
        <v>1</v>
      </c>
      <c r="AM290" s="577"/>
      <c r="AN290" s="562">
        <v>2.2599999999999998</v>
      </c>
      <c r="AO290" s="562">
        <f t="shared" si="51"/>
        <v>4.5199999999999996</v>
      </c>
      <c r="AP290" s="598">
        <v>0.140625</v>
      </c>
      <c r="AQ290" s="599">
        <v>4.2790322580645164</v>
      </c>
      <c r="AR290" s="599">
        <f t="shared" si="52"/>
        <v>0.2409677419354832</v>
      </c>
      <c r="AS290" s="600"/>
      <c r="AT290" s="600">
        <v>1</v>
      </c>
      <c r="AU290" s="577" t="s">
        <v>778</v>
      </c>
      <c r="AV290" s="577">
        <v>2388</v>
      </c>
      <c r="AW290" s="562"/>
      <c r="AX290" s="562"/>
      <c r="AY290" s="562"/>
      <c r="AZ290" s="562"/>
      <c r="BA290" s="562"/>
      <c r="BB290" s="563"/>
      <c r="BD290" s="680">
        <v>4</v>
      </c>
      <c r="BF290" s="680"/>
      <c r="BG290" s="680"/>
      <c r="BH290" s="680"/>
      <c r="BI290" s="680">
        <v>1</v>
      </c>
      <c r="BJ290" s="680"/>
      <c r="BK290" s="680"/>
      <c r="BL290" s="680">
        <v>2.35</v>
      </c>
      <c r="BM290" s="576">
        <f t="shared" si="53"/>
        <v>4.7</v>
      </c>
      <c r="BN290" s="683"/>
      <c r="BO290" s="611">
        <v>2.7300000000000004</v>
      </c>
      <c r="BP290" s="611">
        <f t="shared" si="54"/>
        <v>1.9699999999999998</v>
      </c>
      <c r="BQ290" s="658"/>
      <c r="BR290" s="612">
        <v>1</v>
      </c>
      <c r="BS290" s="576" t="s">
        <v>778</v>
      </c>
      <c r="BT290" s="680"/>
      <c r="BU290" s="680"/>
      <c r="DD290" s="561"/>
      <c r="DE290" s="577"/>
      <c r="DF290" s="577">
        <v>0.15</v>
      </c>
      <c r="DG290" s="577"/>
      <c r="DH290" s="577"/>
      <c r="DI290" s="577"/>
      <c r="DJ290" s="577"/>
      <c r="DK290" s="577"/>
      <c r="DL290" s="577"/>
      <c r="DM290" s="577"/>
      <c r="DN290" s="577"/>
      <c r="DO290" s="577"/>
      <c r="DP290" s="577"/>
      <c r="DQ290" s="600"/>
      <c r="DR290" s="600"/>
      <c r="DS290" s="577"/>
      <c r="DT290" s="577"/>
      <c r="DU290" s="577"/>
      <c r="DV290" s="577"/>
      <c r="DW290" s="577"/>
      <c r="DX290" s="577"/>
    </row>
    <row r="291" spans="2:128" s="560" customFormat="1">
      <c r="B291" s="560" t="s">
        <v>1036</v>
      </c>
      <c r="P291" s="561"/>
      <c r="Q291" s="562"/>
      <c r="R291" s="562">
        <v>0.73</v>
      </c>
      <c r="S291" s="562"/>
      <c r="T291" s="562"/>
      <c r="U291" s="562"/>
      <c r="V291" s="562"/>
      <c r="W291" s="562"/>
      <c r="X291" s="562"/>
      <c r="Y291" s="562"/>
      <c r="Z291" s="562"/>
      <c r="AA291" s="562"/>
      <c r="AB291" s="562"/>
      <c r="AC291" s="562"/>
      <c r="AD291" s="563"/>
      <c r="AE291" s="561"/>
      <c r="AF291" s="562" t="s">
        <v>778</v>
      </c>
      <c r="AG291" s="562"/>
      <c r="AH291" s="577">
        <v>0.25</v>
      </c>
      <c r="AI291" s="577" t="s">
        <v>1037</v>
      </c>
      <c r="AJ291" s="577">
        <v>1</v>
      </c>
      <c r="AK291" s="577"/>
      <c r="AL291" s="577"/>
      <c r="AM291" s="577"/>
      <c r="AN291" s="562"/>
      <c r="AO291" s="562"/>
      <c r="AP291" s="598"/>
      <c r="AQ291" s="599"/>
      <c r="AR291" s="599"/>
      <c r="AS291" s="600"/>
      <c r="AT291" s="600"/>
      <c r="AU291" s="577" t="s">
        <v>778</v>
      </c>
      <c r="AV291" s="577">
        <v>2389</v>
      </c>
      <c r="AW291" s="562"/>
      <c r="AX291" s="562"/>
      <c r="AY291" s="562"/>
      <c r="AZ291" s="562"/>
      <c r="BA291" s="562"/>
      <c r="BB291" s="563"/>
      <c r="BD291" s="680">
        <v>5</v>
      </c>
      <c r="BF291" s="680"/>
      <c r="BG291" s="680"/>
      <c r="BH291" s="680"/>
      <c r="BI291" s="680">
        <v>1</v>
      </c>
      <c r="BJ291" s="680"/>
      <c r="BK291" s="680"/>
      <c r="BL291" s="680">
        <v>2</v>
      </c>
      <c r="BM291" s="576">
        <f t="shared" si="53"/>
        <v>4</v>
      </c>
      <c r="BN291" s="683"/>
      <c r="BO291" s="611">
        <v>2.74</v>
      </c>
      <c r="BP291" s="611">
        <f t="shared" si="54"/>
        <v>1.2599999999999998</v>
      </c>
      <c r="BQ291" s="658"/>
      <c r="BR291" s="612">
        <v>1</v>
      </c>
      <c r="BS291" s="576" t="s">
        <v>778</v>
      </c>
      <c r="BT291" s="680"/>
      <c r="BU291" s="680"/>
      <c r="DD291" s="561"/>
      <c r="DE291" s="577" t="s">
        <v>859</v>
      </c>
      <c r="DF291" s="577">
        <v>0.15</v>
      </c>
      <c r="DG291" s="577"/>
      <c r="DH291" s="577"/>
      <c r="DI291" s="577"/>
      <c r="DJ291" s="577"/>
      <c r="DK291" s="577"/>
      <c r="DL291" s="577"/>
      <c r="DM291" s="577"/>
      <c r="DN291" s="577"/>
      <c r="DO291" s="577"/>
      <c r="DP291" s="577"/>
      <c r="DQ291" s="600"/>
      <c r="DR291" s="600"/>
      <c r="DS291" s="577"/>
      <c r="DT291" s="577"/>
      <c r="DU291" s="577"/>
      <c r="DV291" s="577"/>
      <c r="DW291" s="577"/>
      <c r="DX291" s="577"/>
    </row>
    <row r="292" spans="2:128" s="560" customFormat="1">
      <c r="C292" s="560">
        <v>0.5</v>
      </c>
      <c r="P292" s="561"/>
      <c r="Q292" s="562"/>
      <c r="R292" s="562">
        <v>0.7</v>
      </c>
      <c r="S292" s="562"/>
      <c r="T292" s="562"/>
      <c r="U292" s="562"/>
      <c r="V292" s="562"/>
      <c r="W292" s="562"/>
      <c r="X292" s="562"/>
      <c r="Y292" s="562"/>
      <c r="Z292" s="562"/>
      <c r="AA292" s="562"/>
      <c r="AB292" s="562"/>
      <c r="AC292" s="562"/>
      <c r="AD292" s="563"/>
      <c r="AE292" s="561"/>
      <c r="AF292" s="568">
        <v>28</v>
      </c>
      <c r="AG292" s="562"/>
      <c r="AH292" s="577">
        <v>2.5</v>
      </c>
      <c r="AI292" s="577" t="s">
        <v>793</v>
      </c>
      <c r="AJ292" s="577"/>
      <c r="AK292" s="577">
        <v>1</v>
      </c>
      <c r="AL292" s="577"/>
      <c r="AM292" s="577">
        <v>1</v>
      </c>
      <c r="AN292" s="562">
        <v>2.2999999999999998</v>
      </c>
      <c r="AO292" s="562">
        <f>AN292+AN292</f>
        <v>4.5999999999999996</v>
      </c>
      <c r="AP292" s="598">
        <v>0.140625</v>
      </c>
      <c r="AQ292" s="599">
        <v>4.2674193548387098</v>
      </c>
      <c r="AR292" s="599">
        <f>AO292-AQ292</f>
        <v>0.33258064516128982</v>
      </c>
      <c r="AS292" s="600"/>
      <c r="AT292" s="600">
        <v>1</v>
      </c>
      <c r="AU292" s="577" t="s">
        <v>778</v>
      </c>
      <c r="AV292" s="577">
        <v>2387</v>
      </c>
      <c r="AW292" s="562"/>
      <c r="AX292" s="562"/>
      <c r="AY292" s="562"/>
      <c r="AZ292" s="562"/>
      <c r="BA292" s="562"/>
      <c r="BB292" s="563"/>
      <c r="BD292" s="680">
        <v>6</v>
      </c>
      <c r="BF292" s="680"/>
      <c r="BG292" s="680"/>
      <c r="BH292" s="680"/>
      <c r="BI292" s="680">
        <v>1</v>
      </c>
      <c r="BJ292" s="680"/>
      <c r="BK292" s="680"/>
      <c r="BL292" s="680">
        <v>2</v>
      </c>
      <c r="BM292" s="576">
        <f t="shared" si="53"/>
        <v>4</v>
      </c>
      <c r="BN292" s="683"/>
      <c r="BO292" s="611">
        <v>2.7500000000000004</v>
      </c>
      <c r="BP292" s="611">
        <f t="shared" si="54"/>
        <v>1.2499999999999996</v>
      </c>
      <c r="BQ292" s="658"/>
      <c r="BR292" s="612">
        <v>1</v>
      </c>
      <c r="BS292" s="576" t="s">
        <v>778</v>
      </c>
      <c r="BT292" s="680"/>
      <c r="BU292" s="680"/>
      <c r="DD292" s="561"/>
      <c r="DE292" s="577"/>
      <c r="DF292" s="577">
        <v>0.15</v>
      </c>
      <c r="DG292" s="577"/>
      <c r="DH292" s="577"/>
      <c r="DI292" s="577"/>
      <c r="DJ292" s="577"/>
      <c r="DK292" s="577"/>
      <c r="DL292" s="577"/>
      <c r="DM292" s="577"/>
      <c r="DN292" s="577"/>
      <c r="DO292" s="577"/>
      <c r="DP292" s="577"/>
      <c r="DQ292" s="600"/>
      <c r="DR292" s="600"/>
      <c r="DS292" s="577"/>
      <c r="DT292" s="577"/>
      <c r="DU292" s="577"/>
      <c r="DV292" s="577"/>
      <c r="DW292" s="577"/>
      <c r="DX292" s="577"/>
    </row>
    <row r="293" spans="2:128" s="560" customFormat="1">
      <c r="C293" s="560">
        <v>0.5</v>
      </c>
      <c r="P293" s="561"/>
      <c r="Q293" s="562"/>
      <c r="R293" s="562">
        <v>0.8</v>
      </c>
      <c r="S293" s="562"/>
      <c r="T293" s="562"/>
      <c r="U293" s="562"/>
      <c r="V293" s="562"/>
      <c r="W293" s="562"/>
      <c r="X293" s="562"/>
      <c r="Y293" s="562"/>
      <c r="Z293" s="562"/>
      <c r="AA293" s="562"/>
      <c r="AB293" s="562"/>
      <c r="AC293" s="562"/>
      <c r="AD293" s="563"/>
      <c r="AE293" s="561"/>
      <c r="AF293" s="562" t="s">
        <v>778</v>
      </c>
      <c r="AG293" s="562"/>
      <c r="AH293" s="577">
        <v>0.25</v>
      </c>
      <c r="AI293" s="577" t="s">
        <v>793</v>
      </c>
      <c r="AJ293" s="577"/>
      <c r="AK293" s="577"/>
      <c r="AL293" s="577"/>
      <c r="AM293" s="577">
        <v>1</v>
      </c>
      <c r="AN293" s="562"/>
      <c r="AO293" s="562"/>
      <c r="AP293" s="598"/>
      <c r="AQ293" s="599"/>
      <c r="AR293" s="599"/>
      <c r="AS293" s="600"/>
      <c r="AT293" s="600"/>
      <c r="AU293" s="577" t="s">
        <v>778</v>
      </c>
      <c r="AV293" s="577">
        <v>2386</v>
      </c>
      <c r="AW293" s="562"/>
      <c r="AX293" s="562"/>
      <c r="AY293" s="562"/>
      <c r="AZ293" s="562"/>
      <c r="BA293" s="562"/>
      <c r="BB293" s="563"/>
      <c r="BD293" s="680">
        <v>7</v>
      </c>
      <c r="BF293" s="680"/>
      <c r="BG293" s="680"/>
      <c r="BH293" s="680"/>
      <c r="BI293" s="680">
        <v>1</v>
      </c>
      <c r="BJ293" s="680"/>
      <c r="BK293" s="680"/>
      <c r="BL293" s="680">
        <v>2.2999999999999998</v>
      </c>
      <c r="BM293" s="576">
        <f t="shared" si="53"/>
        <v>4.5999999999999996</v>
      </c>
      <c r="BN293" s="683"/>
      <c r="BO293" s="611">
        <v>2.7600000000000002</v>
      </c>
      <c r="BP293" s="611">
        <f t="shared" si="54"/>
        <v>1.8399999999999994</v>
      </c>
      <c r="BQ293" s="658"/>
      <c r="BR293" s="612">
        <v>1</v>
      </c>
      <c r="BS293" s="576" t="s">
        <v>778</v>
      </c>
      <c r="BT293" s="680"/>
      <c r="BU293" s="680"/>
      <c r="DD293" s="561"/>
      <c r="DE293" s="577"/>
      <c r="DF293" s="577">
        <v>0.2</v>
      </c>
      <c r="DG293" s="577"/>
      <c r="DH293" s="577"/>
      <c r="DI293" s="577"/>
      <c r="DJ293" s="577"/>
      <c r="DK293" s="577"/>
      <c r="DL293" s="577"/>
      <c r="DM293" s="577"/>
      <c r="DN293" s="577"/>
      <c r="DO293" s="577"/>
      <c r="DP293" s="577"/>
      <c r="DQ293" s="600"/>
      <c r="DR293" s="600"/>
      <c r="DS293" s="577"/>
      <c r="DT293" s="577"/>
      <c r="DU293" s="577"/>
      <c r="DV293" s="577"/>
      <c r="DW293" s="577"/>
      <c r="DX293" s="577"/>
    </row>
    <row r="294" spans="2:128" s="560" customFormat="1">
      <c r="C294" s="560">
        <v>0.5</v>
      </c>
      <c r="P294" s="561"/>
      <c r="Q294" s="562"/>
      <c r="R294" s="562">
        <v>0.65</v>
      </c>
      <c r="S294" s="562"/>
      <c r="T294" s="562"/>
      <c r="U294" s="562"/>
      <c r="V294" s="562"/>
      <c r="W294" s="562"/>
      <c r="X294" s="562"/>
      <c r="Y294" s="562"/>
      <c r="Z294" s="562"/>
      <c r="AA294" s="562"/>
      <c r="AB294" s="562"/>
      <c r="AC294" s="562"/>
      <c r="AD294" s="563"/>
      <c r="AE294" s="561"/>
      <c r="AF294" s="568">
        <v>29</v>
      </c>
      <c r="AG294" s="562"/>
      <c r="AH294" s="577"/>
      <c r="AI294" s="577"/>
      <c r="AJ294" s="577"/>
      <c r="AK294" s="577">
        <v>1</v>
      </c>
      <c r="AL294" s="577"/>
      <c r="AM294" s="577"/>
      <c r="AN294" s="562">
        <v>2</v>
      </c>
      <c r="AO294" s="562">
        <f>AN294+AN294</f>
        <v>4</v>
      </c>
      <c r="AP294" s="598">
        <v>0.140625</v>
      </c>
      <c r="AQ294" s="599">
        <v>4.2558064516129033</v>
      </c>
      <c r="AR294" s="599">
        <f>AO294-AQ294</f>
        <v>-0.25580645161290327</v>
      </c>
      <c r="AS294" s="600"/>
      <c r="AT294" s="600">
        <v>1</v>
      </c>
      <c r="AU294" s="577" t="s">
        <v>778</v>
      </c>
      <c r="AV294" s="577"/>
      <c r="AW294" s="562"/>
      <c r="AX294" s="562"/>
      <c r="AY294" s="562"/>
      <c r="AZ294" s="562"/>
      <c r="BA294" s="562"/>
      <c r="BB294" s="563"/>
      <c r="BD294" s="680">
        <v>8</v>
      </c>
      <c r="BF294" s="680">
        <v>1.2</v>
      </c>
      <c r="BG294" s="680" t="s">
        <v>777</v>
      </c>
      <c r="BH294" s="680">
        <v>1</v>
      </c>
      <c r="BI294" s="680"/>
      <c r="BJ294" s="680"/>
      <c r="BK294" s="680"/>
      <c r="BL294" s="680">
        <v>2</v>
      </c>
      <c r="BM294" s="576">
        <f t="shared" si="53"/>
        <v>4</v>
      </c>
      <c r="BN294" s="683"/>
      <c r="BO294" s="611">
        <v>2.7700000000000005</v>
      </c>
      <c r="BP294" s="611">
        <f t="shared" si="54"/>
        <v>1.2299999999999995</v>
      </c>
      <c r="BQ294" s="658"/>
      <c r="BR294" s="612">
        <v>1</v>
      </c>
      <c r="BS294" s="576" t="s">
        <v>778</v>
      </c>
      <c r="BT294" s="679" t="s">
        <v>1038</v>
      </c>
      <c r="BU294" s="680"/>
      <c r="DD294" s="561"/>
      <c r="DE294" s="577"/>
      <c r="DF294" s="577">
        <v>0.19</v>
      </c>
      <c r="DG294" s="577"/>
      <c r="DH294" s="577"/>
      <c r="DI294" s="577"/>
      <c r="DJ294" s="577"/>
      <c r="DK294" s="577"/>
      <c r="DL294" s="577"/>
      <c r="DM294" s="577"/>
      <c r="DN294" s="577"/>
      <c r="DO294" s="577"/>
      <c r="DP294" s="577"/>
      <c r="DQ294" s="600"/>
      <c r="DR294" s="600"/>
      <c r="DS294" s="577"/>
      <c r="DT294" s="577"/>
      <c r="DU294" s="577"/>
      <c r="DV294" s="577"/>
      <c r="DW294" s="577"/>
      <c r="DX294" s="577"/>
    </row>
    <row r="295" spans="2:128" s="560" customFormat="1">
      <c r="C295" s="560">
        <v>0.5</v>
      </c>
      <c r="P295" s="561"/>
      <c r="Q295" s="562"/>
      <c r="R295" s="562">
        <v>0.54</v>
      </c>
      <c r="S295" s="562"/>
      <c r="T295" s="562"/>
      <c r="U295" s="562"/>
      <c r="V295" s="562"/>
      <c r="W295" s="562"/>
      <c r="X295" s="562"/>
      <c r="Y295" s="562"/>
      <c r="Z295" s="562"/>
      <c r="AA295" s="562"/>
      <c r="AB295" s="562"/>
      <c r="AC295" s="562"/>
      <c r="AD295" s="563"/>
      <c r="AE295" s="561"/>
      <c r="AF295" s="568">
        <v>30</v>
      </c>
      <c r="AG295" s="562"/>
      <c r="AH295" s="577"/>
      <c r="AI295" s="577"/>
      <c r="AJ295" s="577"/>
      <c r="AK295" s="577">
        <v>1</v>
      </c>
      <c r="AL295" s="577"/>
      <c r="AM295" s="577"/>
      <c r="AN295" s="562">
        <v>2.2000000000000002</v>
      </c>
      <c r="AO295" s="562">
        <f>AN295+AN295</f>
        <v>4.4000000000000004</v>
      </c>
      <c r="AP295" s="598">
        <v>0.140625</v>
      </c>
      <c r="AQ295" s="599">
        <v>4.25</v>
      </c>
      <c r="AR295" s="599">
        <f>AO295-AQ295</f>
        <v>0.15000000000000036</v>
      </c>
      <c r="AS295" s="600"/>
      <c r="AT295" s="600">
        <v>1</v>
      </c>
      <c r="AU295" s="577" t="s">
        <v>127</v>
      </c>
      <c r="AV295" s="577"/>
      <c r="AW295" s="562" t="s">
        <v>1039</v>
      </c>
      <c r="AX295" s="562"/>
      <c r="AY295" s="562"/>
      <c r="AZ295" s="562"/>
      <c r="BA295" s="562"/>
      <c r="BB295" s="563"/>
      <c r="BD295" s="680">
        <v>9</v>
      </c>
      <c r="BF295" s="680"/>
      <c r="BG295" s="680"/>
      <c r="BH295" s="680"/>
      <c r="BI295" s="680">
        <v>1</v>
      </c>
      <c r="BJ295" s="680"/>
      <c r="BK295" s="680"/>
      <c r="BL295" s="680">
        <v>2.2000000000000002</v>
      </c>
      <c r="BM295" s="576">
        <f t="shared" si="53"/>
        <v>4.4000000000000004</v>
      </c>
      <c r="BN295" s="683"/>
      <c r="BO295" s="611">
        <v>2.7800000000000002</v>
      </c>
      <c r="BP295" s="611">
        <f t="shared" si="54"/>
        <v>1.62</v>
      </c>
      <c r="BQ295" s="658"/>
      <c r="BR295" s="612">
        <v>1</v>
      </c>
      <c r="BS295" s="576" t="s">
        <v>778</v>
      </c>
      <c r="BT295" s="680"/>
      <c r="BU295" s="680"/>
      <c r="DD295" s="561"/>
      <c r="DE295" s="577" t="s">
        <v>859</v>
      </c>
      <c r="DF295" s="577">
        <v>0.16</v>
      </c>
      <c r="DG295" s="577"/>
      <c r="DH295" s="577"/>
      <c r="DI295" s="577"/>
      <c r="DJ295" s="577"/>
      <c r="DK295" s="577"/>
      <c r="DL295" s="577"/>
      <c r="DM295" s="577"/>
      <c r="DN295" s="577"/>
      <c r="DO295" s="577"/>
      <c r="DP295" s="577"/>
      <c r="DQ295" s="600"/>
      <c r="DR295" s="600"/>
      <c r="DS295" s="577"/>
      <c r="DT295" s="577"/>
      <c r="DU295" s="577"/>
      <c r="DV295" s="577"/>
      <c r="DW295" s="577"/>
      <c r="DX295" s="577"/>
    </row>
    <row r="296" spans="2:128" s="560" customFormat="1">
      <c r="C296" s="560">
        <v>0.47</v>
      </c>
      <c r="P296" s="561"/>
      <c r="Q296" s="562"/>
      <c r="R296" s="562">
        <v>0.55000000000000004</v>
      </c>
      <c r="S296" s="562"/>
      <c r="T296" s="562"/>
      <c r="U296" s="562"/>
      <c r="V296" s="562"/>
      <c r="W296" s="562"/>
      <c r="X296" s="562"/>
      <c r="Y296" s="562"/>
      <c r="Z296" s="562"/>
      <c r="AA296" s="562"/>
      <c r="AB296" s="562"/>
      <c r="AC296" s="562"/>
      <c r="AD296" s="563"/>
      <c r="AE296" s="561"/>
      <c r="AF296" s="562"/>
      <c r="AG296" s="562"/>
      <c r="AH296" s="577"/>
      <c r="AI296" s="577"/>
      <c r="AJ296" s="632">
        <f>SUM(AJ264:AJ295)</f>
        <v>5</v>
      </c>
      <c r="AK296" s="632">
        <f>SUM(AK264:AK295)</f>
        <v>25</v>
      </c>
      <c r="AL296" s="633">
        <f>SUM(AL264:AL295)</f>
        <v>1</v>
      </c>
      <c r="AM296" s="634">
        <f>SUM(AM264:AM295)</f>
        <v>4</v>
      </c>
      <c r="AN296" s="562"/>
      <c r="AO296" s="635">
        <f>SUM(AO264:AO295)</f>
        <v>141.41999999999999</v>
      </c>
      <c r="AP296" s="598"/>
      <c r="AQ296" s="636">
        <f>SUM(AQ264:AQ295)</f>
        <v>130.42451612903227</v>
      </c>
      <c r="AR296" s="636">
        <f>SUM(AR264:AR295)</f>
        <v>10.995483870967746</v>
      </c>
      <c r="AS296" s="637">
        <f>SUM(AS264:AS295)</f>
        <v>2</v>
      </c>
      <c r="AT296" s="637">
        <f>SUM(AT264:AT295)</f>
        <v>28</v>
      </c>
      <c r="AU296" s="577"/>
      <c r="AV296" s="577"/>
      <c r="AW296" s="562"/>
      <c r="AX296" s="562"/>
      <c r="AY296" s="562"/>
      <c r="AZ296" s="562"/>
      <c r="BA296" s="562"/>
      <c r="BB296" s="563"/>
      <c r="BD296" s="680">
        <v>10</v>
      </c>
      <c r="BF296" s="680"/>
      <c r="BG296" s="680"/>
      <c r="BH296" s="680"/>
      <c r="BI296" s="680">
        <v>1</v>
      </c>
      <c r="BJ296" s="680"/>
      <c r="BK296" s="680"/>
      <c r="BL296" s="680">
        <v>2.2999999999999998</v>
      </c>
      <c r="BM296" s="576">
        <f t="shared" si="53"/>
        <v>4.5999999999999996</v>
      </c>
      <c r="BN296" s="683"/>
      <c r="BO296" s="611">
        <v>2.7900000000000005</v>
      </c>
      <c r="BP296" s="611">
        <f t="shared" si="54"/>
        <v>1.8099999999999992</v>
      </c>
      <c r="BQ296" s="658"/>
      <c r="BR296" s="612">
        <v>1</v>
      </c>
      <c r="BS296" s="576" t="s">
        <v>778</v>
      </c>
      <c r="BT296" s="680"/>
      <c r="BU296" s="680" t="s">
        <v>1040</v>
      </c>
      <c r="BV296" s="627" t="s">
        <v>806</v>
      </c>
      <c r="BW296" s="627">
        <f>COUNT(BP287:BP318)</f>
        <v>32</v>
      </c>
      <c r="DD296" s="561"/>
      <c r="DE296" s="577"/>
      <c r="DF296" s="577">
        <v>0.23</v>
      </c>
      <c r="DG296" s="577"/>
      <c r="DH296" s="577"/>
      <c r="DI296" s="577"/>
      <c r="DJ296" s="577"/>
      <c r="DK296" s="577"/>
      <c r="DL296" s="577"/>
      <c r="DM296" s="577"/>
      <c r="DN296" s="577"/>
      <c r="DO296" s="577"/>
      <c r="DP296" s="577"/>
      <c r="DQ296" s="600"/>
      <c r="DR296" s="600"/>
      <c r="DS296" s="577"/>
      <c r="DT296" s="577"/>
      <c r="DU296" s="577"/>
      <c r="DV296" s="577"/>
      <c r="DW296" s="577"/>
      <c r="DX296" s="577"/>
    </row>
    <row r="297" spans="2:128" s="560" customFormat="1">
      <c r="C297" s="560">
        <v>0.5</v>
      </c>
      <c r="P297" s="561"/>
      <c r="Q297" s="562"/>
      <c r="R297" s="562">
        <v>0.7</v>
      </c>
      <c r="S297" s="562"/>
      <c r="T297" s="562"/>
      <c r="U297" s="562"/>
      <c r="V297" s="562"/>
      <c r="W297" s="562"/>
      <c r="X297" s="562"/>
      <c r="Y297" s="562"/>
      <c r="Z297" s="562"/>
      <c r="AA297" s="562"/>
      <c r="AB297" s="562"/>
      <c r="AC297" s="562"/>
      <c r="AD297" s="563"/>
      <c r="AE297" s="567">
        <v>41142</v>
      </c>
      <c r="AF297" s="568" t="s">
        <v>725</v>
      </c>
      <c r="AG297" s="568"/>
      <c r="AH297" s="568" t="s">
        <v>726</v>
      </c>
      <c r="AI297" s="569" t="s">
        <v>727</v>
      </c>
      <c r="AJ297" s="569"/>
      <c r="AK297" s="569"/>
      <c r="AL297" s="569"/>
      <c r="AM297" s="569"/>
      <c r="AN297" s="569" t="s">
        <v>728</v>
      </c>
      <c r="AO297" s="569"/>
      <c r="AP297" s="569" t="s">
        <v>729</v>
      </c>
      <c r="AQ297" s="651"/>
      <c r="AR297" s="638">
        <f>+AR296/AO296</f>
        <v>7.7750557707309764E-2</v>
      </c>
      <c r="AS297" s="639"/>
      <c r="AT297" s="639"/>
      <c r="AU297" s="569" t="s">
        <v>730</v>
      </c>
      <c r="AV297" s="569" t="s">
        <v>731</v>
      </c>
      <c r="AW297" s="568"/>
      <c r="AX297" s="562"/>
      <c r="AY297" s="562"/>
      <c r="AZ297" s="562"/>
      <c r="BA297" s="562"/>
      <c r="BB297" s="563"/>
      <c r="BD297" s="680">
        <v>11</v>
      </c>
      <c r="BF297" s="680"/>
      <c r="BG297" s="680"/>
      <c r="BH297" s="680"/>
      <c r="BI297" s="680">
        <v>1</v>
      </c>
      <c r="BJ297" s="680"/>
      <c r="BK297" s="680"/>
      <c r="BL297" s="680">
        <v>2</v>
      </c>
      <c r="BM297" s="576">
        <f t="shared" si="53"/>
        <v>4</v>
      </c>
      <c r="BN297" s="683"/>
      <c r="BO297" s="611">
        <v>2.8000000000000003</v>
      </c>
      <c r="BP297" s="611">
        <f t="shared" si="54"/>
        <v>1.1999999999999997</v>
      </c>
      <c r="BQ297" s="658"/>
      <c r="BR297" s="612">
        <v>1</v>
      </c>
      <c r="BS297" s="576" t="s">
        <v>778</v>
      </c>
      <c r="BT297" s="680"/>
      <c r="BU297" s="680"/>
      <c r="BV297" s="627" t="s">
        <v>812</v>
      </c>
      <c r="BW297" s="628">
        <f>SUM(BP287:BP318)</f>
        <v>43.54999999999999</v>
      </c>
      <c r="DD297" s="561"/>
      <c r="DE297" s="577"/>
      <c r="DF297" s="577">
        <v>0.23</v>
      </c>
      <c r="DG297" s="577"/>
      <c r="DH297" s="577"/>
      <c r="DI297" s="577"/>
      <c r="DJ297" s="577"/>
      <c r="DK297" s="577"/>
      <c r="DL297" s="577"/>
      <c r="DM297" s="577"/>
      <c r="DN297" s="577"/>
      <c r="DO297" s="577"/>
      <c r="DP297" s="577"/>
      <c r="DQ297" s="600"/>
      <c r="DR297" s="600"/>
      <c r="DS297" s="577"/>
      <c r="DT297" s="577"/>
      <c r="DU297" s="577"/>
      <c r="DV297" s="577"/>
      <c r="DW297" s="577"/>
      <c r="DX297" s="577"/>
    </row>
    <row r="298" spans="2:128" s="560" customFormat="1">
      <c r="C298" s="560">
        <v>0.5</v>
      </c>
      <c r="P298" s="561"/>
      <c r="Q298" s="562"/>
      <c r="R298" s="562">
        <v>0.7</v>
      </c>
      <c r="S298" s="562"/>
      <c r="T298" s="562"/>
      <c r="U298" s="562"/>
      <c r="V298" s="562"/>
      <c r="W298" s="562"/>
      <c r="X298" s="562"/>
      <c r="Y298" s="562"/>
      <c r="Z298" s="562"/>
      <c r="AA298" s="562"/>
      <c r="AB298" s="562"/>
      <c r="AC298" s="562"/>
      <c r="AD298" s="563"/>
      <c r="AE298" s="561"/>
      <c r="AF298" s="568"/>
      <c r="AG298" s="568"/>
      <c r="AH298" s="568"/>
      <c r="AI298" s="577" t="s">
        <v>1041</v>
      </c>
      <c r="AJ298" s="577"/>
      <c r="AK298" s="577"/>
      <c r="AL298" s="577"/>
      <c r="AM298" s="577"/>
      <c r="AN298" s="577" t="s">
        <v>1042</v>
      </c>
      <c r="AO298" s="577"/>
      <c r="AP298" s="577">
        <v>56</v>
      </c>
      <c r="AQ298" s="599"/>
      <c r="AR298" s="599"/>
      <c r="AS298" s="600"/>
      <c r="AT298" s="600"/>
      <c r="AU298" s="577">
        <v>54</v>
      </c>
      <c r="AV298" s="577" t="s">
        <v>1043</v>
      </c>
      <c r="AW298" s="568"/>
      <c r="AX298" s="562"/>
      <c r="AY298" s="562"/>
      <c r="AZ298" s="562"/>
      <c r="BA298" s="562"/>
      <c r="BB298" s="563"/>
      <c r="BD298" s="680">
        <v>12</v>
      </c>
      <c r="BF298" s="680"/>
      <c r="BG298" s="680"/>
      <c r="BH298" s="680"/>
      <c r="BI298" s="680">
        <v>1</v>
      </c>
      <c r="BJ298" s="680"/>
      <c r="BK298" s="680"/>
      <c r="BL298" s="680">
        <v>1.6</v>
      </c>
      <c r="BM298" s="576">
        <f t="shared" si="53"/>
        <v>3.2</v>
      </c>
      <c r="BN298" s="662" t="s">
        <v>797</v>
      </c>
      <c r="BO298" s="611">
        <v>2.2000000000000002</v>
      </c>
      <c r="BP298" s="611">
        <f t="shared" si="54"/>
        <v>1</v>
      </c>
      <c r="BQ298" s="612">
        <v>1</v>
      </c>
      <c r="BR298" s="612"/>
      <c r="BS298" s="576" t="s">
        <v>778</v>
      </c>
      <c r="BT298" s="680"/>
      <c r="BU298" s="680"/>
      <c r="BV298" s="627" t="s">
        <v>811</v>
      </c>
      <c r="BW298" s="628">
        <f>MAX(BP287:BP318)</f>
        <v>5</v>
      </c>
      <c r="DD298" s="561"/>
      <c r="DE298" s="577"/>
      <c r="DF298" s="577">
        <v>0.26</v>
      </c>
      <c r="DG298" s="577"/>
      <c r="DH298" s="577"/>
      <c r="DI298" s="577"/>
      <c r="DJ298" s="577"/>
      <c r="DK298" s="577"/>
      <c r="DL298" s="577"/>
      <c r="DM298" s="577"/>
      <c r="DN298" s="577"/>
      <c r="DO298" s="577"/>
      <c r="DP298" s="577"/>
      <c r="DQ298" s="600"/>
      <c r="DR298" s="600"/>
      <c r="DS298" s="577"/>
      <c r="DT298" s="577"/>
      <c r="DU298" s="577"/>
      <c r="DV298" s="577"/>
      <c r="DW298" s="577"/>
      <c r="DX298" s="577"/>
    </row>
    <row r="299" spans="2:128" s="560" customFormat="1">
      <c r="C299" s="560">
        <v>0.52</v>
      </c>
      <c r="P299" s="561"/>
      <c r="Q299" s="562"/>
      <c r="R299" s="562">
        <v>0.9</v>
      </c>
      <c r="S299" s="562"/>
      <c r="T299" s="562"/>
      <c r="U299" s="562"/>
      <c r="V299" s="562"/>
      <c r="W299" s="562"/>
      <c r="X299" s="562"/>
      <c r="Y299" s="562"/>
      <c r="Z299" s="562"/>
      <c r="AA299" s="562"/>
      <c r="AB299" s="562"/>
      <c r="AC299" s="562"/>
      <c r="AD299" s="563"/>
      <c r="AE299" s="561" t="s">
        <v>523</v>
      </c>
      <c r="AF299" s="578" t="s">
        <v>1044</v>
      </c>
      <c r="AG299" s="578"/>
      <c r="AH299" s="569"/>
      <c r="AI299" s="568"/>
      <c r="AJ299" s="568"/>
      <c r="AK299" s="568"/>
      <c r="AL299" s="568"/>
      <c r="AM299" s="568"/>
      <c r="AN299" s="568"/>
      <c r="AO299" s="568"/>
      <c r="AP299" s="569"/>
      <c r="AQ299" s="583" t="s">
        <v>1045</v>
      </c>
      <c r="AR299" s="651"/>
      <c r="AS299" s="639"/>
      <c r="AT299" s="639"/>
      <c r="AU299" s="569"/>
      <c r="AV299" s="577"/>
      <c r="AW299" s="569"/>
      <c r="AX299" s="562"/>
      <c r="AY299" s="562"/>
      <c r="AZ299" s="562"/>
      <c r="BA299" s="562"/>
      <c r="BB299" s="563"/>
      <c r="BD299" s="680">
        <v>13</v>
      </c>
      <c r="BF299" s="680"/>
      <c r="BG299" s="680"/>
      <c r="BH299" s="680"/>
      <c r="BI299" s="680">
        <v>1</v>
      </c>
      <c r="BJ299" s="680"/>
      <c r="BK299" s="680"/>
      <c r="BL299" s="680">
        <v>2.2000000000000002</v>
      </c>
      <c r="BM299" s="576">
        <f t="shared" si="53"/>
        <v>4.4000000000000004</v>
      </c>
      <c r="BN299" s="684" t="s">
        <v>796</v>
      </c>
      <c r="BO299" s="611">
        <v>2.82</v>
      </c>
      <c r="BP299" s="611">
        <f t="shared" si="54"/>
        <v>1.5800000000000005</v>
      </c>
      <c r="BQ299" s="685">
        <v>1</v>
      </c>
      <c r="BR299" s="685"/>
      <c r="BS299" s="576" t="s">
        <v>778</v>
      </c>
      <c r="BT299" s="680"/>
      <c r="BU299" s="680"/>
      <c r="BV299" s="627" t="s">
        <v>814</v>
      </c>
      <c r="BW299" s="628">
        <f>MIN(BP287:BP318)</f>
        <v>-0.26000000000000023</v>
      </c>
      <c r="DD299" s="561"/>
      <c r="DE299" s="577" t="s">
        <v>859</v>
      </c>
      <c r="DF299" s="577">
        <v>0.23</v>
      </c>
      <c r="DG299" s="577"/>
      <c r="DH299" s="577"/>
      <c r="DI299" s="577"/>
      <c r="DJ299" s="577"/>
      <c r="DK299" s="577"/>
      <c r="DL299" s="577"/>
      <c r="DM299" s="577"/>
      <c r="DN299" s="577"/>
      <c r="DO299" s="577"/>
      <c r="DP299" s="577"/>
      <c r="DQ299" s="600"/>
      <c r="DR299" s="600"/>
      <c r="DS299" s="577"/>
      <c r="DT299" s="577"/>
      <c r="DU299" s="577"/>
      <c r="DV299" s="577"/>
      <c r="DW299" s="577"/>
      <c r="DX299" s="577"/>
    </row>
    <row r="300" spans="2:128" s="560" customFormat="1">
      <c r="C300" s="560">
        <v>0.5</v>
      </c>
      <c r="P300" s="561"/>
      <c r="Q300" s="562"/>
      <c r="R300" s="562">
        <v>0.9</v>
      </c>
      <c r="S300" s="562"/>
      <c r="T300" s="562"/>
      <c r="U300" s="562"/>
      <c r="V300" s="562"/>
      <c r="W300" s="562"/>
      <c r="X300" s="562"/>
      <c r="Y300" s="562"/>
      <c r="Z300" s="562"/>
      <c r="AA300" s="562"/>
      <c r="AB300" s="562"/>
      <c r="AC300" s="562"/>
      <c r="AD300" s="563"/>
      <c r="AE300" s="587"/>
      <c r="AF300" s="588" t="s">
        <v>755</v>
      </c>
      <c r="AG300" s="588" t="s">
        <v>756</v>
      </c>
      <c r="AH300" s="590" t="s">
        <v>757</v>
      </c>
      <c r="AI300" s="590" t="s">
        <v>758</v>
      </c>
      <c r="AJ300" s="590" t="s">
        <v>765</v>
      </c>
      <c r="AK300" s="590" t="s">
        <v>766</v>
      </c>
      <c r="AL300" s="591" t="s">
        <v>767</v>
      </c>
      <c r="AM300" s="592" t="s">
        <v>768</v>
      </c>
      <c r="AN300" s="588" t="s">
        <v>759</v>
      </c>
      <c r="AO300" s="593" t="s">
        <v>769</v>
      </c>
      <c r="AP300" s="588" t="s">
        <v>760</v>
      </c>
      <c r="AQ300" s="663" t="s">
        <v>770</v>
      </c>
      <c r="AR300" s="663" t="s">
        <v>771</v>
      </c>
      <c r="AS300" s="595" t="s">
        <v>772</v>
      </c>
      <c r="AT300" s="595" t="s">
        <v>773</v>
      </c>
      <c r="AU300" s="588" t="s">
        <v>761</v>
      </c>
      <c r="AV300" s="588" t="s">
        <v>762</v>
      </c>
      <c r="AW300" s="588" t="s">
        <v>763</v>
      </c>
      <c r="AX300" s="562"/>
      <c r="AY300" s="562"/>
      <c r="AZ300" s="562"/>
      <c r="BA300" s="588" t="s">
        <v>764</v>
      </c>
      <c r="BB300" s="589"/>
      <c r="BD300" s="680">
        <v>14</v>
      </c>
      <c r="BF300" s="680">
        <v>0.2</v>
      </c>
      <c r="BG300" s="680" t="s">
        <v>777</v>
      </c>
      <c r="BH300" s="680">
        <v>1</v>
      </c>
      <c r="BI300" s="680"/>
      <c r="BJ300" s="680"/>
      <c r="BK300" s="680"/>
      <c r="BL300" s="680">
        <v>2</v>
      </c>
      <c r="BM300" s="576">
        <f t="shared" si="53"/>
        <v>4</v>
      </c>
      <c r="BN300" s="684"/>
      <c r="BO300" s="611">
        <v>2.83</v>
      </c>
      <c r="BP300" s="611">
        <f t="shared" si="54"/>
        <v>1.17</v>
      </c>
      <c r="BQ300" s="685"/>
      <c r="BR300" s="685">
        <v>1</v>
      </c>
      <c r="BS300" s="576" t="s">
        <v>778</v>
      </c>
      <c r="BT300" s="679" t="s">
        <v>1046</v>
      </c>
      <c r="BU300" s="680"/>
      <c r="BV300" s="627" t="s">
        <v>817</v>
      </c>
      <c r="BW300" s="628">
        <f>AVERAGE(BP287:BP318)</f>
        <v>1.3609374999999997</v>
      </c>
      <c r="DD300" s="561"/>
      <c r="DE300" s="577"/>
      <c r="DF300" s="577">
        <v>0.19</v>
      </c>
      <c r="DG300" s="577"/>
      <c r="DH300" s="577"/>
      <c r="DI300" s="577"/>
      <c r="DJ300" s="577"/>
      <c r="DK300" s="577"/>
      <c r="DL300" s="577"/>
      <c r="DM300" s="577"/>
      <c r="DN300" s="577"/>
      <c r="DO300" s="577"/>
      <c r="DP300" s="577"/>
      <c r="DQ300" s="600"/>
      <c r="DR300" s="600"/>
      <c r="DS300" s="577"/>
      <c r="DT300" s="577"/>
      <c r="DU300" s="577"/>
      <c r="DV300" s="577"/>
      <c r="DW300" s="577"/>
      <c r="DX300" s="577"/>
    </row>
    <row r="301" spans="2:128" s="560" customFormat="1">
      <c r="C301" s="560">
        <v>0.56999999999999995</v>
      </c>
      <c r="P301" s="561"/>
      <c r="Q301" s="562"/>
      <c r="R301" s="562">
        <v>0.7</v>
      </c>
      <c r="S301" s="562"/>
      <c r="T301" s="562"/>
      <c r="U301" s="562"/>
      <c r="V301" s="562"/>
      <c r="W301" s="562"/>
      <c r="X301" s="562"/>
      <c r="Y301" s="562"/>
      <c r="Z301" s="562"/>
      <c r="AA301" s="562"/>
      <c r="AB301" s="562"/>
      <c r="AC301" s="562"/>
      <c r="AD301" s="563"/>
      <c r="AE301" s="561"/>
      <c r="AF301" s="568">
        <v>1</v>
      </c>
      <c r="AG301" s="562"/>
      <c r="AH301" s="577">
        <v>0.5</v>
      </c>
      <c r="AI301" s="577" t="s">
        <v>793</v>
      </c>
      <c r="AJ301" s="577"/>
      <c r="AK301" s="577">
        <v>1</v>
      </c>
      <c r="AL301" s="577"/>
      <c r="AM301" s="577">
        <v>1</v>
      </c>
      <c r="AN301" s="562">
        <v>2.35</v>
      </c>
      <c r="AO301" s="562">
        <f t="shared" ref="AO301:AO311" si="55">AN301+AN301</f>
        <v>4.7</v>
      </c>
      <c r="AP301" s="598">
        <v>0.140625</v>
      </c>
      <c r="AQ301" s="599">
        <v>4.3000000000000007</v>
      </c>
      <c r="AR301" s="599">
        <f t="shared" ref="AR301:AR311" si="56">AO301-AQ301</f>
        <v>0.39999999999999947</v>
      </c>
      <c r="AS301" s="600"/>
      <c r="AT301" s="600">
        <v>1</v>
      </c>
      <c r="AU301" s="577" t="s">
        <v>778</v>
      </c>
      <c r="AV301" s="584"/>
      <c r="AW301" s="562"/>
      <c r="AX301" s="562"/>
      <c r="AY301" s="562"/>
      <c r="AZ301" s="562"/>
      <c r="BA301" s="577"/>
      <c r="BB301" s="589"/>
      <c r="BD301" s="680">
        <v>15</v>
      </c>
      <c r="BF301" s="680">
        <v>0.2</v>
      </c>
      <c r="BG301" s="680" t="s">
        <v>778</v>
      </c>
      <c r="BH301" s="680">
        <v>1</v>
      </c>
      <c r="BI301" s="680"/>
      <c r="BJ301" s="680"/>
      <c r="BK301" s="680"/>
      <c r="BL301" s="680">
        <v>2.2999999999999998</v>
      </c>
      <c r="BM301" s="576">
        <f t="shared" si="53"/>
        <v>4.5999999999999996</v>
      </c>
      <c r="BN301" s="684"/>
      <c r="BO301" s="611">
        <v>2.8400000000000003</v>
      </c>
      <c r="BP301" s="611">
        <f t="shared" si="54"/>
        <v>1.7599999999999993</v>
      </c>
      <c r="BQ301" s="685"/>
      <c r="BR301" s="685">
        <v>1</v>
      </c>
      <c r="BS301" s="576" t="s">
        <v>778</v>
      </c>
      <c r="BT301" s="679" t="s">
        <v>1047</v>
      </c>
      <c r="BU301" s="680"/>
      <c r="BV301" s="627" t="s">
        <v>818</v>
      </c>
      <c r="BW301" s="627" t="e">
        <f ca="1">_xlfn.STDEV.S(BP287:BP318)</f>
        <v>#NAME?</v>
      </c>
      <c r="DD301" s="561"/>
      <c r="DE301" s="577"/>
      <c r="DF301" s="577">
        <v>0.25</v>
      </c>
      <c r="DG301" s="577"/>
      <c r="DH301" s="577"/>
      <c r="DI301" s="577"/>
      <c r="DJ301" s="577"/>
      <c r="DK301" s="577"/>
      <c r="DL301" s="577"/>
      <c r="DM301" s="577"/>
      <c r="DN301" s="577"/>
      <c r="DO301" s="577"/>
      <c r="DP301" s="577"/>
      <c r="DQ301" s="600"/>
      <c r="DR301" s="600"/>
      <c r="DS301" s="577"/>
      <c r="DT301" s="577"/>
      <c r="DU301" s="577"/>
      <c r="DV301" s="577"/>
      <c r="DW301" s="577"/>
      <c r="DX301" s="577"/>
    </row>
    <row r="302" spans="2:128" s="560" customFormat="1">
      <c r="C302" s="560">
        <v>0.45</v>
      </c>
      <c r="P302" s="561"/>
      <c r="Q302" s="562"/>
      <c r="R302" s="562">
        <v>0.9</v>
      </c>
      <c r="S302" s="562"/>
      <c r="T302" s="562"/>
      <c r="U302" s="562"/>
      <c r="V302" s="562"/>
      <c r="W302" s="562"/>
      <c r="X302" s="562"/>
      <c r="Y302" s="562"/>
      <c r="Z302" s="562"/>
      <c r="AA302" s="562"/>
      <c r="AB302" s="562"/>
      <c r="AC302" s="562"/>
      <c r="AD302" s="563"/>
      <c r="AE302" s="561"/>
      <c r="AF302" s="568">
        <v>2</v>
      </c>
      <c r="AG302" s="562"/>
      <c r="AH302" s="577">
        <v>0.25</v>
      </c>
      <c r="AI302" s="577" t="s">
        <v>793</v>
      </c>
      <c r="AJ302" s="577"/>
      <c r="AK302" s="577">
        <v>1</v>
      </c>
      <c r="AL302" s="577"/>
      <c r="AM302" s="577">
        <v>1</v>
      </c>
      <c r="AN302" s="562">
        <v>2.4</v>
      </c>
      <c r="AO302" s="562">
        <f t="shared" si="55"/>
        <v>4.8</v>
      </c>
      <c r="AP302" s="598">
        <v>0.140625</v>
      </c>
      <c r="AQ302" s="599">
        <v>4.2980000000000009</v>
      </c>
      <c r="AR302" s="599">
        <f t="shared" si="56"/>
        <v>0.50199999999999889</v>
      </c>
      <c r="AS302" s="600"/>
      <c r="AT302" s="600">
        <v>1</v>
      </c>
      <c r="AU302" s="577" t="s">
        <v>778</v>
      </c>
      <c r="AV302" s="609"/>
      <c r="AW302" s="562"/>
      <c r="AX302" s="562"/>
      <c r="AY302" s="562"/>
      <c r="AZ302" s="562"/>
      <c r="BA302" s="607" t="s">
        <v>780</v>
      </c>
      <c r="BB302" s="608" t="s">
        <v>616</v>
      </c>
      <c r="BD302" s="680">
        <v>16</v>
      </c>
      <c r="BF302" s="680">
        <v>0.2</v>
      </c>
      <c r="BG302" s="680" t="s">
        <v>777</v>
      </c>
      <c r="BH302" s="680">
        <v>1</v>
      </c>
      <c r="BI302" s="680"/>
      <c r="BJ302" s="680"/>
      <c r="BK302" s="680"/>
      <c r="BL302" s="680">
        <v>2.1</v>
      </c>
      <c r="BM302" s="576">
        <f t="shared" si="53"/>
        <v>4.2</v>
      </c>
      <c r="BN302" s="684"/>
      <c r="BO302" s="611">
        <v>2.85</v>
      </c>
      <c r="BP302" s="611">
        <f t="shared" si="54"/>
        <v>1.35</v>
      </c>
      <c r="BQ302" s="685"/>
      <c r="BR302" s="685">
        <v>1</v>
      </c>
      <c r="BS302" s="576" t="s">
        <v>778</v>
      </c>
      <c r="BT302" s="679" t="s">
        <v>1048</v>
      </c>
      <c r="BU302" s="680"/>
      <c r="DD302" s="561"/>
      <c r="DE302" s="577"/>
      <c r="DF302" s="577">
        <v>0.25</v>
      </c>
      <c r="DG302" s="577"/>
      <c r="DH302" s="577"/>
      <c r="DI302" s="577"/>
      <c r="DJ302" s="577"/>
      <c r="DK302" s="577"/>
      <c r="DL302" s="577"/>
      <c r="DM302" s="577"/>
      <c r="DN302" s="577"/>
      <c r="DO302" s="577"/>
      <c r="DP302" s="577"/>
      <c r="DQ302" s="600"/>
      <c r="DR302" s="600"/>
      <c r="DS302" s="577"/>
      <c r="DT302" s="577"/>
      <c r="DU302" s="577"/>
      <c r="DV302" s="577"/>
      <c r="DW302" s="577"/>
      <c r="DX302" s="577"/>
    </row>
    <row r="303" spans="2:128" s="560" customFormat="1">
      <c r="C303" s="560">
        <v>0.55000000000000004</v>
      </c>
      <c r="P303" s="561"/>
      <c r="Q303" s="562"/>
      <c r="R303" s="562">
        <v>0.75</v>
      </c>
      <c r="S303" s="562"/>
      <c r="T303" s="562"/>
      <c r="U303" s="562"/>
      <c r="V303" s="562"/>
      <c r="W303" s="562"/>
      <c r="X303" s="562"/>
      <c r="Y303" s="562"/>
      <c r="Z303" s="562"/>
      <c r="AA303" s="562"/>
      <c r="AB303" s="562"/>
      <c r="AC303" s="562"/>
      <c r="AD303" s="563"/>
      <c r="AE303" s="561"/>
      <c r="AF303" s="568">
        <v>3</v>
      </c>
      <c r="AG303" s="562"/>
      <c r="AH303" s="577"/>
      <c r="AI303" s="577"/>
      <c r="AJ303" s="577"/>
      <c r="AK303" s="577">
        <v>1</v>
      </c>
      <c r="AL303" s="577"/>
      <c r="AM303" s="577"/>
      <c r="AN303" s="562">
        <v>2.4</v>
      </c>
      <c r="AO303" s="562">
        <f t="shared" si="55"/>
        <v>4.8</v>
      </c>
      <c r="AP303" s="598">
        <v>0.140625</v>
      </c>
      <c r="AQ303" s="599">
        <v>4.2960000000000003</v>
      </c>
      <c r="AR303" s="599">
        <f t="shared" si="56"/>
        <v>0.50399999999999956</v>
      </c>
      <c r="AS303" s="600"/>
      <c r="AT303" s="600">
        <v>1</v>
      </c>
      <c r="AU303" s="577" t="s">
        <v>778</v>
      </c>
      <c r="AV303" s="584"/>
      <c r="AW303" s="562"/>
      <c r="AX303" s="562"/>
      <c r="AY303" s="562"/>
      <c r="AZ303" s="562"/>
      <c r="BA303" s="607" t="s">
        <v>785</v>
      </c>
      <c r="BB303" s="608" t="s">
        <v>542</v>
      </c>
      <c r="BD303" s="680">
        <v>17</v>
      </c>
      <c r="BF303" s="680">
        <v>0.2</v>
      </c>
      <c r="BG303" s="680" t="s">
        <v>777</v>
      </c>
      <c r="BH303" s="680">
        <v>1</v>
      </c>
      <c r="BI303" s="680"/>
      <c r="BJ303" s="680"/>
      <c r="BK303" s="680"/>
      <c r="BL303" s="680">
        <v>1.3</v>
      </c>
      <c r="BM303" s="576">
        <f t="shared" si="53"/>
        <v>2.6</v>
      </c>
      <c r="BN303" s="684"/>
      <c r="BO303" s="611">
        <v>2.8600000000000003</v>
      </c>
      <c r="BP303" s="611">
        <f t="shared" si="54"/>
        <v>-0.26000000000000023</v>
      </c>
      <c r="BQ303" s="685"/>
      <c r="BR303" s="685">
        <v>1</v>
      </c>
      <c r="BS303" s="576" t="s">
        <v>778</v>
      </c>
      <c r="BT303" s="679" t="s">
        <v>1049</v>
      </c>
      <c r="BU303" s="680"/>
      <c r="DD303" s="561"/>
      <c r="DE303" s="577" t="s">
        <v>859</v>
      </c>
      <c r="DF303" s="577">
        <v>0.25</v>
      </c>
      <c r="DG303" s="577"/>
      <c r="DH303" s="577"/>
      <c r="DI303" s="577"/>
      <c r="DJ303" s="577"/>
      <c r="DK303" s="577"/>
      <c r="DL303" s="577"/>
      <c r="DM303" s="577"/>
      <c r="DN303" s="577"/>
      <c r="DO303" s="577"/>
      <c r="DP303" s="577"/>
      <c r="DQ303" s="600"/>
      <c r="DR303" s="600"/>
      <c r="DS303" s="577"/>
      <c r="DT303" s="577"/>
      <c r="DU303" s="577"/>
      <c r="DV303" s="577"/>
      <c r="DW303" s="577"/>
      <c r="DX303" s="577"/>
    </row>
    <row r="304" spans="2:128" s="560" customFormat="1">
      <c r="C304" s="560">
        <v>0.5</v>
      </c>
      <c r="P304" s="561"/>
      <c r="Q304" s="562"/>
      <c r="R304" s="562">
        <v>0.75</v>
      </c>
      <c r="S304" s="562"/>
      <c r="T304" s="562"/>
      <c r="U304" s="562"/>
      <c r="V304" s="562"/>
      <c r="W304" s="562"/>
      <c r="X304" s="562"/>
      <c r="Y304" s="562"/>
      <c r="Z304" s="562"/>
      <c r="AA304" s="562"/>
      <c r="AB304" s="562"/>
      <c r="AC304" s="562"/>
      <c r="AD304" s="563"/>
      <c r="AE304" s="561"/>
      <c r="AF304" s="568">
        <v>4</v>
      </c>
      <c r="AG304" s="562"/>
      <c r="AH304" s="577">
        <v>0.9</v>
      </c>
      <c r="AI304" s="577" t="s">
        <v>793</v>
      </c>
      <c r="AJ304" s="577"/>
      <c r="AK304" s="577">
        <v>1</v>
      </c>
      <c r="AL304" s="577"/>
      <c r="AM304" s="577">
        <v>1</v>
      </c>
      <c r="AN304" s="562">
        <v>2.2999999999999998</v>
      </c>
      <c r="AO304" s="562">
        <f t="shared" si="55"/>
        <v>4.5999999999999996</v>
      </c>
      <c r="AP304" s="598">
        <v>0.140625</v>
      </c>
      <c r="AQ304" s="599">
        <v>4.2940000000000005</v>
      </c>
      <c r="AR304" s="599">
        <f t="shared" si="56"/>
        <v>0.30599999999999916</v>
      </c>
      <c r="AS304" s="600"/>
      <c r="AT304" s="600">
        <v>1</v>
      </c>
      <c r="AU304" s="577" t="s">
        <v>778</v>
      </c>
      <c r="AV304" s="584"/>
      <c r="AW304" s="562"/>
      <c r="AX304" s="562"/>
      <c r="AY304" s="562"/>
      <c r="AZ304" s="562"/>
      <c r="BA304" s="607" t="s">
        <v>789</v>
      </c>
      <c r="BB304" s="608" t="s">
        <v>790</v>
      </c>
      <c r="BD304" s="680">
        <v>18</v>
      </c>
      <c r="BF304" s="680"/>
      <c r="BG304" s="680"/>
      <c r="BH304" s="680"/>
      <c r="BI304" s="680">
        <v>1</v>
      </c>
      <c r="BJ304" s="680"/>
      <c r="BK304" s="680"/>
      <c r="BL304" s="680">
        <v>2</v>
      </c>
      <c r="BM304" s="576">
        <f t="shared" si="53"/>
        <v>4</v>
      </c>
      <c r="BN304" s="684"/>
      <c r="BO304" s="611">
        <v>2.87</v>
      </c>
      <c r="BP304" s="611">
        <f t="shared" si="54"/>
        <v>1.1299999999999999</v>
      </c>
      <c r="BQ304" s="685"/>
      <c r="BR304" s="685">
        <v>1</v>
      </c>
      <c r="BS304" s="576" t="s">
        <v>778</v>
      </c>
      <c r="BT304" s="680"/>
      <c r="BU304" s="680"/>
      <c r="DD304" s="561"/>
      <c r="DE304" s="577"/>
      <c r="DF304" s="577">
        <v>0.28999999999999998</v>
      </c>
      <c r="DG304" s="577"/>
      <c r="DH304" s="577"/>
      <c r="DI304" s="577"/>
      <c r="DJ304" s="577"/>
      <c r="DK304" s="577"/>
      <c r="DL304" s="577"/>
      <c r="DM304" s="577"/>
      <c r="DN304" s="577"/>
      <c r="DO304" s="577"/>
      <c r="DP304" s="577"/>
      <c r="DQ304" s="600"/>
      <c r="DR304" s="600"/>
      <c r="DS304" s="577"/>
      <c r="DT304" s="577"/>
      <c r="DU304" s="577"/>
      <c r="DV304" s="577"/>
      <c r="DW304" s="577"/>
      <c r="DX304" s="577"/>
    </row>
    <row r="305" spans="2:128" s="560" customFormat="1">
      <c r="C305" s="560">
        <v>0.5</v>
      </c>
      <c r="P305" s="561"/>
      <c r="Q305" s="562"/>
      <c r="R305" s="562">
        <v>0.6</v>
      </c>
      <c r="S305" s="562"/>
      <c r="T305" s="562"/>
      <c r="U305" s="562"/>
      <c r="V305" s="562"/>
      <c r="W305" s="562"/>
      <c r="X305" s="562"/>
      <c r="Y305" s="562"/>
      <c r="Z305" s="562"/>
      <c r="AA305" s="562"/>
      <c r="AB305" s="562"/>
      <c r="AC305" s="562"/>
      <c r="AD305" s="563"/>
      <c r="AE305" s="561"/>
      <c r="AF305" s="568">
        <v>5</v>
      </c>
      <c r="AG305" s="562"/>
      <c r="AH305" s="577">
        <v>3.9</v>
      </c>
      <c r="AI305" s="577" t="s">
        <v>793</v>
      </c>
      <c r="AJ305" s="577"/>
      <c r="AK305" s="577">
        <v>1</v>
      </c>
      <c r="AL305" s="577"/>
      <c r="AM305" s="577">
        <v>1</v>
      </c>
      <c r="AN305" s="562">
        <v>2.2999999999999998</v>
      </c>
      <c r="AO305" s="562">
        <f t="shared" si="55"/>
        <v>4.5999999999999996</v>
      </c>
      <c r="AP305" s="598">
        <v>0.140625</v>
      </c>
      <c r="AQ305" s="599">
        <v>4.2920000000000007</v>
      </c>
      <c r="AR305" s="599">
        <f t="shared" si="56"/>
        <v>0.30799999999999894</v>
      </c>
      <c r="AS305" s="600"/>
      <c r="AT305" s="600">
        <v>1</v>
      </c>
      <c r="AU305" s="577" t="s">
        <v>778</v>
      </c>
      <c r="AV305" s="584"/>
      <c r="AW305" s="562"/>
      <c r="AX305" s="562"/>
      <c r="AY305" s="562"/>
      <c r="AZ305" s="562"/>
      <c r="BA305" s="607" t="s">
        <v>791</v>
      </c>
      <c r="BB305" s="608" t="s">
        <v>792</v>
      </c>
      <c r="BD305" s="680">
        <v>19</v>
      </c>
      <c r="BF305" s="680"/>
      <c r="BG305" s="680"/>
      <c r="BH305" s="680"/>
      <c r="BI305" s="680">
        <v>1</v>
      </c>
      <c r="BJ305" s="680"/>
      <c r="BK305" s="680"/>
      <c r="BL305" s="680">
        <v>2</v>
      </c>
      <c r="BM305" s="576">
        <f t="shared" si="53"/>
        <v>4</v>
      </c>
      <c r="BN305" s="684"/>
      <c r="BO305" s="611">
        <v>2.8800000000000003</v>
      </c>
      <c r="BP305" s="611">
        <f t="shared" si="54"/>
        <v>1.1199999999999997</v>
      </c>
      <c r="BQ305" s="685"/>
      <c r="BR305" s="685">
        <v>1</v>
      </c>
      <c r="BS305" s="576" t="s">
        <v>778</v>
      </c>
      <c r="BT305" s="680"/>
      <c r="BU305" s="680"/>
      <c r="DD305" s="561"/>
      <c r="DE305" s="577"/>
      <c r="DF305" s="577">
        <v>0.28999999999999998</v>
      </c>
      <c r="DG305" s="577"/>
      <c r="DH305" s="577"/>
      <c r="DI305" s="577"/>
      <c r="DJ305" s="577"/>
      <c r="DK305" s="577"/>
      <c r="DL305" s="577"/>
      <c r="DM305" s="577"/>
      <c r="DN305" s="577"/>
      <c r="DO305" s="577"/>
      <c r="DP305" s="577"/>
      <c r="DQ305" s="600"/>
      <c r="DR305" s="600"/>
      <c r="DS305" s="577"/>
      <c r="DT305" s="577"/>
      <c r="DU305" s="577"/>
      <c r="DV305" s="577"/>
      <c r="DW305" s="577"/>
      <c r="DX305" s="577"/>
    </row>
    <row r="306" spans="2:128" s="560" customFormat="1">
      <c r="C306" s="560">
        <v>0.55000000000000004</v>
      </c>
      <c r="P306" s="561"/>
      <c r="Q306" s="562"/>
      <c r="R306" s="562">
        <v>1</v>
      </c>
      <c r="S306" s="562"/>
      <c r="T306" s="562"/>
      <c r="U306" s="562"/>
      <c r="V306" s="562"/>
      <c r="W306" s="562"/>
      <c r="X306" s="562"/>
      <c r="Y306" s="562"/>
      <c r="Z306" s="562"/>
      <c r="AA306" s="562"/>
      <c r="AB306" s="562"/>
      <c r="AC306" s="562"/>
      <c r="AD306" s="563"/>
      <c r="AE306" s="561"/>
      <c r="AF306" s="568">
        <v>6</v>
      </c>
      <c r="AG306" s="562"/>
      <c r="AH306" s="577">
        <v>0.25</v>
      </c>
      <c r="AI306" s="577" t="s">
        <v>793</v>
      </c>
      <c r="AJ306" s="577"/>
      <c r="AK306" s="577">
        <v>1</v>
      </c>
      <c r="AL306" s="577"/>
      <c r="AM306" s="577">
        <v>1</v>
      </c>
      <c r="AN306" s="562">
        <v>2.4500000000000002</v>
      </c>
      <c r="AO306" s="562">
        <f t="shared" si="55"/>
        <v>4.9000000000000004</v>
      </c>
      <c r="AP306" s="598">
        <v>0.140625</v>
      </c>
      <c r="AQ306" s="599">
        <v>4.2900000000000009</v>
      </c>
      <c r="AR306" s="599">
        <f t="shared" si="56"/>
        <v>0.60999999999999943</v>
      </c>
      <c r="AS306" s="600"/>
      <c r="AT306" s="600">
        <v>1</v>
      </c>
      <c r="AU306" s="577" t="s">
        <v>778</v>
      </c>
      <c r="AV306" s="577"/>
      <c r="AW306" s="562"/>
      <c r="AX306" s="562"/>
      <c r="AY306" s="562"/>
      <c r="AZ306" s="562"/>
      <c r="BA306" s="607" t="s">
        <v>794</v>
      </c>
      <c r="BB306" s="608" t="s">
        <v>795</v>
      </c>
      <c r="BD306" s="680">
        <v>20</v>
      </c>
      <c r="BF306" s="680"/>
      <c r="BG306" s="680"/>
      <c r="BH306" s="680"/>
      <c r="BI306" s="680">
        <v>1</v>
      </c>
      <c r="BJ306" s="680"/>
      <c r="BK306" s="680"/>
      <c r="BL306" s="680">
        <v>2</v>
      </c>
      <c r="BM306" s="576">
        <f t="shared" si="53"/>
        <v>4</v>
      </c>
      <c r="BN306" s="684"/>
      <c r="BO306" s="611">
        <v>2.89</v>
      </c>
      <c r="BP306" s="611">
        <f t="shared" si="54"/>
        <v>1.1099999999999999</v>
      </c>
      <c r="BQ306" s="685"/>
      <c r="BR306" s="685">
        <v>1</v>
      </c>
      <c r="BS306" s="576" t="s">
        <v>778</v>
      </c>
      <c r="BT306" s="680"/>
      <c r="BU306" s="680"/>
      <c r="DD306" s="561"/>
      <c r="DE306" s="577"/>
      <c r="DF306" s="577">
        <v>0.3</v>
      </c>
      <c r="DG306" s="577"/>
      <c r="DH306" s="577"/>
      <c r="DI306" s="577"/>
      <c r="DJ306" s="577"/>
      <c r="DK306" s="577"/>
      <c r="DL306" s="577"/>
      <c r="DM306" s="577"/>
      <c r="DN306" s="577"/>
      <c r="DO306" s="577"/>
      <c r="DP306" s="577"/>
      <c r="DQ306" s="600"/>
      <c r="DR306" s="600"/>
      <c r="DS306" s="577"/>
      <c r="DT306" s="577"/>
      <c r="DU306" s="577"/>
      <c r="DV306" s="577"/>
      <c r="DW306" s="577"/>
      <c r="DX306" s="577"/>
    </row>
    <row r="307" spans="2:128" s="560" customFormat="1">
      <c r="C307" s="560">
        <v>0.6</v>
      </c>
      <c r="P307" s="561"/>
      <c r="Q307" s="562"/>
      <c r="R307" s="562">
        <v>0.95</v>
      </c>
      <c r="S307" s="562"/>
      <c r="T307" s="562"/>
      <c r="U307" s="562"/>
      <c r="V307" s="562"/>
      <c r="W307" s="562"/>
      <c r="X307" s="562"/>
      <c r="Y307" s="562"/>
      <c r="Z307" s="562"/>
      <c r="AA307" s="562"/>
      <c r="AB307" s="562"/>
      <c r="AC307" s="562"/>
      <c r="AD307" s="563"/>
      <c r="AE307" s="561"/>
      <c r="AF307" s="568">
        <v>7</v>
      </c>
      <c r="AG307" s="562"/>
      <c r="AH307" s="577">
        <v>0.2</v>
      </c>
      <c r="AI307" s="577" t="s">
        <v>793</v>
      </c>
      <c r="AJ307" s="577"/>
      <c r="AK307" s="577">
        <v>1</v>
      </c>
      <c r="AL307" s="577"/>
      <c r="AM307" s="577">
        <v>1</v>
      </c>
      <c r="AN307" s="562">
        <v>2.2999999999999998</v>
      </c>
      <c r="AO307" s="562">
        <f t="shared" si="55"/>
        <v>4.5999999999999996</v>
      </c>
      <c r="AP307" s="598">
        <v>0.140625</v>
      </c>
      <c r="AQ307" s="599">
        <v>4.2880000000000003</v>
      </c>
      <c r="AR307" s="599">
        <f t="shared" si="56"/>
        <v>0.31199999999999939</v>
      </c>
      <c r="AS307" s="600"/>
      <c r="AT307" s="600">
        <v>1</v>
      </c>
      <c r="AU307" s="577" t="s">
        <v>778</v>
      </c>
      <c r="AV307" s="577"/>
      <c r="AW307" s="562"/>
      <c r="AX307" s="625" t="s">
        <v>806</v>
      </c>
      <c r="AY307" s="562">
        <f>COUNT(AR301:AR326)</f>
        <v>21</v>
      </c>
      <c r="AZ307" s="562"/>
      <c r="BA307" s="607" t="s">
        <v>798</v>
      </c>
      <c r="BB307" s="608" t="s">
        <v>546</v>
      </c>
      <c r="BD307" s="680">
        <v>21</v>
      </c>
      <c r="BF307" s="680"/>
      <c r="BG307" s="680"/>
      <c r="BH307" s="680"/>
      <c r="BI307" s="680">
        <v>1</v>
      </c>
      <c r="BJ307" s="680"/>
      <c r="BK307" s="680"/>
      <c r="BL307" s="680">
        <v>2</v>
      </c>
      <c r="BM307" s="576">
        <f t="shared" si="53"/>
        <v>4</v>
      </c>
      <c r="BN307" s="684"/>
      <c r="BO307" s="611">
        <v>2.9000000000000004</v>
      </c>
      <c r="BP307" s="611">
        <f t="shared" si="54"/>
        <v>1.0999999999999996</v>
      </c>
      <c r="BQ307" s="685"/>
      <c r="BR307" s="685">
        <v>1</v>
      </c>
      <c r="BS307" s="576" t="s">
        <v>778</v>
      </c>
      <c r="BT307" s="680"/>
      <c r="BU307" s="680"/>
      <c r="DD307" s="561"/>
      <c r="DE307" s="577" t="s">
        <v>859</v>
      </c>
      <c r="DF307" s="577">
        <v>0.25</v>
      </c>
      <c r="DG307" s="577"/>
      <c r="DH307" s="577"/>
      <c r="DI307" s="577"/>
      <c r="DJ307" s="577"/>
      <c r="DK307" s="577"/>
      <c r="DL307" s="577"/>
      <c r="DM307" s="577"/>
      <c r="DN307" s="577"/>
      <c r="DO307" s="577"/>
      <c r="DP307" s="577"/>
      <c r="DQ307" s="600"/>
      <c r="DR307" s="600"/>
      <c r="DS307" s="577"/>
      <c r="DT307" s="577"/>
      <c r="DU307" s="577"/>
      <c r="DV307" s="577"/>
      <c r="DW307" s="577"/>
      <c r="DX307" s="577"/>
    </row>
    <row r="308" spans="2:128" s="560" customFormat="1">
      <c r="B308" s="560" t="s">
        <v>1050</v>
      </c>
      <c r="P308" s="561"/>
      <c r="Q308" s="562"/>
      <c r="R308" s="562">
        <v>0.8</v>
      </c>
      <c r="S308" s="562"/>
      <c r="T308" s="562"/>
      <c r="U308" s="562"/>
      <c r="V308" s="562"/>
      <c r="W308" s="562"/>
      <c r="X308" s="562"/>
      <c r="Y308" s="562"/>
      <c r="Z308" s="562"/>
      <c r="AA308" s="562"/>
      <c r="AB308" s="562"/>
      <c r="AC308" s="562"/>
      <c r="AD308" s="563"/>
      <c r="AE308" s="561"/>
      <c r="AF308" s="568">
        <v>8</v>
      </c>
      <c r="AG308" s="562"/>
      <c r="AH308" s="577">
        <v>0.3</v>
      </c>
      <c r="AI308" s="577" t="s">
        <v>793</v>
      </c>
      <c r="AJ308" s="577"/>
      <c r="AK308" s="577">
        <v>1</v>
      </c>
      <c r="AL308" s="577"/>
      <c r="AM308" s="577">
        <v>1</v>
      </c>
      <c r="AN308" s="562">
        <v>2.2999999999999998</v>
      </c>
      <c r="AO308" s="562">
        <f t="shared" si="55"/>
        <v>4.5999999999999996</v>
      </c>
      <c r="AP308" s="598">
        <v>0.140625</v>
      </c>
      <c r="AQ308" s="599">
        <v>4.2860000000000005</v>
      </c>
      <c r="AR308" s="599">
        <f t="shared" si="56"/>
        <v>0.31399999999999917</v>
      </c>
      <c r="AS308" s="600"/>
      <c r="AT308" s="600">
        <v>1</v>
      </c>
      <c r="AU308" s="577" t="s">
        <v>778</v>
      </c>
      <c r="AV308" s="577"/>
      <c r="AW308" s="562"/>
      <c r="AX308" s="625" t="s">
        <v>809</v>
      </c>
      <c r="AY308" s="649">
        <f>SUM(AR301:AR321,AR324:AR326)</f>
        <v>8.3519999999999861</v>
      </c>
      <c r="AZ308" s="562"/>
      <c r="BA308" s="607" t="s">
        <v>800</v>
      </c>
      <c r="BB308" s="608" t="s">
        <v>801</v>
      </c>
      <c r="BD308" s="680">
        <v>22</v>
      </c>
      <c r="BF308" s="680"/>
      <c r="BG308" s="680"/>
      <c r="BH308" s="680"/>
      <c r="BI308" s="680">
        <v>1</v>
      </c>
      <c r="BJ308" s="680"/>
      <c r="BK308" s="680"/>
      <c r="BL308" s="680">
        <v>2</v>
      </c>
      <c r="BM308" s="576">
        <f t="shared" si="53"/>
        <v>4</v>
      </c>
      <c r="BN308" s="684"/>
      <c r="BO308" s="611">
        <v>2.91</v>
      </c>
      <c r="BP308" s="611">
        <f t="shared" si="54"/>
        <v>1.0899999999999999</v>
      </c>
      <c r="BQ308" s="685"/>
      <c r="BR308" s="685">
        <v>1</v>
      </c>
      <c r="BS308" s="576" t="s">
        <v>778</v>
      </c>
      <c r="BT308" s="680"/>
      <c r="BU308" s="680"/>
      <c r="DD308" s="561"/>
      <c r="DE308" s="577"/>
      <c r="DF308" s="577">
        <v>0.25</v>
      </c>
      <c r="DG308" s="577"/>
      <c r="DH308" s="577"/>
      <c r="DI308" s="577"/>
      <c r="DJ308" s="577"/>
      <c r="DK308" s="577"/>
      <c r="DL308" s="577"/>
      <c r="DM308" s="577"/>
      <c r="DN308" s="577"/>
      <c r="DO308" s="577"/>
      <c r="DP308" s="577"/>
      <c r="DQ308" s="600"/>
      <c r="DR308" s="600"/>
      <c r="DS308" s="577"/>
      <c r="DT308" s="577"/>
      <c r="DU308" s="577"/>
      <c r="DV308" s="577"/>
      <c r="DW308" s="577"/>
      <c r="DX308" s="577"/>
    </row>
    <row r="309" spans="2:128" s="560" customFormat="1">
      <c r="C309" s="560">
        <v>0.5</v>
      </c>
      <c r="P309" s="561"/>
      <c r="Q309" s="562"/>
      <c r="R309" s="562">
        <v>1.2</v>
      </c>
      <c r="S309" s="562"/>
      <c r="T309" s="562"/>
      <c r="U309" s="562"/>
      <c r="V309" s="562"/>
      <c r="W309" s="562"/>
      <c r="X309" s="562"/>
      <c r="Y309" s="562"/>
      <c r="Z309" s="562"/>
      <c r="AA309" s="562"/>
      <c r="AB309" s="562"/>
      <c r="AC309" s="562"/>
      <c r="AD309" s="563"/>
      <c r="AE309" s="561"/>
      <c r="AF309" s="568">
        <v>9</v>
      </c>
      <c r="AG309" s="562"/>
      <c r="AH309" s="577">
        <v>0.1</v>
      </c>
      <c r="AI309" s="577" t="s">
        <v>778</v>
      </c>
      <c r="AJ309" s="577"/>
      <c r="AK309" s="577">
        <v>1</v>
      </c>
      <c r="AL309" s="577"/>
      <c r="AM309" s="577"/>
      <c r="AN309" s="562">
        <v>2.4</v>
      </c>
      <c r="AO309" s="562">
        <f t="shared" si="55"/>
        <v>4.8</v>
      </c>
      <c r="AP309" s="598">
        <v>0.140625</v>
      </c>
      <c r="AQ309" s="599">
        <v>4.2840000000000007</v>
      </c>
      <c r="AR309" s="599">
        <f t="shared" si="56"/>
        <v>0.51599999999999913</v>
      </c>
      <c r="AS309" s="600"/>
      <c r="AT309" s="600">
        <v>1</v>
      </c>
      <c r="AU309" s="577" t="s">
        <v>778</v>
      </c>
      <c r="AV309" s="577"/>
      <c r="AW309" s="562"/>
      <c r="AX309" s="625" t="s">
        <v>811</v>
      </c>
      <c r="AY309" s="649">
        <f>MAX(AR301:AR326)</f>
        <v>0.60999999999999943</v>
      </c>
      <c r="AZ309" s="562"/>
      <c r="BA309" s="607" t="s">
        <v>804</v>
      </c>
      <c r="BB309" s="608" t="s">
        <v>805</v>
      </c>
      <c r="BD309" s="680">
        <v>23</v>
      </c>
      <c r="BF309" s="680">
        <v>0.4</v>
      </c>
      <c r="BG309" s="680" t="s">
        <v>793</v>
      </c>
      <c r="BH309" s="680"/>
      <c r="BI309" s="680">
        <v>1</v>
      </c>
      <c r="BJ309" s="680"/>
      <c r="BK309" s="680">
        <v>1</v>
      </c>
      <c r="BL309" s="680">
        <v>1.75</v>
      </c>
      <c r="BM309" s="576">
        <f t="shared" si="53"/>
        <v>3.5</v>
      </c>
      <c r="BN309" s="684"/>
      <c r="BO309" s="611">
        <v>2.9200000000000004</v>
      </c>
      <c r="BP309" s="611">
        <f t="shared" si="54"/>
        <v>0.57999999999999963</v>
      </c>
      <c r="BQ309" s="685"/>
      <c r="BR309" s="685">
        <v>1</v>
      </c>
      <c r="BS309" s="576" t="s">
        <v>778</v>
      </c>
      <c r="BT309" s="679" t="s">
        <v>1051</v>
      </c>
      <c r="BU309" s="680"/>
      <c r="DD309" s="561"/>
      <c r="DE309" s="577"/>
      <c r="DF309" s="577">
        <v>0.25</v>
      </c>
      <c r="DG309" s="577"/>
      <c r="DH309" s="577"/>
      <c r="DI309" s="577"/>
      <c r="DJ309" s="577"/>
      <c r="DK309" s="577"/>
      <c r="DL309" s="577"/>
      <c r="DM309" s="577"/>
      <c r="DN309" s="577"/>
      <c r="DO309" s="577"/>
      <c r="DP309" s="577"/>
      <c r="DQ309" s="600"/>
      <c r="DR309" s="600"/>
      <c r="DS309" s="577"/>
      <c r="DT309" s="577"/>
      <c r="DU309" s="577"/>
      <c r="DV309" s="577"/>
      <c r="DW309" s="577"/>
      <c r="DX309" s="577"/>
    </row>
    <row r="310" spans="2:128" s="560" customFormat="1">
      <c r="C310" s="560">
        <v>0.53</v>
      </c>
      <c r="P310" s="561"/>
      <c r="Q310" s="562"/>
      <c r="R310" s="562">
        <v>0.6</v>
      </c>
      <c r="S310" s="562"/>
      <c r="T310" s="562"/>
      <c r="U310" s="562"/>
      <c r="V310" s="562"/>
      <c r="W310" s="562"/>
      <c r="X310" s="562"/>
      <c r="Y310" s="562"/>
      <c r="Z310" s="562"/>
      <c r="AA310" s="562"/>
      <c r="AB310" s="562"/>
      <c r="AC310" s="562"/>
      <c r="AD310" s="563"/>
      <c r="AE310" s="561"/>
      <c r="AF310" s="568">
        <v>10</v>
      </c>
      <c r="AG310" s="562"/>
      <c r="AH310" s="577">
        <v>1.2</v>
      </c>
      <c r="AI310" s="577" t="s">
        <v>793</v>
      </c>
      <c r="AJ310" s="577"/>
      <c r="AK310" s="577">
        <v>1</v>
      </c>
      <c r="AL310" s="577"/>
      <c r="AM310" s="577">
        <v>1</v>
      </c>
      <c r="AN310" s="562">
        <v>2.2999999999999998</v>
      </c>
      <c r="AO310" s="562">
        <f t="shared" si="55"/>
        <v>4.5999999999999996</v>
      </c>
      <c r="AP310" s="598">
        <v>0.140625</v>
      </c>
      <c r="AQ310" s="599">
        <v>4.2820000000000009</v>
      </c>
      <c r="AR310" s="599">
        <f t="shared" si="56"/>
        <v>0.31799999999999873</v>
      </c>
      <c r="AS310" s="600"/>
      <c r="AT310" s="600">
        <v>1</v>
      </c>
      <c r="AU310" s="577" t="s">
        <v>778</v>
      </c>
      <c r="AV310" s="577"/>
      <c r="AW310" s="562"/>
      <c r="AX310" s="625" t="s">
        <v>814</v>
      </c>
      <c r="AY310" s="649">
        <f>MIN(AR301:AR321, AR324:AR326)</f>
        <v>0.24999999999999911</v>
      </c>
      <c r="AZ310" s="562"/>
      <c r="BA310" s="607" t="s">
        <v>807</v>
      </c>
      <c r="BB310" s="608" t="s">
        <v>808</v>
      </c>
      <c r="BD310" s="680">
        <v>24</v>
      </c>
      <c r="BF310" s="680"/>
      <c r="BG310" s="680"/>
      <c r="BH310" s="680"/>
      <c r="BI310" s="680">
        <v>1</v>
      </c>
      <c r="BJ310" s="680"/>
      <c r="BK310" s="680"/>
      <c r="BL310" s="680">
        <v>2</v>
      </c>
      <c r="BM310" s="576">
        <f t="shared" si="53"/>
        <v>4</v>
      </c>
      <c r="BN310" s="684"/>
      <c r="BO310" s="611">
        <v>2.93</v>
      </c>
      <c r="BP310" s="611">
        <f t="shared" si="54"/>
        <v>1.0699999999999998</v>
      </c>
      <c r="BQ310" s="685"/>
      <c r="BR310" s="685">
        <v>1</v>
      </c>
      <c r="BS310" s="576" t="s">
        <v>778</v>
      </c>
      <c r="BT310" s="680"/>
      <c r="BU310" s="680"/>
      <c r="DD310" s="561"/>
      <c r="DE310" s="577"/>
      <c r="DF310" s="577">
        <v>0.3</v>
      </c>
      <c r="DG310" s="577"/>
      <c r="DH310" s="577"/>
      <c r="DI310" s="577"/>
      <c r="DJ310" s="577"/>
      <c r="DK310" s="577"/>
      <c r="DL310" s="577"/>
      <c r="DM310" s="577"/>
      <c r="DN310" s="577"/>
      <c r="DO310" s="577"/>
      <c r="DP310" s="577"/>
      <c r="DQ310" s="600"/>
      <c r="DR310" s="600"/>
      <c r="DS310" s="577"/>
      <c r="DT310" s="577"/>
      <c r="DU310" s="577"/>
      <c r="DV310" s="577"/>
      <c r="DW310" s="577"/>
      <c r="DX310" s="577"/>
    </row>
    <row r="311" spans="2:128" s="560" customFormat="1">
      <c r="C311" s="560">
        <v>0.5</v>
      </c>
      <c r="P311" s="561"/>
      <c r="Q311" s="562"/>
      <c r="R311" s="562">
        <v>0.95</v>
      </c>
      <c r="S311" s="562"/>
      <c r="T311" s="562"/>
      <c r="U311" s="562"/>
      <c r="V311" s="562"/>
      <c r="W311" s="562"/>
      <c r="X311" s="562"/>
      <c r="Y311" s="562"/>
      <c r="Z311" s="562"/>
      <c r="AA311" s="562"/>
      <c r="AB311" s="562"/>
      <c r="AC311" s="562"/>
      <c r="AD311" s="563"/>
      <c r="AE311" s="561"/>
      <c r="AF311" s="568">
        <v>11</v>
      </c>
      <c r="AG311" s="562"/>
      <c r="AH311" s="577">
        <v>1.25</v>
      </c>
      <c r="AI311" s="577" t="s">
        <v>793</v>
      </c>
      <c r="AJ311" s="577"/>
      <c r="AK311" s="577">
        <v>1</v>
      </c>
      <c r="AL311" s="577"/>
      <c r="AM311" s="577">
        <v>1</v>
      </c>
      <c r="AN311" s="562">
        <v>2.2999999999999998</v>
      </c>
      <c r="AO311" s="562">
        <f t="shared" si="55"/>
        <v>4.5999999999999996</v>
      </c>
      <c r="AP311" s="598">
        <v>0.140625</v>
      </c>
      <c r="AQ311" s="599">
        <v>4.28</v>
      </c>
      <c r="AR311" s="599">
        <f t="shared" si="56"/>
        <v>0.3199999999999994</v>
      </c>
      <c r="AS311" s="600"/>
      <c r="AT311" s="600">
        <v>1</v>
      </c>
      <c r="AU311" s="577" t="s">
        <v>778</v>
      </c>
      <c r="AV311" s="577"/>
      <c r="AW311" s="562"/>
      <c r="AX311" s="625" t="s">
        <v>817</v>
      </c>
      <c r="AY311" s="649">
        <f>AVERAGE(AR301:AR321, AR324:AR326)</f>
        <v>0.41759999999999931</v>
      </c>
      <c r="AZ311" s="562"/>
      <c r="BA311" s="607" t="s">
        <v>810</v>
      </c>
      <c r="BB311" s="608" t="s">
        <v>550</v>
      </c>
      <c r="BD311" s="680">
        <v>25</v>
      </c>
      <c r="BF311" s="680">
        <v>1</v>
      </c>
      <c r="BG311" s="680" t="s">
        <v>778</v>
      </c>
      <c r="BH311" s="680">
        <v>1</v>
      </c>
      <c r="BI311" s="680"/>
      <c r="BJ311" s="680"/>
      <c r="BK311" s="680"/>
      <c r="BL311" s="680">
        <v>1.8</v>
      </c>
      <c r="BM311" s="576">
        <f t="shared" si="53"/>
        <v>3.6</v>
      </c>
      <c r="BN311" s="684"/>
      <c r="BO311" s="611">
        <v>2.9400000000000004</v>
      </c>
      <c r="BP311" s="611">
        <f t="shared" si="54"/>
        <v>0.6599999999999997</v>
      </c>
      <c r="BQ311" s="685"/>
      <c r="BR311" s="685">
        <v>1</v>
      </c>
      <c r="BS311" s="576" t="s">
        <v>778</v>
      </c>
      <c r="BT311" s="679" t="s">
        <v>1052</v>
      </c>
      <c r="BU311" s="680"/>
      <c r="DD311" s="561"/>
      <c r="DE311" s="577" t="s">
        <v>859</v>
      </c>
      <c r="DF311" s="577">
        <v>0.33</v>
      </c>
      <c r="DG311" s="577"/>
      <c r="DH311" s="577"/>
      <c r="DI311" s="577"/>
      <c r="DJ311" s="577"/>
      <c r="DK311" s="577"/>
      <c r="DL311" s="577"/>
      <c r="DM311" s="577"/>
      <c r="DN311" s="577"/>
      <c r="DO311" s="577"/>
      <c r="DP311" s="577"/>
      <c r="DQ311" s="600"/>
      <c r="DR311" s="600"/>
      <c r="DS311" s="577"/>
      <c r="DT311" s="577"/>
      <c r="DU311" s="577"/>
      <c r="DV311" s="577"/>
      <c r="DW311" s="577"/>
      <c r="DX311" s="577"/>
    </row>
    <row r="312" spans="2:128" s="560" customFormat="1">
      <c r="C312" s="560">
        <v>0.45</v>
      </c>
      <c r="P312" s="561"/>
      <c r="Q312" s="562"/>
      <c r="R312" s="562">
        <v>0.5</v>
      </c>
      <c r="S312" s="562"/>
      <c r="T312" s="562"/>
      <c r="U312" s="562"/>
      <c r="V312" s="562"/>
      <c r="W312" s="562"/>
      <c r="X312" s="562"/>
      <c r="Y312" s="562"/>
      <c r="Z312" s="562"/>
      <c r="AA312" s="562"/>
      <c r="AB312" s="562"/>
      <c r="AC312" s="562"/>
      <c r="AD312" s="563"/>
      <c r="AE312" s="561"/>
      <c r="AF312" s="562" t="s">
        <v>778</v>
      </c>
      <c r="AG312" s="562"/>
      <c r="AH312" s="577">
        <v>2.25</v>
      </c>
      <c r="AI312" s="577" t="s">
        <v>793</v>
      </c>
      <c r="AJ312" s="577"/>
      <c r="AK312" s="577"/>
      <c r="AL312" s="577"/>
      <c r="AM312" s="577">
        <v>1</v>
      </c>
      <c r="AN312" s="562"/>
      <c r="AO312" s="562"/>
      <c r="AP312" s="598"/>
      <c r="AQ312" s="599"/>
      <c r="AR312" s="599"/>
      <c r="AS312" s="600"/>
      <c r="AT312" s="600"/>
      <c r="AU312" s="577" t="s">
        <v>778</v>
      </c>
      <c r="AV312" s="577"/>
      <c r="AW312" s="562"/>
      <c r="AX312" s="625" t="s">
        <v>818</v>
      </c>
      <c r="AY312" s="625">
        <f>STDEV(AR301:AR321,AR324:AR326)</f>
        <v>0.11456756223202715</v>
      </c>
      <c r="AZ312" s="562"/>
      <c r="BA312" s="607" t="s">
        <v>813</v>
      </c>
      <c r="BB312" s="608" t="s">
        <v>552</v>
      </c>
      <c r="BD312" s="680">
        <v>26</v>
      </c>
      <c r="BF312" s="680">
        <v>0.5</v>
      </c>
      <c r="BG312" s="680" t="s">
        <v>778</v>
      </c>
      <c r="BH312" s="680">
        <v>1</v>
      </c>
      <c r="BI312" s="680"/>
      <c r="BJ312" s="680"/>
      <c r="BK312" s="680"/>
      <c r="BL312" s="680">
        <v>2.1</v>
      </c>
      <c r="BM312" s="576">
        <f t="shared" si="53"/>
        <v>4.2</v>
      </c>
      <c r="BN312" s="684"/>
      <c r="BO312" s="611">
        <v>2.95</v>
      </c>
      <c r="BP312" s="611">
        <f t="shared" si="54"/>
        <v>1.25</v>
      </c>
      <c r="BQ312" s="685"/>
      <c r="BR312" s="685">
        <v>1</v>
      </c>
      <c r="BS312" s="576" t="s">
        <v>778</v>
      </c>
      <c r="BT312" s="679" t="s">
        <v>1053</v>
      </c>
      <c r="BU312" s="680" t="s">
        <v>889</v>
      </c>
      <c r="DD312" s="561"/>
      <c r="DE312" s="577"/>
      <c r="DF312" s="577">
        <v>0.3</v>
      </c>
      <c r="DG312" s="577"/>
      <c r="DH312" s="577"/>
      <c r="DI312" s="577"/>
      <c r="DJ312" s="577"/>
      <c r="DK312" s="577"/>
      <c r="DL312" s="577"/>
      <c r="DM312" s="577"/>
      <c r="DN312" s="577"/>
      <c r="DO312" s="577"/>
      <c r="DP312" s="577"/>
      <c r="DQ312" s="600"/>
      <c r="DR312" s="600"/>
      <c r="DS312" s="577"/>
      <c r="DT312" s="577"/>
      <c r="DU312" s="577"/>
      <c r="DV312" s="577"/>
      <c r="DW312" s="577"/>
      <c r="DX312" s="577"/>
    </row>
    <row r="313" spans="2:128" s="560" customFormat="1">
      <c r="C313" s="560">
        <v>0.5</v>
      </c>
      <c r="P313" s="561"/>
      <c r="Q313" s="562"/>
      <c r="R313" s="562">
        <v>0.7</v>
      </c>
      <c r="S313" s="562"/>
      <c r="T313" s="562"/>
      <c r="U313" s="562"/>
      <c r="V313" s="562"/>
      <c r="W313" s="562"/>
      <c r="X313" s="562"/>
      <c r="Y313" s="562"/>
      <c r="Z313" s="562"/>
      <c r="AA313" s="562"/>
      <c r="AB313" s="562"/>
      <c r="AC313" s="562"/>
      <c r="AD313" s="563"/>
      <c r="AE313" s="561"/>
      <c r="AF313" s="568">
        <v>12</v>
      </c>
      <c r="AG313" s="562"/>
      <c r="AH313" s="577">
        <v>2.2000000000000002</v>
      </c>
      <c r="AI313" s="577" t="s">
        <v>793</v>
      </c>
      <c r="AJ313" s="577"/>
      <c r="AK313" s="577">
        <v>1</v>
      </c>
      <c r="AL313" s="577"/>
      <c r="AM313" s="577">
        <v>1</v>
      </c>
      <c r="AN313" s="562">
        <v>2.2999999999999998</v>
      </c>
      <c r="AO313" s="562">
        <f>AN313+AN313</f>
        <v>4.5999999999999996</v>
      </c>
      <c r="AP313" s="598">
        <v>0.140625</v>
      </c>
      <c r="AQ313" s="599">
        <v>4.2760000000000007</v>
      </c>
      <c r="AR313" s="599">
        <f>AO313-AQ313</f>
        <v>0.32399999999999896</v>
      </c>
      <c r="AS313" s="600"/>
      <c r="AT313" s="600">
        <v>1</v>
      </c>
      <c r="AU313" s="577" t="s">
        <v>778</v>
      </c>
      <c r="AV313" s="577"/>
      <c r="AW313" s="562"/>
      <c r="AX313" s="562"/>
      <c r="AY313" s="562"/>
      <c r="AZ313" s="562"/>
      <c r="BA313" s="607" t="s">
        <v>815</v>
      </c>
      <c r="BB313" s="608" t="s">
        <v>816</v>
      </c>
      <c r="BD313" s="680">
        <v>27</v>
      </c>
      <c r="BF313" s="680"/>
      <c r="BG313" s="680"/>
      <c r="BH313" s="680"/>
      <c r="BI313" s="680">
        <v>1</v>
      </c>
      <c r="BJ313" s="680"/>
      <c r="BK313" s="680"/>
      <c r="BL313" s="680">
        <v>2.2999999999999998</v>
      </c>
      <c r="BM313" s="576">
        <f t="shared" si="53"/>
        <v>4.5999999999999996</v>
      </c>
      <c r="BN313" s="684"/>
      <c r="BO313" s="611">
        <v>2.96</v>
      </c>
      <c r="BP313" s="611">
        <f t="shared" si="54"/>
        <v>1.6399999999999997</v>
      </c>
      <c r="BQ313" s="685"/>
      <c r="BR313" s="685">
        <v>1</v>
      </c>
      <c r="BS313" s="576" t="s">
        <v>778</v>
      </c>
      <c r="BT313" s="680"/>
      <c r="BU313" s="680"/>
      <c r="DD313" s="561"/>
      <c r="DE313" s="577"/>
      <c r="DF313" s="577">
        <v>0.26</v>
      </c>
      <c r="DG313" s="577"/>
      <c r="DH313" s="577"/>
      <c r="DI313" s="577"/>
      <c r="DJ313" s="577"/>
      <c r="DK313" s="577"/>
      <c r="DL313" s="577"/>
      <c r="DM313" s="577"/>
      <c r="DN313" s="577"/>
      <c r="DO313" s="577"/>
      <c r="DP313" s="577"/>
      <c r="DQ313" s="600"/>
      <c r="DR313" s="600"/>
      <c r="DS313" s="577"/>
      <c r="DT313" s="577"/>
      <c r="DU313" s="577"/>
      <c r="DV313" s="577"/>
      <c r="DW313" s="577"/>
      <c r="DX313" s="577"/>
    </row>
    <row r="314" spans="2:128" s="560" customFormat="1">
      <c r="C314" s="560">
        <v>0.5</v>
      </c>
      <c r="P314" s="561"/>
      <c r="Q314" s="562"/>
      <c r="R314" s="562">
        <v>0.85</v>
      </c>
      <c r="S314" s="562"/>
      <c r="T314" s="562"/>
      <c r="U314" s="562"/>
      <c r="V314" s="562"/>
      <c r="W314" s="562"/>
      <c r="X314" s="562"/>
      <c r="Y314" s="562"/>
      <c r="Z314" s="562"/>
      <c r="AA314" s="562"/>
      <c r="AB314" s="562"/>
      <c r="AC314" s="562"/>
      <c r="AD314" s="563"/>
      <c r="AE314" s="561"/>
      <c r="AF314" s="562" t="s">
        <v>778</v>
      </c>
      <c r="AG314" s="562"/>
      <c r="AH314" s="577">
        <v>0.5</v>
      </c>
      <c r="AI314" s="577" t="s">
        <v>793</v>
      </c>
      <c r="AJ314" s="577"/>
      <c r="AK314" s="577"/>
      <c r="AL314" s="577"/>
      <c r="AM314" s="577">
        <v>1</v>
      </c>
      <c r="AN314" s="562"/>
      <c r="AO314" s="562"/>
      <c r="AP314" s="598"/>
      <c r="AQ314" s="599"/>
      <c r="AR314" s="599"/>
      <c r="AS314" s="600"/>
      <c r="AT314" s="600"/>
      <c r="AU314" s="577" t="s">
        <v>778</v>
      </c>
      <c r="AV314" s="577"/>
      <c r="AW314" s="562"/>
      <c r="AX314" s="562"/>
      <c r="AY314" s="562"/>
      <c r="AZ314" s="562"/>
      <c r="BA314" s="562"/>
      <c r="BB314" s="563"/>
      <c r="BD314" s="680">
        <v>28</v>
      </c>
      <c r="BF314" s="680">
        <v>0.2</v>
      </c>
      <c r="BG314" s="680" t="s">
        <v>778</v>
      </c>
      <c r="BH314" s="680">
        <v>1</v>
      </c>
      <c r="BI314" s="680"/>
      <c r="BJ314" s="680"/>
      <c r="BK314" s="680"/>
      <c r="BL314" s="680">
        <v>2</v>
      </c>
      <c r="BM314" s="576">
        <f t="shared" si="53"/>
        <v>4</v>
      </c>
      <c r="BN314" s="684"/>
      <c r="BO314" s="611">
        <v>2.97</v>
      </c>
      <c r="BP314" s="611">
        <f t="shared" si="54"/>
        <v>1.0299999999999998</v>
      </c>
      <c r="BQ314" s="685"/>
      <c r="BR314" s="685">
        <v>1</v>
      </c>
      <c r="BS314" s="576" t="s">
        <v>778</v>
      </c>
      <c r="BT314" s="679" t="s">
        <v>1054</v>
      </c>
      <c r="BU314" s="680"/>
      <c r="DD314" s="561"/>
      <c r="DE314" s="577"/>
      <c r="DF314" s="577">
        <v>0.25</v>
      </c>
      <c r="DG314" s="577"/>
      <c r="DH314" s="577"/>
      <c r="DI314" s="577"/>
      <c r="DJ314" s="577"/>
      <c r="DK314" s="577"/>
      <c r="DL314" s="577"/>
      <c r="DM314" s="577"/>
      <c r="DN314" s="577"/>
      <c r="DO314" s="577"/>
      <c r="DP314" s="577"/>
      <c r="DQ314" s="600"/>
      <c r="DR314" s="600"/>
      <c r="DS314" s="577"/>
      <c r="DT314" s="577"/>
      <c r="DU314" s="577"/>
      <c r="DV314" s="577"/>
      <c r="DW314" s="577"/>
      <c r="DX314" s="577"/>
    </row>
    <row r="315" spans="2:128" s="560" customFormat="1">
      <c r="C315" s="560">
        <v>0.5</v>
      </c>
      <c r="P315" s="561"/>
      <c r="Q315" s="562"/>
      <c r="R315" s="562">
        <v>0.5</v>
      </c>
      <c r="S315" s="562"/>
      <c r="T315" s="562"/>
      <c r="U315" s="562"/>
      <c r="V315" s="562"/>
      <c r="W315" s="562"/>
      <c r="X315" s="562"/>
      <c r="Y315" s="562"/>
      <c r="Z315" s="562"/>
      <c r="AA315" s="562"/>
      <c r="AB315" s="562"/>
      <c r="AC315" s="562"/>
      <c r="AD315" s="563"/>
      <c r="AE315" s="561"/>
      <c r="AF315" s="568">
        <v>13</v>
      </c>
      <c r="AG315" s="562"/>
      <c r="AH315" s="577">
        <v>1</v>
      </c>
      <c r="AI315" s="577" t="s">
        <v>793</v>
      </c>
      <c r="AJ315" s="577"/>
      <c r="AK315" s="577">
        <v>1</v>
      </c>
      <c r="AL315" s="577"/>
      <c r="AM315" s="577">
        <v>1</v>
      </c>
      <c r="AN315" s="562">
        <v>2.4</v>
      </c>
      <c r="AO315" s="562">
        <f>AN315+AN315</f>
        <v>4.8</v>
      </c>
      <c r="AP315" s="598">
        <v>0.140625</v>
      </c>
      <c r="AQ315" s="599">
        <v>4.2720000000000002</v>
      </c>
      <c r="AR315" s="599">
        <f>AO315-AQ315</f>
        <v>0.52799999999999958</v>
      </c>
      <c r="AS315" s="600"/>
      <c r="AT315" s="600">
        <v>1</v>
      </c>
      <c r="AU315" s="577" t="s">
        <v>778</v>
      </c>
      <c r="AV315" s="577"/>
      <c r="AW315" s="562"/>
      <c r="AX315" s="562"/>
      <c r="AY315" s="562"/>
      <c r="AZ315" s="562"/>
      <c r="BA315" s="562"/>
      <c r="BB315" s="563"/>
      <c r="BD315" s="680">
        <v>29</v>
      </c>
      <c r="BF315" s="680">
        <v>0.5</v>
      </c>
      <c r="BG315" s="680" t="s">
        <v>778</v>
      </c>
      <c r="BH315" s="680">
        <v>1</v>
      </c>
      <c r="BI315" s="680"/>
      <c r="BJ315" s="680"/>
      <c r="BK315" s="680"/>
      <c r="BL315" s="680">
        <v>1.8</v>
      </c>
      <c r="BM315" s="576">
        <f t="shared" si="53"/>
        <v>3.6</v>
      </c>
      <c r="BN315" s="684"/>
      <c r="BO315" s="611">
        <v>2.9800000000000004</v>
      </c>
      <c r="BP315" s="611">
        <f t="shared" si="54"/>
        <v>0.61999999999999966</v>
      </c>
      <c r="BQ315" s="685"/>
      <c r="BR315" s="685">
        <v>1</v>
      </c>
      <c r="BS315" s="576" t="s">
        <v>778</v>
      </c>
      <c r="BT315" s="679" t="s">
        <v>1055</v>
      </c>
      <c r="BU315" s="680"/>
      <c r="DD315" s="561"/>
      <c r="DE315" s="577" t="s">
        <v>859</v>
      </c>
      <c r="DF315" s="577">
        <v>0.17</v>
      </c>
      <c r="DG315" s="577"/>
      <c r="DH315" s="577"/>
      <c r="DI315" s="577"/>
      <c r="DJ315" s="577"/>
      <c r="DK315" s="577"/>
      <c r="DL315" s="577"/>
      <c r="DM315" s="577"/>
      <c r="DN315" s="577"/>
      <c r="DO315" s="577"/>
      <c r="DP315" s="577"/>
      <c r="DQ315" s="600"/>
      <c r="DR315" s="600"/>
      <c r="DS315" s="577"/>
      <c r="DT315" s="577"/>
      <c r="DU315" s="577"/>
      <c r="DV315" s="577"/>
      <c r="DW315" s="577"/>
      <c r="DX315" s="577"/>
    </row>
    <row r="316" spans="2:128" s="560" customFormat="1">
      <c r="C316" s="560">
        <v>0.47</v>
      </c>
      <c r="P316" s="561"/>
      <c r="Q316" s="562"/>
      <c r="R316" s="562">
        <v>0.6</v>
      </c>
      <c r="S316" s="562"/>
      <c r="T316" s="562"/>
      <c r="U316" s="562"/>
      <c r="V316" s="562"/>
      <c r="W316" s="562"/>
      <c r="X316" s="562"/>
      <c r="Y316" s="562"/>
      <c r="Z316" s="562"/>
      <c r="AA316" s="562"/>
      <c r="AB316" s="562"/>
      <c r="AC316" s="562"/>
      <c r="AD316" s="563"/>
      <c r="AE316" s="561"/>
      <c r="AF316" s="562" t="s">
        <v>778</v>
      </c>
      <c r="AG316" s="562"/>
      <c r="AH316" s="577">
        <v>0.2</v>
      </c>
      <c r="AI316" s="577" t="s">
        <v>793</v>
      </c>
      <c r="AJ316" s="577"/>
      <c r="AK316" s="577"/>
      <c r="AL316" s="577"/>
      <c r="AM316" s="577">
        <v>1</v>
      </c>
      <c r="AN316" s="562"/>
      <c r="AO316" s="562"/>
      <c r="AP316" s="598"/>
      <c r="AQ316" s="599"/>
      <c r="AR316" s="599"/>
      <c r="AS316" s="600"/>
      <c r="AT316" s="600"/>
      <c r="AU316" s="577" t="s">
        <v>778</v>
      </c>
      <c r="AV316" s="577"/>
      <c r="AW316" s="562"/>
      <c r="AX316" s="562"/>
      <c r="AY316" s="562"/>
      <c r="AZ316" s="562"/>
      <c r="BA316" s="562"/>
      <c r="BB316" s="563"/>
      <c r="BD316" s="680">
        <v>30</v>
      </c>
      <c r="BF316" s="680"/>
      <c r="BG316" s="680"/>
      <c r="BH316" s="680"/>
      <c r="BI316" s="680">
        <v>1</v>
      </c>
      <c r="BJ316" s="680"/>
      <c r="BK316" s="680"/>
      <c r="BL316" s="680">
        <v>2.5</v>
      </c>
      <c r="BM316" s="576">
        <f t="shared" si="53"/>
        <v>5</v>
      </c>
      <c r="BN316" s="686">
        <v>0.234375</v>
      </c>
      <c r="BO316" s="611">
        <v>3</v>
      </c>
      <c r="BP316" s="611">
        <f t="shared" si="54"/>
        <v>2</v>
      </c>
      <c r="BQ316" s="685">
        <v>1</v>
      </c>
      <c r="BR316" s="685"/>
      <c r="BS316" s="576" t="s">
        <v>778</v>
      </c>
      <c r="BT316" s="680"/>
      <c r="BU316" s="680"/>
      <c r="DD316" s="561"/>
      <c r="DE316" s="577"/>
      <c r="DF316" s="577">
        <v>0.15</v>
      </c>
      <c r="DG316" s="577"/>
      <c r="DH316" s="577"/>
      <c r="DI316" s="577"/>
      <c r="DJ316" s="577"/>
      <c r="DK316" s="577"/>
      <c r="DL316" s="577"/>
      <c r="DM316" s="577"/>
      <c r="DN316" s="577"/>
      <c r="DO316" s="577"/>
      <c r="DP316" s="577"/>
      <c r="DQ316" s="600"/>
      <c r="DR316" s="600"/>
      <c r="DS316" s="577"/>
      <c r="DT316" s="577"/>
      <c r="DU316" s="577"/>
      <c r="DV316" s="577"/>
      <c r="DW316" s="577"/>
      <c r="DX316" s="577"/>
    </row>
    <row r="317" spans="2:128" s="560" customFormat="1">
      <c r="C317" s="560">
        <v>0.5</v>
      </c>
      <c r="P317" s="561"/>
      <c r="Q317" s="562"/>
      <c r="R317" s="562">
        <v>0.75</v>
      </c>
      <c r="S317" s="562"/>
      <c r="T317" s="562"/>
      <c r="U317" s="562"/>
      <c r="V317" s="562"/>
      <c r="W317" s="562"/>
      <c r="X317" s="562"/>
      <c r="Y317" s="562"/>
      <c r="Z317" s="562"/>
      <c r="AA317" s="562"/>
      <c r="AB317" s="562"/>
      <c r="AC317" s="562"/>
      <c r="AD317" s="563"/>
      <c r="AE317" s="561"/>
      <c r="AF317" s="568">
        <v>14</v>
      </c>
      <c r="AG317" s="562"/>
      <c r="AH317" s="577">
        <v>0.9</v>
      </c>
      <c r="AI317" s="577" t="s">
        <v>793</v>
      </c>
      <c r="AJ317" s="577"/>
      <c r="AK317" s="577">
        <v>1</v>
      </c>
      <c r="AL317" s="577"/>
      <c r="AM317" s="577">
        <v>1</v>
      </c>
      <c r="AN317" s="562">
        <v>2.4</v>
      </c>
      <c r="AO317" s="562">
        <f>AN317+AN317</f>
        <v>4.8</v>
      </c>
      <c r="AP317" s="598">
        <v>0.140625</v>
      </c>
      <c r="AQ317" s="599">
        <v>4.2680000000000007</v>
      </c>
      <c r="AR317" s="599">
        <f>AO317-AQ317</f>
        <v>0.53199999999999914</v>
      </c>
      <c r="AS317" s="600"/>
      <c r="AT317" s="600">
        <v>1</v>
      </c>
      <c r="AU317" s="577" t="s">
        <v>778</v>
      </c>
      <c r="AV317" s="577"/>
      <c r="AW317" s="562"/>
      <c r="AX317" s="562"/>
      <c r="AY317" s="562"/>
      <c r="AZ317" s="562"/>
      <c r="BA317" s="562"/>
      <c r="BB317" s="563"/>
      <c r="BD317" s="680">
        <v>31</v>
      </c>
      <c r="BF317" s="680"/>
      <c r="BG317" s="680"/>
      <c r="BH317" s="680"/>
      <c r="BI317" s="680">
        <v>1</v>
      </c>
      <c r="BJ317" s="680"/>
      <c r="BK317" s="680"/>
      <c r="BL317" s="680">
        <v>2.25</v>
      </c>
      <c r="BM317" s="576">
        <f t="shared" si="53"/>
        <v>4.5</v>
      </c>
      <c r="BN317" s="684"/>
      <c r="BO317" s="611">
        <v>3</v>
      </c>
      <c r="BP317" s="611">
        <f t="shared" si="54"/>
        <v>1.5</v>
      </c>
      <c r="BQ317" s="685"/>
      <c r="BR317" s="685">
        <v>1</v>
      </c>
      <c r="BS317" s="576" t="s">
        <v>778</v>
      </c>
      <c r="BT317" s="680"/>
      <c r="BU317" s="680"/>
      <c r="DD317" s="561"/>
      <c r="DE317" s="577"/>
      <c r="DF317" s="577">
        <v>0.11</v>
      </c>
      <c r="DG317" s="577"/>
      <c r="DH317" s="577"/>
      <c r="DI317" s="577"/>
      <c r="DJ317" s="577"/>
      <c r="DK317" s="577"/>
      <c r="DL317" s="577"/>
      <c r="DM317" s="577"/>
      <c r="DN317" s="577"/>
      <c r="DO317" s="577"/>
      <c r="DP317" s="577"/>
      <c r="DQ317" s="600"/>
      <c r="DR317" s="600"/>
      <c r="DS317" s="577"/>
      <c r="DT317" s="577"/>
      <c r="DU317" s="577"/>
      <c r="DV317" s="577"/>
      <c r="DW317" s="577"/>
      <c r="DX317" s="577"/>
    </row>
    <row r="318" spans="2:128" s="560" customFormat="1">
      <c r="C318" s="560">
        <v>0.45</v>
      </c>
      <c r="P318" s="561"/>
      <c r="Q318" s="562"/>
      <c r="R318" s="562">
        <v>0.5</v>
      </c>
      <c r="S318" s="562"/>
      <c r="T318" s="562"/>
      <c r="U318" s="562"/>
      <c r="V318" s="562"/>
      <c r="W318" s="562"/>
      <c r="X318" s="562"/>
      <c r="Y318" s="562"/>
      <c r="Z318" s="562"/>
      <c r="AA318" s="562"/>
      <c r="AB318" s="562"/>
      <c r="AC318" s="562"/>
      <c r="AD318" s="563"/>
      <c r="AE318" s="561"/>
      <c r="AF318" s="562" t="s">
        <v>778</v>
      </c>
      <c r="AG318" s="562"/>
      <c r="AH318" s="577">
        <v>1.8</v>
      </c>
      <c r="AI318" s="577"/>
      <c r="AJ318" s="577"/>
      <c r="AK318" s="577"/>
      <c r="AL318" s="577"/>
      <c r="AM318" s="577"/>
      <c r="AN318" s="562"/>
      <c r="AO318" s="562"/>
      <c r="AP318" s="598"/>
      <c r="AQ318" s="599"/>
      <c r="AR318" s="599"/>
      <c r="AS318" s="600"/>
      <c r="AT318" s="600"/>
      <c r="AU318" s="577" t="s">
        <v>778</v>
      </c>
      <c r="AV318" s="577"/>
      <c r="AW318" s="562"/>
      <c r="AX318" s="562"/>
      <c r="AY318" s="562"/>
      <c r="AZ318" s="562"/>
      <c r="BA318" s="562"/>
      <c r="BB318" s="563"/>
      <c r="BD318" s="680">
        <v>32</v>
      </c>
      <c r="BF318" s="680"/>
      <c r="BG318" s="680"/>
      <c r="BH318" s="680"/>
      <c r="BI318" s="680">
        <v>1</v>
      </c>
      <c r="BJ318" s="680"/>
      <c r="BK318" s="680"/>
      <c r="BL318" s="680">
        <v>4</v>
      </c>
      <c r="BM318" s="576">
        <f t="shared" si="53"/>
        <v>8</v>
      </c>
      <c r="BN318" s="684" t="s">
        <v>1056</v>
      </c>
      <c r="BO318" s="611">
        <v>3</v>
      </c>
      <c r="BP318" s="611">
        <f t="shared" si="54"/>
        <v>5</v>
      </c>
      <c r="BQ318" s="685">
        <v>1</v>
      </c>
      <c r="BR318" s="685"/>
      <c r="BS318" s="576" t="s">
        <v>778</v>
      </c>
      <c r="BT318" s="680"/>
      <c r="BU318" s="680"/>
      <c r="DD318" s="561"/>
      <c r="DE318" s="577"/>
      <c r="DF318" s="577">
        <v>0.15</v>
      </c>
      <c r="DG318" s="577"/>
      <c r="DH318" s="577"/>
      <c r="DI318" s="577"/>
      <c r="DJ318" s="577"/>
      <c r="DK318" s="577"/>
      <c r="DL318" s="577"/>
      <c r="DM318" s="577"/>
      <c r="DN318" s="577"/>
      <c r="DO318" s="577"/>
      <c r="DP318" s="577"/>
      <c r="DQ318" s="600"/>
      <c r="DR318" s="600"/>
      <c r="DS318" s="577"/>
      <c r="DT318" s="577"/>
      <c r="DU318" s="577"/>
      <c r="DV318" s="577"/>
      <c r="DW318" s="577"/>
      <c r="DX318" s="577"/>
    </row>
    <row r="319" spans="2:128" s="560" customFormat="1">
      <c r="C319" s="560">
        <v>0.46</v>
      </c>
      <c r="P319" s="561"/>
      <c r="Q319" s="562"/>
      <c r="R319" s="562">
        <v>0.53</v>
      </c>
      <c r="S319" s="562"/>
      <c r="T319" s="562"/>
      <c r="U319" s="562"/>
      <c r="V319" s="562"/>
      <c r="W319" s="562"/>
      <c r="X319" s="562"/>
      <c r="Y319" s="562"/>
      <c r="Z319" s="562"/>
      <c r="AA319" s="562"/>
      <c r="AB319" s="562"/>
      <c r="AC319" s="562"/>
      <c r="AD319" s="563"/>
      <c r="AE319" s="561"/>
      <c r="AF319" s="568">
        <v>15</v>
      </c>
      <c r="AG319" s="562"/>
      <c r="AH319" s="577">
        <v>0.1</v>
      </c>
      <c r="AI319" s="577" t="s">
        <v>793</v>
      </c>
      <c r="AJ319" s="577"/>
      <c r="AK319" s="577">
        <v>1</v>
      </c>
      <c r="AL319" s="577"/>
      <c r="AM319" s="577">
        <v>1</v>
      </c>
      <c r="AN319" s="562">
        <v>2.4</v>
      </c>
      <c r="AO319" s="562">
        <f>AN319+AN319</f>
        <v>4.8</v>
      </c>
      <c r="AP319" s="598">
        <v>0.140625</v>
      </c>
      <c r="AQ319" s="599">
        <v>4.2640000000000002</v>
      </c>
      <c r="AR319" s="599">
        <f>AO319-AQ319</f>
        <v>0.53599999999999959</v>
      </c>
      <c r="AS319" s="600"/>
      <c r="AT319" s="600">
        <v>1</v>
      </c>
      <c r="AU319" s="577" t="s">
        <v>778</v>
      </c>
      <c r="AV319" s="577"/>
      <c r="AW319" s="562"/>
      <c r="AX319" s="562"/>
      <c r="AY319" s="562"/>
      <c r="AZ319" s="562"/>
      <c r="BA319" s="562"/>
      <c r="BB319" s="563"/>
      <c r="BH319" s="640">
        <f>SUM(BH286:BH318)</f>
        <v>10</v>
      </c>
      <c r="BI319" s="640">
        <f>SUM(BI286:BI318)</f>
        <v>22</v>
      </c>
      <c r="BJ319" s="641"/>
      <c r="BK319" s="642">
        <f>SUM(BK286:BK318)</f>
        <v>1</v>
      </c>
      <c r="BM319" s="676">
        <f>SUM(BM287:BM318)</f>
        <v>134.29999999999998</v>
      </c>
      <c r="BO319" s="660">
        <f>SUM(BO287:BO318)</f>
        <v>90.750000000000014</v>
      </c>
      <c r="BP319" s="660">
        <f>SUM(BP287:BP318)</f>
        <v>43.54999999999999</v>
      </c>
      <c r="BQ319" s="645">
        <f>SUM(BQ286:BQ318)</f>
        <v>4</v>
      </c>
      <c r="BR319" s="645">
        <f>SUM(BR286:BR318)</f>
        <v>28</v>
      </c>
      <c r="DD319" s="561"/>
      <c r="DE319" s="562"/>
      <c r="DF319" s="577" t="s">
        <v>1028</v>
      </c>
      <c r="DG319" s="577"/>
      <c r="DH319" s="577"/>
      <c r="DI319" s="577"/>
      <c r="DJ319" s="577"/>
      <c r="DK319" s="577"/>
      <c r="DL319" s="577"/>
      <c r="DM319" s="577"/>
      <c r="DN319" s="577"/>
      <c r="DO319" s="577"/>
      <c r="DP319" s="577"/>
      <c r="DQ319" s="600"/>
      <c r="DR319" s="600"/>
      <c r="DS319" s="577"/>
      <c r="DT319" s="577"/>
      <c r="DU319" s="577"/>
      <c r="DV319" s="577"/>
      <c r="DW319" s="577"/>
      <c r="DX319" s="577"/>
    </row>
    <row r="320" spans="2:128" s="560" customFormat="1">
      <c r="C320" s="560">
        <v>0.55000000000000004</v>
      </c>
      <c r="P320" s="561"/>
      <c r="Q320" s="562"/>
      <c r="R320" s="562">
        <v>0.57999999999999996</v>
      </c>
      <c r="S320" s="562"/>
      <c r="T320" s="562"/>
      <c r="U320" s="562"/>
      <c r="V320" s="562"/>
      <c r="W320" s="562"/>
      <c r="X320" s="562"/>
      <c r="Y320" s="562"/>
      <c r="Z320" s="562"/>
      <c r="AA320" s="562"/>
      <c r="AB320" s="562"/>
      <c r="AC320" s="562"/>
      <c r="AD320" s="563"/>
      <c r="AE320" s="561"/>
      <c r="AF320" s="568">
        <v>16</v>
      </c>
      <c r="AG320" s="562"/>
      <c r="AH320" s="577">
        <v>0.6</v>
      </c>
      <c r="AI320" s="577" t="s">
        <v>793</v>
      </c>
      <c r="AJ320" s="577"/>
      <c r="AK320" s="577">
        <v>1</v>
      </c>
      <c r="AL320" s="577"/>
      <c r="AM320" s="577">
        <v>1</v>
      </c>
      <c r="AN320" s="562">
        <v>2.2999999999999998</v>
      </c>
      <c r="AO320" s="562">
        <f>AN320+AN320</f>
        <v>4.5999999999999996</v>
      </c>
      <c r="AP320" s="598">
        <v>0.140625</v>
      </c>
      <c r="AQ320" s="599">
        <v>4.2620000000000005</v>
      </c>
      <c r="AR320" s="599">
        <f>AO320-AQ320</f>
        <v>0.33799999999999919</v>
      </c>
      <c r="AS320" s="600"/>
      <c r="AT320" s="600">
        <v>1</v>
      </c>
      <c r="AU320" s="577" t="s">
        <v>778</v>
      </c>
      <c r="AV320" s="577"/>
      <c r="AW320" s="562"/>
      <c r="AX320" s="562"/>
      <c r="AY320" s="562"/>
      <c r="AZ320" s="562"/>
      <c r="BA320" s="562"/>
      <c r="BB320" s="563"/>
      <c r="BC320" s="682">
        <v>41114</v>
      </c>
      <c r="BD320" s="565" t="s">
        <v>725</v>
      </c>
      <c r="BE320" s="565"/>
      <c r="BF320" s="565" t="s">
        <v>726</v>
      </c>
      <c r="BG320" s="566" t="s">
        <v>727</v>
      </c>
      <c r="BH320" s="566"/>
      <c r="BI320" s="566"/>
      <c r="BJ320" s="566"/>
      <c r="BK320" s="566"/>
      <c r="BL320" s="566" t="s">
        <v>728</v>
      </c>
      <c r="BN320" s="566" t="s">
        <v>729</v>
      </c>
      <c r="BO320" s="603"/>
      <c r="BP320" s="646">
        <f>+BP319/BO319</f>
        <v>0.47988980716253427</v>
      </c>
      <c r="BQ320" s="604"/>
      <c r="BR320" s="604"/>
      <c r="BS320" s="566" t="s">
        <v>730</v>
      </c>
      <c r="BT320" s="566" t="s">
        <v>731</v>
      </c>
      <c r="DD320" s="561"/>
      <c r="DE320" s="562"/>
      <c r="DF320" s="577"/>
      <c r="DG320" s="577"/>
      <c r="DH320" s="577"/>
      <c r="DI320" s="577"/>
      <c r="DJ320" s="577"/>
      <c r="DK320" s="577"/>
      <c r="DL320" s="577"/>
      <c r="DM320" s="577"/>
      <c r="DN320" s="577"/>
      <c r="DO320" s="577"/>
      <c r="DP320" s="577"/>
      <c r="DQ320" s="600"/>
      <c r="DR320" s="600"/>
      <c r="DS320" s="577"/>
      <c r="DT320" s="577"/>
      <c r="DU320" s="577"/>
      <c r="DV320" s="577"/>
      <c r="DW320" s="577"/>
      <c r="DX320" s="577"/>
    </row>
    <row r="321" spans="2:128" s="560" customFormat="1">
      <c r="C321" s="560">
        <v>0.5</v>
      </c>
      <c r="P321" s="561"/>
      <c r="Q321" s="562"/>
      <c r="R321" s="562">
        <v>0.55000000000000004</v>
      </c>
      <c r="S321" s="562"/>
      <c r="T321" s="562"/>
      <c r="U321" s="562"/>
      <c r="V321" s="562"/>
      <c r="W321" s="562"/>
      <c r="X321" s="562"/>
      <c r="Y321" s="562"/>
      <c r="Z321" s="562"/>
      <c r="AA321" s="562"/>
      <c r="AB321" s="562"/>
      <c r="AC321" s="562"/>
      <c r="AD321" s="563"/>
      <c r="AE321" s="561"/>
      <c r="AF321" s="568">
        <v>17</v>
      </c>
      <c r="AG321" s="562"/>
      <c r="AH321" s="577"/>
      <c r="AI321" s="577"/>
      <c r="AJ321" s="577"/>
      <c r="AK321" s="577">
        <v>1</v>
      </c>
      <c r="AL321" s="577"/>
      <c r="AM321" s="577"/>
      <c r="AN321" s="562">
        <v>2.2999999999999998</v>
      </c>
      <c r="AO321" s="562">
        <f>AN321+AN321</f>
        <v>4.5999999999999996</v>
      </c>
      <c r="AP321" s="598">
        <v>0.140625</v>
      </c>
      <c r="AQ321" s="599">
        <v>4.2600000000000007</v>
      </c>
      <c r="AR321" s="599">
        <f>AO321-AQ321</f>
        <v>0.33999999999999897</v>
      </c>
      <c r="AS321" s="600"/>
      <c r="AT321" s="600">
        <v>1</v>
      </c>
      <c r="AU321" s="577" t="s">
        <v>778</v>
      </c>
      <c r="AV321" s="577"/>
      <c r="AW321" s="562"/>
      <c r="AX321" s="562"/>
      <c r="AY321" s="562"/>
      <c r="AZ321" s="562"/>
      <c r="BA321" s="562"/>
      <c r="BB321" s="563"/>
      <c r="BD321" s="565"/>
      <c r="BE321" s="565"/>
      <c r="BF321" s="565"/>
      <c r="BG321" s="576" t="s">
        <v>1057</v>
      </c>
      <c r="BH321" s="576"/>
      <c r="BI321" s="576"/>
      <c r="BJ321" s="576"/>
      <c r="BK321" s="576"/>
      <c r="BL321" s="576" t="s">
        <v>1058</v>
      </c>
      <c r="BN321" s="576">
        <v>43</v>
      </c>
      <c r="BO321" s="611"/>
      <c r="BP321" s="611"/>
      <c r="BQ321" s="612"/>
      <c r="BR321" s="612"/>
      <c r="BS321" s="576">
        <v>49</v>
      </c>
      <c r="BT321" s="622"/>
      <c r="DD321" s="561"/>
      <c r="DE321" s="562"/>
      <c r="DF321" s="577"/>
      <c r="DG321" s="577"/>
      <c r="DH321" s="577"/>
      <c r="DI321" s="590" t="s">
        <v>765</v>
      </c>
      <c r="DJ321" s="590" t="s">
        <v>766</v>
      </c>
      <c r="DK321" s="592" t="s">
        <v>170</v>
      </c>
      <c r="DL321" s="577"/>
      <c r="DM321" s="577"/>
      <c r="DN321" s="577"/>
      <c r="DO321" s="577"/>
      <c r="DP321" s="577"/>
      <c r="DQ321" s="600"/>
      <c r="DR321" s="600"/>
      <c r="DS321" s="577"/>
      <c r="DT321" s="577"/>
      <c r="DU321" s="577"/>
      <c r="DV321" s="577"/>
      <c r="DW321" s="577"/>
      <c r="DX321" s="577"/>
    </row>
    <row r="322" spans="2:128" s="560" customFormat="1">
      <c r="C322" s="560">
        <v>0.45</v>
      </c>
      <c r="P322" s="561"/>
      <c r="Q322" s="562"/>
      <c r="R322" s="562">
        <v>0.45</v>
      </c>
      <c r="S322" s="562"/>
      <c r="T322" s="562"/>
      <c r="U322" s="562"/>
      <c r="V322" s="562"/>
      <c r="W322" s="562"/>
      <c r="X322" s="562"/>
      <c r="Y322" s="562"/>
      <c r="Z322" s="562"/>
      <c r="AA322" s="562"/>
      <c r="AB322" s="562"/>
      <c r="AC322" s="562"/>
      <c r="AD322" s="563"/>
      <c r="AE322" s="561"/>
      <c r="AF322" s="568">
        <v>18</v>
      </c>
      <c r="AG322" s="562"/>
      <c r="AH322" s="577">
        <v>0.45</v>
      </c>
      <c r="AI322" s="577" t="s">
        <v>778</v>
      </c>
      <c r="AJ322" s="577">
        <v>1</v>
      </c>
      <c r="AK322" s="577"/>
      <c r="AL322" s="577"/>
      <c r="AM322" s="577"/>
      <c r="AN322" s="562">
        <v>1.6</v>
      </c>
      <c r="AO322" s="562">
        <f>AN322+AN322</f>
        <v>3.2</v>
      </c>
      <c r="AP322" s="598">
        <v>0.140625</v>
      </c>
      <c r="AQ322" s="599">
        <v>4.2580000000000009</v>
      </c>
      <c r="AR322" s="672">
        <f>AO322-AQ322</f>
        <v>-1.0580000000000007</v>
      </c>
      <c r="AS322" s="600"/>
      <c r="AT322" s="600">
        <v>1</v>
      </c>
      <c r="AU322" s="577" t="s">
        <v>778</v>
      </c>
      <c r="AV322" s="577"/>
      <c r="AW322" s="562"/>
      <c r="AX322" s="562"/>
      <c r="AY322" s="562"/>
      <c r="AZ322" s="562"/>
      <c r="BA322" s="562"/>
      <c r="BB322" s="563"/>
      <c r="BC322" s="560" t="s">
        <v>503</v>
      </c>
      <c r="BD322" s="581" t="s">
        <v>1059</v>
      </c>
      <c r="BE322" s="582"/>
      <c r="BF322" s="566"/>
      <c r="BG322" s="565"/>
      <c r="BH322" s="565"/>
      <c r="BI322" s="565"/>
      <c r="BJ322" s="565"/>
      <c r="BK322" s="565"/>
      <c r="BL322" s="565"/>
      <c r="BN322" s="566"/>
      <c r="BO322" s="603"/>
      <c r="BP322" s="581" t="s">
        <v>1060</v>
      </c>
      <c r="BQ322" s="604"/>
      <c r="BR322" s="604"/>
      <c r="BS322" s="566"/>
      <c r="BT322" s="576"/>
      <c r="DD322" s="561"/>
      <c r="DE322" s="562"/>
      <c r="DF322" s="577"/>
      <c r="DG322" s="577"/>
      <c r="DH322" s="577" t="s">
        <v>129</v>
      </c>
      <c r="DI322" s="577">
        <v>12</v>
      </c>
      <c r="DJ322" s="577">
        <v>60</v>
      </c>
      <c r="DK322" s="577">
        <v>6</v>
      </c>
      <c r="DL322" s="577"/>
      <c r="DM322" s="577"/>
      <c r="DN322" s="577"/>
      <c r="DO322" s="577"/>
      <c r="DP322" s="577"/>
      <c r="DQ322" s="600"/>
      <c r="DR322" s="600"/>
      <c r="DS322" s="577"/>
      <c r="DT322" s="577"/>
      <c r="DU322" s="577"/>
      <c r="DV322" s="577"/>
      <c r="DW322" s="577"/>
      <c r="DX322" s="577"/>
    </row>
    <row r="323" spans="2:128" s="560" customFormat="1">
      <c r="B323" s="560" t="s">
        <v>1061</v>
      </c>
      <c r="P323" s="561"/>
      <c r="Q323" s="562"/>
      <c r="R323" s="562">
        <v>0.7</v>
      </c>
      <c r="S323" s="562"/>
      <c r="T323" s="562"/>
      <c r="U323" s="562"/>
      <c r="V323" s="562"/>
      <c r="W323" s="562"/>
      <c r="X323" s="562"/>
      <c r="Y323" s="562"/>
      <c r="Z323" s="562"/>
      <c r="AA323" s="562"/>
      <c r="AB323" s="562"/>
      <c r="AC323" s="562"/>
      <c r="AD323" s="563"/>
      <c r="AE323" s="561"/>
      <c r="AF323" s="562" t="s">
        <v>778</v>
      </c>
      <c r="AG323" s="562"/>
      <c r="AH323" s="577">
        <v>0.6</v>
      </c>
      <c r="AI323" s="577" t="s">
        <v>793</v>
      </c>
      <c r="AJ323" s="577"/>
      <c r="AK323" s="577"/>
      <c r="AL323" s="577"/>
      <c r="AM323" s="577">
        <v>1</v>
      </c>
      <c r="AN323" s="562"/>
      <c r="AO323" s="562"/>
      <c r="AP323" s="598"/>
      <c r="AQ323" s="599"/>
      <c r="AR323" s="599"/>
      <c r="AS323" s="600"/>
      <c r="AT323" s="600"/>
      <c r="AU323" s="577" t="s">
        <v>778</v>
      </c>
      <c r="AV323" s="577"/>
      <c r="AW323" s="562"/>
      <c r="AX323" s="562"/>
      <c r="AY323" s="562"/>
      <c r="AZ323" s="562"/>
      <c r="BA323" s="562"/>
      <c r="BB323" s="563"/>
      <c r="BD323" s="586" t="s">
        <v>755</v>
      </c>
      <c r="BE323" s="586" t="s">
        <v>756</v>
      </c>
      <c r="BF323" s="615" t="s">
        <v>757</v>
      </c>
      <c r="BG323" s="615" t="s">
        <v>758</v>
      </c>
      <c r="BH323" s="615" t="s">
        <v>765</v>
      </c>
      <c r="BI323" s="615" t="s">
        <v>766</v>
      </c>
      <c r="BJ323" s="616" t="s">
        <v>767</v>
      </c>
      <c r="BK323" s="617" t="s">
        <v>768</v>
      </c>
      <c r="BL323" s="586" t="s">
        <v>759</v>
      </c>
      <c r="BM323" s="618" t="s">
        <v>769</v>
      </c>
      <c r="BN323" s="586" t="s">
        <v>760</v>
      </c>
      <c r="BO323" s="619" t="s">
        <v>770</v>
      </c>
      <c r="BP323" s="619" t="s">
        <v>771</v>
      </c>
      <c r="BQ323" s="620" t="s">
        <v>772</v>
      </c>
      <c r="BR323" s="620" t="s">
        <v>773</v>
      </c>
      <c r="BS323" s="586" t="s">
        <v>761</v>
      </c>
      <c r="BT323" s="586" t="s">
        <v>762</v>
      </c>
      <c r="BU323" s="586" t="s">
        <v>763</v>
      </c>
      <c r="DD323" s="561"/>
      <c r="DE323" s="562"/>
      <c r="DF323" s="577"/>
      <c r="DG323" s="577"/>
      <c r="DH323" s="577"/>
      <c r="DI323" s="687" t="s">
        <v>1062</v>
      </c>
      <c r="DJ323" s="577"/>
      <c r="DK323" s="577"/>
      <c r="DL323" s="577"/>
      <c r="DM323" s="577"/>
      <c r="DN323" s="577"/>
      <c r="DO323" s="577"/>
      <c r="DP323" s="577"/>
      <c r="DQ323" s="600"/>
      <c r="DR323" s="600"/>
      <c r="DS323" s="577"/>
      <c r="DT323" s="577"/>
      <c r="DU323" s="577"/>
      <c r="DV323" s="577"/>
      <c r="DW323" s="577"/>
      <c r="DX323" s="577"/>
    </row>
    <row r="324" spans="2:128" s="560" customFormat="1">
      <c r="C324" s="560">
        <v>0.4</v>
      </c>
      <c r="P324" s="561"/>
      <c r="Q324" s="562"/>
      <c r="R324" s="562">
        <v>0.6</v>
      </c>
      <c r="S324" s="562"/>
      <c r="T324" s="562"/>
      <c r="U324" s="562"/>
      <c r="V324" s="562"/>
      <c r="W324" s="562"/>
      <c r="X324" s="562"/>
      <c r="Y324" s="562"/>
      <c r="Z324" s="562"/>
      <c r="AA324" s="562"/>
      <c r="AB324" s="562"/>
      <c r="AC324" s="562"/>
      <c r="AD324" s="563"/>
      <c r="AE324" s="561"/>
      <c r="AF324" s="568">
        <v>19</v>
      </c>
      <c r="AG324" s="562"/>
      <c r="AH324" s="577">
        <v>0.4</v>
      </c>
      <c r="AI324" s="577" t="s">
        <v>793</v>
      </c>
      <c r="AJ324" s="577"/>
      <c r="AK324" s="577">
        <v>1</v>
      </c>
      <c r="AL324" s="577"/>
      <c r="AM324" s="577">
        <v>1</v>
      </c>
      <c r="AN324" s="562">
        <v>2.4</v>
      </c>
      <c r="AO324" s="562">
        <f>AN324+AN324</f>
        <v>4.8</v>
      </c>
      <c r="AP324" s="598">
        <v>0.140625</v>
      </c>
      <c r="AQ324" s="599">
        <v>4.2540000000000004</v>
      </c>
      <c r="AR324" s="599">
        <f>AO324-AQ324</f>
        <v>0.54599999999999937</v>
      </c>
      <c r="AS324" s="600"/>
      <c r="AT324" s="600">
        <v>1</v>
      </c>
      <c r="AU324" s="577" t="s">
        <v>778</v>
      </c>
      <c r="AV324" s="577"/>
      <c r="AW324" s="562"/>
      <c r="AX324" s="562"/>
      <c r="AY324" s="562"/>
      <c r="AZ324" s="562"/>
      <c r="BA324" s="562"/>
      <c r="BB324" s="563"/>
      <c r="BD324" s="576">
        <v>1</v>
      </c>
      <c r="BF324" s="576"/>
      <c r="BG324" s="576"/>
      <c r="BH324" s="576"/>
      <c r="BI324" s="576">
        <v>1</v>
      </c>
      <c r="BJ324" s="576"/>
      <c r="BK324" s="576"/>
      <c r="BL324" s="576">
        <v>1.5</v>
      </c>
      <c r="BM324" s="576">
        <f t="shared" ref="BM324:BM356" si="57">BL324+BL324</f>
        <v>3</v>
      </c>
      <c r="BN324" s="576" t="s">
        <v>1009</v>
      </c>
      <c r="BO324" s="611">
        <v>3.75</v>
      </c>
      <c r="BP324" s="611">
        <f t="shared" ref="BP324:BP356" si="58">BM324-BO324</f>
        <v>-0.75</v>
      </c>
      <c r="BQ324" s="612"/>
      <c r="BR324" s="612">
        <v>1</v>
      </c>
      <c r="BS324" s="576" t="s">
        <v>127</v>
      </c>
      <c r="BT324" s="576"/>
      <c r="DD324" s="561"/>
      <c r="DE324" s="562"/>
      <c r="DF324" s="577"/>
      <c r="DG324" s="577"/>
      <c r="DH324" s="577"/>
      <c r="DI324" s="583" t="s">
        <v>1063</v>
      </c>
      <c r="DJ324" s="577"/>
      <c r="DK324" s="577"/>
      <c r="DL324" s="577"/>
      <c r="DM324" s="577"/>
      <c r="DN324" s="577"/>
      <c r="DO324" s="577"/>
      <c r="DP324" s="577"/>
      <c r="DQ324" s="600"/>
      <c r="DR324" s="600"/>
      <c r="DS324" s="577"/>
      <c r="DT324" s="577"/>
      <c r="DU324" s="577"/>
      <c r="DV324" s="577"/>
      <c r="DW324" s="577"/>
      <c r="DX324" s="577"/>
    </row>
    <row r="325" spans="2:128" s="560" customFormat="1">
      <c r="C325" s="560">
        <v>0.43</v>
      </c>
      <c r="P325" s="561"/>
      <c r="Q325" s="562"/>
      <c r="R325" s="562">
        <v>0.7</v>
      </c>
      <c r="S325" s="562"/>
      <c r="T325" s="562"/>
      <c r="U325" s="562"/>
      <c r="V325" s="562"/>
      <c r="W325" s="562"/>
      <c r="X325" s="562"/>
      <c r="Y325" s="562"/>
      <c r="Z325" s="562"/>
      <c r="AA325" s="562"/>
      <c r="AB325" s="562"/>
      <c r="AC325" s="562"/>
      <c r="AD325" s="563"/>
      <c r="AE325" s="561"/>
      <c r="AF325" s="568">
        <v>20</v>
      </c>
      <c r="AG325" s="562"/>
      <c r="AH325" s="577">
        <v>0.1</v>
      </c>
      <c r="AI325" s="577" t="s">
        <v>778</v>
      </c>
      <c r="AJ325" s="577">
        <v>1</v>
      </c>
      <c r="AK325" s="577"/>
      <c r="AL325" s="577"/>
      <c r="AM325" s="577"/>
      <c r="AN325" s="562">
        <v>2.4</v>
      </c>
      <c r="AO325" s="562">
        <f>AN325+AN325</f>
        <v>4.8</v>
      </c>
      <c r="AP325" s="598">
        <v>0.140625</v>
      </c>
      <c r="AQ325" s="599">
        <v>4.2520000000000007</v>
      </c>
      <c r="AR325" s="599">
        <f>AO325-AQ325</f>
        <v>0.54799999999999915</v>
      </c>
      <c r="AS325" s="600"/>
      <c r="AT325" s="600">
        <v>1</v>
      </c>
      <c r="AU325" s="577" t="s">
        <v>778</v>
      </c>
      <c r="AV325" s="577"/>
      <c r="AW325" s="562"/>
      <c r="AX325" s="562"/>
      <c r="AY325" s="562"/>
      <c r="AZ325" s="562"/>
      <c r="BA325" s="562"/>
      <c r="BB325" s="563"/>
      <c r="BD325" s="576">
        <v>2</v>
      </c>
      <c r="BF325" s="576"/>
      <c r="BG325" s="576"/>
      <c r="BH325" s="576"/>
      <c r="BI325" s="576">
        <v>1</v>
      </c>
      <c r="BJ325" s="576"/>
      <c r="BK325" s="576"/>
      <c r="BL325" s="576">
        <v>2.2999999999999998</v>
      </c>
      <c r="BM325" s="576">
        <f t="shared" si="57"/>
        <v>4.5999999999999996</v>
      </c>
      <c r="BN325" s="576"/>
      <c r="BO325" s="611">
        <v>3.7578125</v>
      </c>
      <c r="BP325" s="611">
        <f t="shared" si="58"/>
        <v>0.84218749999999964</v>
      </c>
      <c r="BQ325" s="612"/>
      <c r="BR325" s="612">
        <v>1</v>
      </c>
      <c r="BS325" s="576" t="s">
        <v>778</v>
      </c>
      <c r="BT325" s="576"/>
      <c r="DD325" s="561"/>
      <c r="DE325" s="562"/>
      <c r="DF325" s="577"/>
      <c r="DG325" s="577"/>
      <c r="DH325" s="577"/>
      <c r="DI325" s="577"/>
      <c r="DJ325" s="577"/>
      <c r="DK325" s="687" t="s">
        <v>1064</v>
      </c>
      <c r="DL325" s="577"/>
      <c r="DM325" s="577"/>
      <c r="DN325" s="577"/>
      <c r="DO325" s="577"/>
      <c r="DP325" s="577"/>
      <c r="DQ325" s="600"/>
      <c r="DR325" s="600"/>
      <c r="DS325" s="577"/>
      <c r="DT325" s="577"/>
      <c r="DU325" s="577"/>
      <c r="DV325" s="577"/>
      <c r="DW325" s="577"/>
      <c r="DX325" s="577"/>
    </row>
    <row r="326" spans="2:128" s="560" customFormat="1">
      <c r="C326" s="560">
        <v>0.35</v>
      </c>
      <c r="P326" s="561"/>
      <c r="Q326" s="562"/>
      <c r="R326" s="562">
        <v>0.7</v>
      </c>
      <c r="S326" s="562"/>
      <c r="T326" s="562"/>
      <c r="U326" s="562"/>
      <c r="V326" s="562"/>
      <c r="W326" s="562"/>
      <c r="X326" s="562"/>
      <c r="Y326" s="562"/>
      <c r="Z326" s="562"/>
      <c r="AA326" s="562"/>
      <c r="AB326" s="562"/>
      <c r="AC326" s="562"/>
      <c r="AD326" s="563"/>
      <c r="AE326" s="561"/>
      <c r="AF326" s="568">
        <v>21</v>
      </c>
      <c r="AG326" s="562"/>
      <c r="AH326" s="577"/>
      <c r="AI326" s="577"/>
      <c r="AJ326" s="577"/>
      <c r="AK326" s="577">
        <v>1</v>
      </c>
      <c r="AL326" s="577"/>
      <c r="AM326" s="577"/>
      <c r="AN326" s="562">
        <v>2.25</v>
      </c>
      <c r="AO326" s="562">
        <f>AN326+AN326</f>
        <v>4.5</v>
      </c>
      <c r="AP326" s="598">
        <v>0.140625</v>
      </c>
      <c r="AQ326" s="599">
        <v>4.2500000000000009</v>
      </c>
      <c r="AR326" s="599">
        <f>AO326-AQ326</f>
        <v>0.24999999999999911</v>
      </c>
      <c r="AS326" s="600"/>
      <c r="AT326" s="600">
        <v>1</v>
      </c>
      <c r="AU326" s="577" t="s">
        <v>778</v>
      </c>
      <c r="AV326" s="577"/>
      <c r="AW326" s="562"/>
      <c r="AX326" s="562"/>
      <c r="AY326" s="562"/>
      <c r="AZ326" s="562"/>
      <c r="BA326" s="562"/>
      <c r="BB326" s="563"/>
      <c r="BD326" s="576">
        <v>3</v>
      </c>
      <c r="BF326" s="576"/>
      <c r="BG326" s="576"/>
      <c r="BH326" s="576"/>
      <c r="BI326" s="576">
        <v>1</v>
      </c>
      <c r="BJ326" s="576"/>
      <c r="BK326" s="576"/>
      <c r="BL326" s="576">
        <v>2.2999999999999998</v>
      </c>
      <c r="BM326" s="576">
        <f t="shared" si="57"/>
        <v>4.5999999999999996</v>
      </c>
      <c r="BN326" s="576"/>
      <c r="BO326" s="611">
        <v>3.765625</v>
      </c>
      <c r="BP326" s="611">
        <f t="shared" si="58"/>
        <v>0.83437499999999964</v>
      </c>
      <c r="BQ326" s="612"/>
      <c r="BR326" s="612">
        <v>1</v>
      </c>
      <c r="BS326" s="576" t="s">
        <v>778</v>
      </c>
      <c r="BT326" s="576"/>
      <c r="DD326" s="561"/>
      <c r="DE326" s="562"/>
      <c r="DF326" s="577"/>
      <c r="DG326" s="577"/>
      <c r="DH326" s="577"/>
      <c r="DI326" s="577"/>
      <c r="DJ326" s="577"/>
      <c r="DK326" s="688">
        <v>8.3000000000000004E-2</v>
      </c>
      <c r="DL326" s="577"/>
      <c r="DM326" s="577"/>
      <c r="DN326" s="577"/>
      <c r="DO326" s="577"/>
      <c r="DP326" s="577"/>
      <c r="DQ326" s="600"/>
      <c r="DR326" s="600"/>
      <c r="DS326" s="577"/>
      <c r="DT326" s="577"/>
      <c r="DU326" s="577"/>
      <c r="DV326" s="577"/>
      <c r="DW326" s="577"/>
      <c r="DX326" s="577"/>
    </row>
    <row r="327" spans="2:128" s="560" customFormat="1">
      <c r="C327" s="560">
        <v>0.35</v>
      </c>
      <c r="P327" s="561"/>
      <c r="Q327" s="562"/>
      <c r="R327" s="562">
        <v>0.65</v>
      </c>
      <c r="S327" s="562"/>
      <c r="T327" s="562"/>
      <c r="U327" s="562"/>
      <c r="V327" s="562"/>
      <c r="W327" s="562"/>
      <c r="X327" s="562"/>
      <c r="Y327" s="562"/>
      <c r="Z327" s="562"/>
      <c r="AA327" s="562"/>
      <c r="AB327" s="562"/>
      <c r="AC327" s="562"/>
      <c r="AD327" s="563"/>
      <c r="AE327" s="561"/>
      <c r="AF327" s="568"/>
      <c r="AG327" s="562"/>
      <c r="AH327" s="577"/>
      <c r="AI327" s="577"/>
      <c r="AJ327" s="632">
        <f>SUM(AJ301:AJ326)</f>
        <v>2</v>
      </c>
      <c r="AK327" s="632">
        <f>SUM(AK301:AK326)</f>
        <v>19</v>
      </c>
      <c r="AL327" s="633"/>
      <c r="AM327" s="634">
        <f>SUM(AM301:AM326)</f>
        <v>19</v>
      </c>
      <c r="AN327" s="562"/>
      <c r="AO327" s="635">
        <f>SUM(AO301:AO326)</f>
        <v>97.09999999999998</v>
      </c>
      <c r="AP327" s="606"/>
      <c r="AQ327" s="636">
        <f>SUM(AQ301:AQ326)</f>
        <v>89.806000000000012</v>
      </c>
      <c r="AR327" s="636">
        <f>SUM(AR301:AR321,AR323:AR326)</f>
        <v>8.3519999999999861</v>
      </c>
      <c r="AS327" s="600"/>
      <c r="AT327" s="637">
        <f>SUM(AT301:AT326)</f>
        <v>21</v>
      </c>
      <c r="AU327" s="577"/>
      <c r="AV327" s="577"/>
      <c r="AW327" s="562"/>
      <c r="AX327" s="562"/>
      <c r="AY327" s="562"/>
      <c r="AZ327" s="562"/>
      <c r="BA327" s="562"/>
      <c r="BB327" s="563"/>
      <c r="BD327" s="576">
        <v>4</v>
      </c>
      <c r="BF327" s="576"/>
      <c r="BG327" s="576"/>
      <c r="BH327" s="576"/>
      <c r="BI327" s="576">
        <v>1</v>
      </c>
      <c r="BJ327" s="576"/>
      <c r="BK327" s="576"/>
      <c r="BL327" s="576">
        <v>2.2999999999999998</v>
      </c>
      <c r="BM327" s="576">
        <f t="shared" si="57"/>
        <v>4.5999999999999996</v>
      </c>
      <c r="BN327" s="576"/>
      <c r="BO327" s="611">
        <v>3.7734375</v>
      </c>
      <c r="BP327" s="611">
        <f t="shared" si="58"/>
        <v>0.82656249999999964</v>
      </c>
      <c r="BQ327" s="612"/>
      <c r="BR327" s="612">
        <v>1</v>
      </c>
      <c r="BS327" s="576" t="s">
        <v>778</v>
      </c>
      <c r="BT327" s="576"/>
      <c r="DD327" s="561"/>
      <c r="DE327" s="562"/>
      <c r="DF327" s="577"/>
      <c r="DG327" s="577"/>
      <c r="DH327" s="577"/>
      <c r="DI327" s="577"/>
      <c r="DJ327" s="577"/>
      <c r="DK327" s="577"/>
      <c r="DL327" s="577"/>
      <c r="DM327" s="577"/>
      <c r="DN327" s="577"/>
      <c r="DO327" s="577"/>
      <c r="DP327" s="577"/>
      <c r="DQ327" s="600"/>
      <c r="DR327" s="600"/>
      <c r="DS327" s="577"/>
      <c r="DT327" s="577"/>
      <c r="DU327" s="577"/>
      <c r="DV327" s="577"/>
      <c r="DW327" s="577"/>
      <c r="DX327" s="577"/>
    </row>
    <row r="328" spans="2:128" s="560" customFormat="1">
      <c r="C328" s="560">
        <v>0.5</v>
      </c>
      <c r="P328" s="561"/>
      <c r="Q328" s="562"/>
      <c r="R328" s="562">
        <f>COUNT(R218:R327)</f>
        <v>110</v>
      </c>
      <c r="S328" s="562"/>
      <c r="T328" s="562"/>
      <c r="U328" s="562"/>
      <c r="V328" s="562"/>
      <c r="W328" s="562"/>
      <c r="X328" s="562"/>
      <c r="Y328" s="562"/>
      <c r="Z328" s="562"/>
      <c r="AA328" s="562"/>
      <c r="AB328" s="562"/>
      <c r="AC328" s="562"/>
      <c r="AD328" s="563"/>
      <c r="AE328" s="567">
        <v>41145</v>
      </c>
      <c r="AF328" s="568" t="s">
        <v>725</v>
      </c>
      <c r="AG328" s="568"/>
      <c r="AH328" s="568" t="s">
        <v>726</v>
      </c>
      <c r="AI328" s="569" t="s">
        <v>727</v>
      </c>
      <c r="AJ328" s="569"/>
      <c r="AK328" s="569"/>
      <c r="AL328" s="569"/>
      <c r="AM328" s="569"/>
      <c r="AN328" s="569" t="s">
        <v>728</v>
      </c>
      <c r="AO328" s="569"/>
      <c r="AP328" s="569" t="s">
        <v>729</v>
      </c>
      <c r="AQ328" s="651"/>
      <c r="AR328" s="638">
        <f>+AR327/AO327</f>
        <v>8.6014418125643546E-2</v>
      </c>
      <c r="AS328" s="639"/>
      <c r="AT328" s="639"/>
      <c r="AU328" s="569" t="s">
        <v>730</v>
      </c>
      <c r="AV328" s="569" t="s">
        <v>731</v>
      </c>
      <c r="AW328" s="568"/>
      <c r="AX328" s="562"/>
      <c r="AY328" s="562"/>
      <c r="AZ328" s="562"/>
      <c r="BA328" s="562"/>
      <c r="BB328" s="563"/>
      <c r="BD328" s="576">
        <v>5</v>
      </c>
      <c r="BF328" s="576"/>
      <c r="BG328" s="576"/>
      <c r="BH328" s="576"/>
      <c r="BI328" s="576">
        <v>1</v>
      </c>
      <c r="BJ328" s="576"/>
      <c r="BK328" s="576"/>
      <c r="BL328" s="576">
        <v>2.1</v>
      </c>
      <c r="BM328" s="576">
        <f t="shared" si="57"/>
        <v>4.2</v>
      </c>
      <c r="BN328" s="576"/>
      <c r="BO328" s="611">
        <v>3.78125</v>
      </c>
      <c r="BP328" s="611">
        <f t="shared" si="58"/>
        <v>0.41875000000000018</v>
      </c>
      <c r="BQ328" s="612"/>
      <c r="BR328" s="612">
        <v>1</v>
      </c>
      <c r="BS328" s="576" t="s">
        <v>778</v>
      </c>
      <c r="BT328" s="576"/>
      <c r="DD328" s="561"/>
      <c r="DE328" s="562"/>
      <c r="DF328" s="577"/>
      <c r="DG328" s="577"/>
      <c r="DH328" s="577"/>
      <c r="DI328" s="577"/>
      <c r="DJ328" s="577"/>
      <c r="DK328" s="577"/>
      <c r="DL328" s="577"/>
      <c r="DM328" s="577"/>
      <c r="DN328" s="577"/>
      <c r="DO328" s="577"/>
      <c r="DP328" s="577"/>
      <c r="DQ328" s="600"/>
      <c r="DR328" s="600"/>
      <c r="DS328" s="577"/>
      <c r="DT328" s="577"/>
      <c r="DU328" s="577"/>
      <c r="DV328" s="577"/>
      <c r="DW328" s="577"/>
      <c r="DX328" s="577"/>
    </row>
    <row r="329" spans="2:128" s="560" customFormat="1">
      <c r="C329" s="560">
        <v>0.5</v>
      </c>
      <c r="P329" s="567">
        <v>41144</v>
      </c>
      <c r="Q329" s="568" t="s">
        <v>725</v>
      </c>
      <c r="R329" s="568"/>
      <c r="S329" s="568" t="s">
        <v>726</v>
      </c>
      <c r="T329" s="569" t="s">
        <v>727</v>
      </c>
      <c r="U329" s="569" t="s">
        <v>728</v>
      </c>
      <c r="V329" s="569" t="s">
        <v>729</v>
      </c>
      <c r="W329" s="569" t="s">
        <v>730</v>
      </c>
      <c r="X329" s="569" t="s">
        <v>731</v>
      </c>
      <c r="Y329" s="568"/>
      <c r="Z329" s="562"/>
      <c r="AA329" s="562"/>
      <c r="AB329" s="562"/>
      <c r="AC329" s="562"/>
      <c r="AD329" s="563"/>
      <c r="AE329" s="561"/>
      <c r="AF329" s="568"/>
      <c r="AG329" s="568"/>
      <c r="AH329" s="568"/>
      <c r="AI329" s="577" t="s">
        <v>1065</v>
      </c>
      <c r="AJ329" s="577"/>
      <c r="AK329" s="577"/>
      <c r="AL329" s="577"/>
      <c r="AM329" s="577"/>
      <c r="AN329" s="577" t="s">
        <v>1066</v>
      </c>
      <c r="AO329" s="577"/>
      <c r="AP329" s="577">
        <v>48</v>
      </c>
      <c r="AQ329" s="599"/>
      <c r="AR329" s="599"/>
      <c r="AS329" s="600"/>
      <c r="AT329" s="600"/>
      <c r="AU329" s="577">
        <v>40</v>
      </c>
      <c r="AV329" s="577"/>
      <c r="AW329" s="568"/>
      <c r="AX329" s="562"/>
      <c r="AY329" s="562"/>
      <c r="AZ329" s="562"/>
      <c r="BA329" s="562"/>
      <c r="BB329" s="563"/>
      <c r="BD329" s="576">
        <v>6</v>
      </c>
      <c r="BF329" s="576"/>
      <c r="BG329" s="576"/>
      <c r="BH329" s="576"/>
      <c r="BI329" s="576">
        <v>1</v>
      </c>
      <c r="BJ329" s="576"/>
      <c r="BK329" s="576"/>
      <c r="BL329" s="576">
        <v>2.1</v>
      </c>
      <c r="BM329" s="576">
        <f t="shared" si="57"/>
        <v>4.2</v>
      </c>
      <c r="BN329" s="576"/>
      <c r="BO329" s="611">
        <v>3.7890625</v>
      </c>
      <c r="BP329" s="611">
        <f t="shared" si="58"/>
        <v>0.41093750000000018</v>
      </c>
      <c r="BQ329" s="612"/>
      <c r="BR329" s="612">
        <v>1</v>
      </c>
      <c r="BS329" s="576" t="s">
        <v>778</v>
      </c>
      <c r="BT329" s="576"/>
      <c r="DD329" s="561"/>
      <c r="DE329" s="562"/>
      <c r="DF329" s="577"/>
      <c r="DG329" s="577"/>
      <c r="DH329" s="577"/>
      <c r="DI329" s="577"/>
      <c r="DJ329" s="577"/>
      <c r="DK329" s="577"/>
      <c r="DL329" s="577"/>
      <c r="DM329" s="577"/>
      <c r="DN329" s="577"/>
      <c r="DO329" s="577"/>
      <c r="DP329" s="577"/>
      <c r="DQ329" s="600"/>
      <c r="DR329" s="600"/>
      <c r="DS329" s="577"/>
      <c r="DT329" s="577"/>
      <c r="DU329" s="577"/>
      <c r="DV329" s="577"/>
      <c r="DW329" s="577"/>
      <c r="DX329" s="577"/>
    </row>
    <row r="330" spans="2:128" s="560" customFormat="1">
      <c r="C330" s="560">
        <v>0.5</v>
      </c>
      <c r="P330" s="561"/>
      <c r="Q330" s="568"/>
      <c r="R330" s="568"/>
      <c r="S330" s="568"/>
      <c r="T330" s="569" t="s">
        <v>1067</v>
      </c>
      <c r="U330" s="569" t="s">
        <v>1068</v>
      </c>
      <c r="V330" s="577"/>
      <c r="W330" s="577"/>
      <c r="X330" s="569" t="s">
        <v>1069</v>
      </c>
      <c r="Y330" s="578" t="s">
        <v>1070</v>
      </c>
      <c r="Z330" s="562"/>
      <c r="AA330" s="562"/>
      <c r="AB330" s="562"/>
      <c r="AC330" s="562"/>
      <c r="AD330" s="563"/>
      <c r="AE330" s="561" t="s">
        <v>524</v>
      </c>
      <c r="AF330" s="578" t="s">
        <v>1071</v>
      </c>
      <c r="AG330" s="578"/>
      <c r="AH330" s="569"/>
      <c r="AI330" s="568"/>
      <c r="AJ330" s="568"/>
      <c r="AK330" s="568"/>
      <c r="AL330" s="568"/>
      <c r="AM330" s="568"/>
      <c r="AN330" s="568"/>
      <c r="AO330" s="568"/>
      <c r="AP330" s="569"/>
      <c r="AQ330" s="583" t="s">
        <v>1072</v>
      </c>
      <c r="AR330" s="651"/>
      <c r="AS330" s="639"/>
      <c r="AT330" s="639"/>
      <c r="AU330" s="569"/>
      <c r="AV330" s="577"/>
      <c r="AW330" s="569"/>
      <c r="AX330" s="562"/>
      <c r="AY330" s="562"/>
      <c r="AZ330" s="562"/>
      <c r="BA330" s="562"/>
      <c r="BB330" s="563"/>
      <c r="BD330" s="576">
        <v>7</v>
      </c>
      <c r="BF330" s="576"/>
      <c r="BG330" s="576"/>
      <c r="BH330" s="576"/>
      <c r="BI330" s="576">
        <v>1</v>
      </c>
      <c r="BJ330" s="576"/>
      <c r="BK330" s="576"/>
      <c r="BL330" s="576">
        <v>2</v>
      </c>
      <c r="BM330" s="576">
        <f t="shared" si="57"/>
        <v>4</v>
      </c>
      <c r="BN330" s="576"/>
      <c r="BO330" s="611">
        <v>3.796875</v>
      </c>
      <c r="BP330" s="611">
        <f t="shared" si="58"/>
        <v>0.203125</v>
      </c>
      <c r="BQ330" s="612"/>
      <c r="BR330" s="612">
        <v>1</v>
      </c>
      <c r="BS330" s="576" t="s">
        <v>778</v>
      </c>
      <c r="BT330" s="576"/>
      <c r="DD330" s="561"/>
      <c r="DE330" s="562"/>
      <c r="DF330" s="577"/>
      <c r="DG330" s="577"/>
      <c r="DH330" s="577"/>
      <c r="DI330" s="577"/>
      <c r="DJ330" s="577"/>
      <c r="DK330" s="577"/>
      <c r="DL330" s="577"/>
      <c r="DM330" s="577"/>
      <c r="DN330" s="577"/>
      <c r="DO330" s="577"/>
      <c r="DP330" s="577"/>
      <c r="DQ330" s="600"/>
      <c r="DR330" s="600"/>
      <c r="DS330" s="577"/>
      <c r="DT330" s="577"/>
      <c r="DU330" s="577"/>
      <c r="DV330" s="577"/>
      <c r="DW330" s="577"/>
      <c r="DX330" s="577"/>
    </row>
    <row r="331" spans="2:128" s="560" customFormat="1">
      <c r="C331" s="560">
        <v>0.5</v>
      </c>
      <c r="P331" s="561" t="s">
        <v>581</v>
      </c>
      <c r="Q331" s="583" t="s">
        <v>1073</v>
      </c>
      <c r="R331" s="578"/>
      <c r="S331" s="569"/>
      <c r="T331" s="568"/>
      <c r="U331" s="568"/>
      <c r="V331" s="569"/>
      <c r="W331" s="569"/>
      <c r="X331" s="569"/>
      <c r="Y331" s="569"/>
      <c r="Z331" s="562"/>
      <c r="AA331" s="562"/>
      <c r="AB331" s="562"/>
      <c r="AC331" s="562"/>
      <c r="AD331" s="563"/>
      <c r="AE331" s="587"/>
      <c r="AF331" s="588" t="s">
        <v>755</v>
      </c>
      <c r="AG331" s="588" t="s">
        <v>756</v>
      </c>
      <c r="AH331" s="590" t="s">
        <v>757</v>
      </c>
      <c r="AI331" s="590" t="s">
        <v>758</v>
      </c>
      <c r="AJ331" s="590" t="s">
        <v>765</v>
      </c>
      <c r="AK331" s="590" t="s">
        <v>766</v>
      </c>
      <c r="AL331" s="591" t="s">
        <v>767</v>
      </c>
      <c r="AM331" s="592" t="s">
        <v>768</v>
      </c>
      <c r="AN331" s="588" t="s">
        <v>759</v>
      </c>
      <c r="AO331" s="593" t="s">
        <v>769</v>
      </c>
      <c r="AP331" s="588" t="s">
        <v>760</v>
      </c>
      <c r="AQ331" s="663" t="s">
        <v>770</v>
      </c>
      <c r="AR331" s="663" t="s">
        <v>771</v>
      </c>
      <c r="AS331" s="595" t="s">
        <v>772</v>
      </c>
      <c r="AT331" s="595" t="s">
        <v>773</v>
      </c>
      <c r="AU331" s="588" t="s">
        <v>761</v>
      </c>
      <c r="AV331" s="588" t="s">
        <v>762</v>
      </c>
      <c r="AW331" s="588" t="s">
        <v>763</v>
      </c>
      <c r="AX331" s="562"/>
      <c r="AY331" s="562"/>
      <c r="AZ331" s="562"/>
      <c r="BA331" s="588" t="s">
        <v>764</v>
      </c>
      <c r="BB331" s="589"/>
      <c r="BD331" s="576">
        <v>8</v>
      </c>
      <c r="BF331" s="576">
        <v>0.7</v>
      </c>
      <c r="BG331" s="576" t="s">
        <v>802</v>
      </c>
      <c r="BH331" s="576"/>
      <c r="BI331" s="576">
        <v>1</v>
      </c>
      <c r="BJ331" s="576">
        <v>1</v>
      </c>
      <c r="BK331" s="576"/>
      <c r="BL331" s="576">
        <v>2</v>
      </c>
      <c r="BM331" s="576">
        <f t="shared" si="57"/>
        <v>4</v>
      </c>
      <c r="BN331" s="576"/>
      <c r="BO331" s="611">
        <v>3.8046875</v>
      </c>
      <c r="BP331" s="611">
        <f t="shared" si="58"/>
        <v>0.1953125</v>
      </c>
      <c r="BQ331" s="612"/>
      <c r="BR331" s="612">
        <v>1</v>
      </c>
      <c r="BS331" s="576" t="s">
        <v>778</v>
      </c>
      <c r="BT331" s="576">
        <v>1539</v>
      </c>
      <c r="DD331" s="561"/>
      <c r="DE331" s="562"/>
      <c r="DF331" s="577"/>
      <c r="DG331" s="577"/>
      <c r="DH331" s="577"/>
      <c r="DI331" s="577"/>
      <c r="DJ331" s="577"/>
      <c r="DK331" s="577"/>
      <c r="DL331" s="577"/>
      <c r="DM331" s="577"/>
      <c r="DN331" s="577"/>
      <c r="DO331" s="577"/>
      <c r="DP331" s="577"/>
      <c r="DQ331" s="600"/>
      <c r="DR331" s="600"/>
      <c r="DS331" s="577"/>
      <c r="DT331" s="577"/>
      <c r="DU331" s="577"/>
      <c r="DV331" s="577"/>
      <c r="DW331" s="577"/>
      <c r="DX331" s="577"/>
    </row>
    <row r="332" spans="2:128" s="560" customFormat="1">
      <c r="C332" s="560">
        <v>0.45</v>
      </c>
      <c r="P332" s="587"/>
      <c r="Q332" s="588" t="s">
        <v>755</v>
      </c>
      <c r="R332" s="588" t="s">
        <v>756</v>
      </c>
      <c r="S332" s="588" t="s">
        <v>757</v>
      </c>
      <c r="T332" s="588" t="s">
        <v>758</v>
      </c>
      <c r="U332" s="588" t="s">
        <v>759</v>
      </c>
      <c r="V332" s="588" t="s">
        <v>760</v>
      </c>
      <c r="W332" s="588" t="s">
        <v>761</v>
      </c>
      <c r="X332" s="588" t="s">
        <v>762</v>
      </c>
      <c r="Y332" s="588" t="s">
        <v>763</v>
      </c>
      <c r="Z332" s="562"/>
      <c r="AA332" s="562"/>
      <c r="AB332" s="562"/>
      <c r="AC332" s="588" t="s">
        <v>764</v>
      </c>
      <c r="AD332" s="589"/>
      <c r="AE332" s="561"/>
      <c r="AF332" s="568">
        <v>0.5</v>
      </c>
      <c r="AG332" s="562"/>
      <c r="AH332" s="577">
        <v>0.2</v>
      </c>
      <c r="AI332" s="577" t="s">
        <v>793</v>
      </c>
      <c r="AJ332" s="577"/>
      <c r="AK332" s="577"/>
      <c r="AL332" s="577"/>
      <c r="AM332" s="577">
        <v>1</v>
      </c>
      <c r="AN332" s="562"/>
      <c r="AO332" s="562"/>
      <c r="AP332" s="598"/>
      <c r="AQ332" s="599"/>
      <c r="AR332" s="599"/>
      <c r="AS332" s="600"/>
      <c r="AT332" s="600"/>
      <c r="AU332" s="577"/>
      <c r="AV332" s="584">
        <v>2472</v>
      </c>
      <c r="AW332" s="562"/>
      <c r="AX332" s="562"/>
      <c r="AY332" s="562"/>
      <c r="AZ332" s="562"/>
      <c r="BA332" s="577"/>
      <c r="BB332" s="589"/>
      <c r="BD332" s="576">
        <v>9</v>
      </c>
      <c r="BF332" s="576">
        <v>0.3</v>
      </c>
      <c r="BG332" s="576" t="s">
        <v>859</v>
      </c>
      <c r="BH332" s="576">
        <v>1</v>
      </c>
      <c r="BI332" s="576"/>
      <c r="BJ332" s="576"/>
      <c r="BK332" s="576"/>
      <c r="BL332" s="576">
        <v>2.25</v>
      </c>
      <c r="BM332" s="576">
        <f t="shared" si="57"/>
        <v>4.5</v>
      </c>
      <c r="BN332" s="576"/>
      <c r="BO332" s="611">
        <v>3.8125</v>
      </c>
      <c r="BP332" s="611">
        <f t="shared" si="58"/>
        <v>0.6875</v>
      </c>
      <c r="BQ332" s="612"/>
      <c r="BR332" s="612">
        <v>1</v>
      </c>
      <c r="BS332" s="576" t="s">
        <v>778</v>
      </c>
      <c r="BT332" s="576">
        <v>1538</v>
      </c>
      <c r="DD332" s="561"/>
      <c r="DE332" s="562"/>
      <c r="DF332" s="577"/>
      <c r="DG332" s="577"/>
      <c r="DH332" s="577"/>
      <c r="DI332" s="577"/>
      <c r="DJ332" s="577"/>
      <c r="DK332" s="577"/>
      <c r="DL332" s="577"/>
      <c r="DM332" s="577"/>
      <c r="DN332" s="577"/>
      <c r="DO332" s="577"/>
      <c r="DP332" s="577"/>
      <c r="DQ332" s="600"/>
      <c r="DR332" s="600"/>
      <c r="DS332" s="577"/>
      <c r="DT332" s="577"/>
      <c r="DU332" s="577"/>
      <c r="DV332" s="577"/>
      <c r="DW332" s="577"/>
      <c r="DX332" s="577"/>
    </row>
    <row r="333" spans="2:128" s="560" customFormat="1">
      <c r="C333" s="560">
        <v>0.5</v>
      </c>
      <c r="P333" s="561"/>
      <c r="Q333" s="568" t="s">
        <v>776</v>
      </c>
      <c r="R333" s="562">
        <v>0.5</v>
      </c>
      <c r="S333" s="562"/>
      <c r="T333" s="562"/>
      <c r="U333" s="562"/>
      <c r="V333" s="562"/>
      <c r="W333" s="562"/>
      <c r="X333" s="629"/>
      <c r="Y333" s="562"/>
      <c r="Z333" s="562"/>
      <c r="AA333" s="562"/>
      <c r="AB333" s="562"/>
      <c r="AC333" s="577"/>
      <c r="AD333" s="589"/>
      <c r="AE333" s="561"/>
      <c r="AF333" s="568">
        <v>1</v>
      </c>
      <c r="AG333" s="562"/>
      <c r="AH333" s="577">
        <v>0.1</v>
      </c>
      <c r="AI333" s="577" t="s">
        <v>778</v>
      </c>
      <c r="AJ333" s="577">
        <v>1</v>
      </c>
      <c r="AK333" s="577"/>
      <c r="AL333" s="577"/>
      <c r="AM333" s="577"/>
      <c r="AN333" s="562">
        <v>2.65</v>
      </c>
      <c r="AO333" s="562">
        <f>AN333+AN333</f>
        <v>5.3</v>
      </c>
      <c r="AP333" s="598">
        <v>0.140625</v>
      </c>
      <c r="AQ333" s="599">
        <v>3.9999999999999996</v>
      </c>
      <c r="AR333" s="599">
        <f>AO333-AQ333</f>
        <v>1.3000000000000003</v>
      </c>
      <c r="AS333" s="600"/>
      <c r="AT333" s="600">
        <v>1</v>
      </c>
      <c r="AU333" s="577" t="s">
        <v>778</v>
      </c>
      <c r="AV333" s="609">
        <v>2471</v>
      </c>
      <c r="AW333" s="562"/>
      <c r="AX333" s="562"/>
      <c r="AY333" s="562"/>
      <c r="AZ333" s="562"/>
      <c r="BA333" s="607" t="s">
        <v>780</v>
      </c>
      <c r="BB333" s="608" t="s">
        <v>616</v>
      </c>
      <c r="BD333" s="576">
        <v>10</v>
      </c>
      <c r="BF333" s="576"/>
      <c r="BG333" s="576"/>
      <c r="BH333" s="576"/>
      <c r="BI333" s="576">
        <v>1</v>
      </c>
      <c r="BJ333" s="576"/>
      <c r="BK333" s="576"/>
      <c r="BL333" s="576">
        <v>1.6</v>
      </c>
      <c r="BM333" s="576">
        <f t="shared" si="57"/>
        <v>3.2</v>
      </c>
      <c r="BN333" s="576" t="s">
        <v>797</v>
      </c>
      <c r="BO333" s="611">
        <v>3</v>
      </c>
      <c r="BP333" s="611">
        <f t="shared" si="58"/>
        <v>0.20000000000000018</v>
      </c>
      <c r="BQ333" s="612">
        <v>1</v>
      </c>
      <c r="BR333" s="612"/>
      <c r="BS333" s="576" t="s">
        <v>778</v>
      </c>
      <c r="BT333" s="576"/>
      <c r="DD333" s="561"/>
      <c r="DE333" s="562"/>
      <c r="DF333" s="577"/>
      <c r="DG333" s="577"/>
      <c r="DH333" s="577"/>
      <c r="DI333" s="577"/>
      <c r="DJ333" s="577"/>
      <c r="DK333" s="577"/>
      <c r="DL333" s="577"/>
      <c r="DM333" s="577"/>
      <c r="DN333" s="577"/>
      <c r="DO333" s="577"/>
      <c r="DP333" s="577"/>
      <c r="DQ333" s="600"/>
      <c r="DR333" s="600"/>
      <c r="DS333" s="577"/>
      <c r="DT333" s="577"/>
      <c r="DU333" s="577"/>
      <c r="DV333" s="577"/>
      <c r="DW333" s="577"/>
      <c r="DX333" s="577"/>
    </row>
    <row r="334" spans="2:128" s="560" customFormat="1">
      <c r="C334" s="560">
        <v>0.45</v>
      </c>
      <c r="P334" s="561"/>
      <c r="Q334" s="562"/>
      <c r="R334" s="562">
        <v>36</v>
      </c>
      <c r="S334" s="562"/>
      <c r="T334" s="562"/>
      <c r="U334" s="562"/>
      <c r="V334" s="562"/>
      <c r="W334" s="562"/>
      <c r="X334" s="629"/>
      <c r="Y334" s="562"/>
      <c r="Z334" s="562"/>
      <c r="AA334" s="562"/>
      <c r="AB334" s="562"/>
      <c r="AC334" s="607" t="s">
        <v>780</v>
      </c>
      <c r="AD334" s="608" t="s">
        <v>616</v>
      </c>
      <c r="AE334" s="561"/>
      <c r="AF334" s="568">
        <v>2</v>
      </c>
      <c r="AG334" s="562"/>
      <c r="AH334" s="577">
        <v>0.1</v>
      </c>
      <c r="AI334" s="577" t="s">
        <v>793</v>
      </c>
      <c r="AJ334" s="577"/>
      <c r="AK334" s="577">
        <v>1</v>
      </c>
      <c r="AL334" s="577"/>
      <c r="AM334" s="577">
        <v>1</v>
      </c>
      <c r="AN334" s="562">
        <v>2.1</v>
      </c>
      <c r="AO334" s="562">
        <f>AN334+AN334</f>
        <v>4.2</v>
      </c>
      <c r="AP334" s="598">
        <v>0.140625</v>
      </c>
      <c r="AQ334" s="599">
        <v>3.9873684210526315</v>
      </c>
      <c r="AR334" s="599">
        <f>AO334-AQ334</f>
        <v>0.21263157894736873</v>
      </c>
      <c r="AS334" s="600"/>
      <c r="AT334" s="600">
        <v>1</v>
      </c>
      <c r="AU334" s="577" t="s">
        <v>778</v>
      </c>
      <c r="AV334" s="584">
        <v>2470</v>
      </c>
      <c r="AW334" s="562"/>
      <c r="AX334" s="562"/>
      <c r="AY334" s="562"/>
      <c r="AZ334" s="562"/>
      <c r="BA334" s="607" t="s">
        <v>785</v>
      </c>
      <c r="BB334" s="608" t="s">
        <v>542</v>
      </c>
      <c r="BD334" s="576">
        <v>11</v>
      </c>
      <c r="BF334" s="576"/>
      <c r="BG334" s="576"/>
      <c r="BH334" s="576"/>
      <c r="BI334" s="576">
        <v>1</v>
      </c>
      <c r="BJ334" s="576"/>
      <c r="BK334" s="576"/>
      <c r="BL334" s="576">
        <v>2.2000000000000002</v>
      </c>
      <c r="BM334" s="576">
        <f t="shared" si="57"/>
        <v>4.4000000000000004</v>
      </c>
      <c r="BN334" s="576"/>
      <c r="BO334" s="611">
        <v>3.828125</v>
      </c>
      <c r="BP334" s="611">
        <f t="shared" si="58"/>
        <v>0.57187500000000036</v>
      </c>
      <c r="BQ334" s="612"/>
      <c r="BR334" s="612">
        <v>1</v>
      </c>
      <c r="BS334" s="576" t="s">
        <v>778</v>
      </c>
      <c r="BT334" s="576"/>
      <c r="BV334" s="627" t="s">
        <v>806</v>
      </c>
      <c r="BW334" s="627">
        <f>COUNT(BP324:BP356)</f>
        <v>33</v>
      </c>
      <c r="DD334" s="561"/>
      <c r="DE334" s="562"/>
      <c r="DF334" s="577"/>
      <c r="DG334" s="577"/>
      <c r="DH334" s="577"/>
      <c r="DI334" s="577"/>
      <c r="DJ334" s="577"/>
      <c r="DK334" s="577"/>
      <c r="DL334" s="577"/>
      <c r="DM334" s="577"/>
      <c r="DN334" s="577"/>
      <c r="DO334" s="577"/>
      <c r="DP334" s="577"/>
      <c r="DQ334" s="600"/>
      <c r="DR334" s="600"/>
      <c r="DS334" s="577"/>
      <c r="DT334" s="577"/>
      <c r="DU334" s="577"/>
      <c r="DV334" s="577"/>
      <c r="DW334" s="577"/>
      <c r="DX334" s="577"/>
    </row>
    <row r="335" spans="2:128" s="560" customFormat="1">
      <c r="P335" s="561"/>
      <c r="Q335" s="562"/>
      <c r="R335" s="562">
        <v>0.55000000000000004</v>
      </c>
      <c r="S335" s="562"/>
      <c r="T335" s="562"/>
      <c r="U335" s="562"/>
      <c r="V335" s="562"/>
      <c r="W335" s="562"/>
      <c r="X335" s="629"/>
      <c r="Y335" s="562"/>
      <c r="Z335" s="562"/>
      <c r="AA335" s="562"/>
      <c r="AB335" s="562"/>
      <c r="AC335" s="607" t="s">
        <v>785</v>
      </c>
      <c r="AD335" s="608" t="s">
        <v>542</v>
      </c>
      <c r="AE335" s="561"/>
      <c r="AF335" s="568">
        <v>3</v>
      </c>
      <c r="AG335" s="562"/>
      <c r="AH335" s="577">
        <v>0.1</v>
      </c>
      <c r="AI335" s="577" t="s">
        <v>793</v>
      </c>
      <c r="AJ335" s="577"/>
      <c r="AK335" s="577">
        <v>1</v>
      </c>
      <c r="AL335" s="577"/>
      <c r="AM335" s="577">
        <v>1</v>
      </c>
      <c r="AN335" s="562">
        <v>2.1</v>
      </c>
      <c r="AO335" s="562">
        <f>AN335+AN335</f>
        <v>4.2</v>
      </c>
      <c r="AP335" s="598">
        <v>0.140625</v>
      </c>
      <c r="AQ335" s="599">
        <v>3.9747368421052629</v>
      </c>
      <c r="AR335" s="599">
        <f>AO335-AQ335</f>
        <v>0.22526315789473728</v>
      </c>
      <c r="AS335" s="600"/>
      <c r="AT335" s="600">
        <v>1</v>
      </c>
      <c r="AU335" s="577" t="s">
        <v>778</v>
      </c>
      <c r="AV335" s="584">
        <v>2469</v>
      </c>
      <c r="AW335" s="562"/>
      <c r="AX335" s="562"/>
      <c r="AY335" s="562"/>
      <c r="AZ335" s="562"/>
      <c r="BA335" s="607" t="s">
        <v>789</v>
      </c>
      <c r="BB335" s="608" t="s">
        <v>790</v>
      </c>
      <c r="BD335" s="576">
        <v>12</v>
      </c>
      <c r="BF335" s="576">
        <v>0.1</v>
      </c>
      <c r="BG335" s="576" t="s">
        <v>777</v>
      </c>
      <c r="BH335" s="576">
        <v>1</v>
      </c>
      <c r="BI335" s="576"/>
      <c r="BJ335" s="576"/>
      <c r="BK335" s="576"/>
      <c r="BL335" s="576">
        <v>2.2999999999999998</v>
      </c>
      <c r="BM335" s="576">
        <f t="shared" si="57"/>
        <v>4.5999999999999996</v>
      </c>
      <c r="BN335" s="576"/>
      <c r="BO335" s="611">
        <v>3.8359375</v>
      </c>
      <c r="BP335" s="611">
        <f t="shared" si="58"/>
        <v>0.76406249999999964</v>
      </c>
      <c r="BQ335" s="612"/>
      <c r="BR335" s="612">
        <v>1</v>
      </c>
      <c r="BS335" s="576" t="s">
        <v>778</v>
      </c>
      <c r="BT335" s="576">
        <v>1537</v>
      </c>
      <c r="BV335" s="627" t="s">
        <v>812</v>
      </c>
      <c r="BW335" s="628">
        <f>SUM(BP324:BP356)</f>
        <v>17.128124999999997</v>
      </c>
      <c r="DD335" s="561"/>
      <c r="DE335" s="562"/>
      <c r="DF335" s="577"/>
      <c r="DG335" s="577"/>
      <c r="DH335" s="577"/>
      <c r="DI335" s="577"/>
      <c r="DJ335" s="577"/>
      <c r="DK335" s="577"/>
      <c r="DL335" s="577"/>
      <c r="DM335" s="577"/>
      <c r="DN335" s="577"/>
      <c r="DO335" s="577"/>
      <c r="DP335" s="577"/>
      <c r="DQ335" s="600"/>
      <c r="DR335" s="600"/>
      <c r="DS335" s="577"/>
      <c r="DT335" s="577"/>
      <c r="DU335" s="577"/>
      <c r="DV335" s="577"/>
      <c r="DW335" s="577"/>
      <c r="DX335" s="577"/>
    </row>
    <row r="336" spans="2:128" s="560" customFormat="1">
      <c r="P336" s="561"/>
      <c r="Q336" s="562"/>
      <c r="R336" s="562">
        <v>0.65</v>
      </c>
      <c r="S336" s="562"/>
      <c r="T336" s="562"/>
      <c r="U336" s="562"/>
      <c r="V336" s="562"/>
      <c r="W336" s="562"/>
      <c r="X336" s="629"/>
      <c r="Y336" s="562"/>
      <c r="Z336" s="562"/>
      <c r="AA336" s="562"/>
      <c r="AB336" s="562"/>
      <c r="AC336" s="607" t="s">
        <v>789</v>
      </c>
      <c r="AD336" s="608" t="s">
        <v>790</v>
      </c>
      <c r="AE336" s="561"/>
      <c r="AF336" s="562" t="s">
        <v>778</v>
      </c>
      <c r="AG336" s="562"/>
      <c r="AH336" s="577">
        <v>0.1</v>
      </c>
      <c r="AI336" s="577" t="s">
        <v>793</v>
      </c>
      <c r="AJ336" s="577"/>
      <c r="AK336" s="577"/>
      <c r="AL336" s="577"/>
      <c r="AM336" s="577">
        <v>1</v>
      </c>
      <c r="AN336" s="562"/>
      <c r="AO336" s="562"/>
      <c r="AP336" s="598"/>
      <c r="AQ336" s="599"/>
      <c r="AR336" s="599"/>
      <c r="AS336" s="600"/>
      <c r="AT336" s="600"/>
      <c r="AU336" s="577"/>
      <c r="AV336" s="584">
        <v>2468</v>
      </c>
      <c r="AW336" s="562"/>
      <c r="AX336" s="562"/>
      <c r="AY336" s="562"/>
      <c r="AZ336" s="562"/>
      <c r="BA336" s="607" t="s">
        <v>791</v>
      </c>
      <c r="BB336" s="608" t="s">
        <v>792</v>
      </c>
      <c r="BD336" s="576">
        <v>13</v>
      </c>
      <c r="BF336" s="576"/>
      <c r="BG336" s="576"/>
      <c r="BH336" s="576"/>
      <c r="BI336" s="576">
        <v>1</v>
      </c>
      <c r="BJ336" s="576"/>
      <c r="BK336" s="576"/>
      <c r="BL336" s="576">
        <v>2.2000000000000002</v>
      </c>
      <c r="BM336" s="576">
        <f t="shared" si="57"/>
        <v>4.4000000000000004</v>
      </c>
      <c r="BN336" s="576"/>
      <c r="BO336" s="611">
        <v>3.84375</v>
      </c>
      <c r="BP336" s="611">
        <f t="shared" si="58"/>
        <v>0.55625000000000036</v>
      </c>
      <c r="BQ336" s="612"/>
      <c r="BR336" s="612">
        <v>1</v>
      </c>
      <c r="BS336" s="576" t="s">
        <v>778</v>
      </c>
      <c r="BT336" s="576"/>
      <c r="BV336" s="627" t="s">
        <v>811</v>
      </c>
      <c r="BW336" s="628">
        <f>MAX(BP324:BP356)</f>
        <v>3.0625</v>
      </c>
      <c r="DD336" s="561"/>
      <c r="DE336" s="562"/>
      <c r="DF336" s="577"/>
      <c r="DG336" s="577"/>
      <c r="DH336" s="577"/>
      <c r="DI336" s="577"/>
      <c r="DJ336" s="577"/>
      <c r="DK336" s="577"/>
      <c r="DL336" s="577"/>
      <c r="DM336" s="577"/>
      <c r="DN336" s="577"/>
      <c r="DO336" s="577"/>
      <c r="DP336" s="577"/>
      <c r="DQ336" s="600"/>
      <c r="DR336" s="600"/>
      <c r="DS336" s="577"/>
      <c r="DT336" s="577"/>
      <c r="DU336" s="577"/>
      <c r="DV336" s="577"/>
      <c r="DW336" s="577"/>
      <c r="DX336" s="577"/>
    </row>
    <row r="337" spans="2:128" s="560" customFormat="1">
      <c r="B337" s="560" t="s">
        <v>1074</v>
      </c>
      <c r="C337" s="560">
        <f>COUNT(C208:C334)</f>
        <v>120</v>
      </c>
      <c r="P337" s="561"/>
      <c r="Q337" s="562"/>
      <c r="R337" s="562">
        <v>365</v>
      </c>
      <c r="S337" s="562"/>
      <c r="T337" s="562"/>
      <c r="U337" s="562"/>
      <c r="V337" s="562"/>
      <c r="W337" s="562"/>
      <c r="X337" s="629"/>
      <c r="Y337" s="562"/>
      <c r="Z337" s="562"/>
      <c r="AA337" s="562"/>
      <c r="AB337" s="562"/>
      <c r="AC337" s="607" t="s">
        <v>791</v>
      </c>
      <c r="AD337" s="608" t="s">
        <v>792</v>
      </c>
      <c r="AE337" s="561"/>
      <c r="AF337" s="568">
        <v>4</v>
      </c>
      <c r="AG337" s="562"/>
      <c r="AH337" s="577"/>
      <c r="AI337" s="577"/>
      <c r="AJ337" s="577"/>
      <c r="AK337" s="577">
        <v>1</v>
      </c>
      <c r="AL337" s="577"/>
      <c r="AM337" s="577"/>
      <c r="AN337" s="562">
        <v>2.1</v>
      </c>
      <c r="AO337" s="562">
        <f>AN337+AN337</f>
        <v>4.2</v>
      </c>
      <c r="AP337" s="598">
        <v>0.140625</v>
      </c>
      <c r="AQ337" s="599">
        <v>3.9494736842105262</v>
      </c>
      <c r="AR337" s="599">
        <f>AO337-AQ337</f>
        <v>0.25052631578947393</v>
      </c>
      <c r="AS337" s="600"/>
      <c r="AT337" s="600">
        <v>1</v>
      </c>
      <c r="AU337" s="577" t="s">
        <v>778</v>
      </c>
      <c r="AV337" s="577"/>
      <c r="AW337" s="562"/>
      <c r="AX337" s="562"/>
      <c r="AY337" s="562"/>
      <c r="AZ337" s="562"/>
      <c r="BA337" s="607" t="s">
        <v>794</v>
      </c>
      <c r="BB337" s="608" t="s">
        <v>795</v>
      </c>
      <c r="BD337" s="576">
        <v>14</v>
      </c>
      <c r="BF337" s="576"/>
      <c r="BG337" s="576"/>
      <c r="BH337" s="576"/>
      <c r="BI337" s="576">
        <v>1</v>
      </c>
      <c r="BJ337" s="576"/>
      <c r="BK337" s="576"/>
      <c r="BL337" s="576">
        <v>2.2999999999999998</v>
      </c>
      <c r="BM337" s="576">
        <f t="shared" si="57"/>
        <v>4.5999999999999996</v>
      </c>
      <c r="BN337" s="576"/>
      <c r="BO337" s="611">
        <v>3.8515625</v>
      </c>
      <c r="BP337" s="611">
        <f t="shared" si="58"/>
        <v>0.74843749999999964</v>
      </c>
      <c r="BQ337" s="612"/>
      <c r="BR337" s="612">
        <v>1</v>
      </c>
      <c r="BS337" s="576" t="s">
        <v>778</v>
      </c>
      <c r="BT337" s="576"/>
      <c r="BV337" s="627" t="s">
        <v>814</v>
      </c>
      <c r="BW337" s="628">
        <f>MIN(BP324:BP356)</f>
        <v>-0.75</v>
      </c>
      <c r="DD337" s="561"/>
      <c r="DE337" s="562"/>
      <c r="DF337" s="577"/>
      <c r="DG337" s="577"/>
      <c r="DH337" s="577"/>
      <c r="DI337" s="577"/>
      <c r="DJ337" s="577"/>
      <c r="DK337" s="577"/>
      <c r="DL337" s="577"/>
      <c r="DM337" s="577"/>
      <c r="DN337" s="577"/>
      <c r="DO337" s="577"/>
      <c r="DP337" s="577"/>
      <c r="DQ337" s="600"/>
      <c r="DR337" s="600"/>
      <c r="DS337" s="577"/>
      <c r="DT337" s="577"/>
      <c r="DU337" s="577"/>
      <c r="DV337" s="577"/>
      <c r="DW337" s="577"/>
      <c r="DX337" s="577"/>
    </row>
    <row r="338" spans="2:128" s="560" customFormat="1">
      <c r="P338" s="561"/>
      <c r="Q338" s="562"/>
      <c r="R338" s="562">
        <v>0.47</v>
      </c>
      <c r="S338" s="562"/>
      <c r="T338" s="562"/>
      <c r="U338" s="562"/>
      <c r="V338" s="562"/>
      <c r="W338" s="562"/>
      <c r="X338" s="562"/>
      <c r="Y338" s="562"/>
      <c r="Z338" s="562"/>
      <c r="AA338" s="562"/>
      <c r="AB338" s="562"/>
      <c r="AC338" s="607" t="s">
        <v>794</v>
      </c>
      <c r="AD338" s="608" t="s">
        <v>795</v>
      </c>
      <c r="AE338" s="561"/>
      <c r="AF338" s="568">
        <v>5</v>
      </c>
      <c r="AG338" s="562"/>
      <c r="AH338" s="577">
        <v>0.5</v>
      </c>
      <c r="AI338" s="577" t="s">
        <v>793</v>
      </c>
      <c r="AJ338" s="577"/>
      <c r="AK338" s="577">
        <v>1</v>
      </c>
      <c r="AL338" s="577"/>
      <c r="AM338" s="577">
        <v>1</v>
      </c>
      <c r="AN338" s="562">
        <v>1.7</v>
      </c>
      <c r="AO338" s="562">
        <f>AN338+AN338</f>
        <v>3.4</v>
      </c>
      <c r="AP338" s="598">
        <v>0.125</v>
      </c>
      <c r="AQ338" s="599">
        <v>3.12</v>
      </c>
      <c r="AR338" s="599">
        <f>AO338-AQ338</f>
        <v>0.2799999999999998</v>
      </c>
      <c r="AS338" s="600">
        <v>1</v>
      </c>
      <c r="AT338" s="600"/>
      <c r="AU338" s="577" t="s">
        <v>778</v>
      </c>
      <c r="AV338" s="577">
        <v>2467</v>
      </c>
      <c r="AW338" s="562"/>
      <c r="AX338" s="562"/>
      <c r="AY338" s="562"/>
      <c r="AZ338" s="562"/>
      <c r="BA338" s="607" t="s">
        <v>798</v>
      </c>
      <c r="BB338" s="608" t="s">
        <v>546</v>
      </c>
      <c r="BD338" s="576">
        <v>15</v>
      </c>
      <c r="BF338" s="576"/>
      <c r="BG338" s="576"/>
      <c r="BH338" s="576"/>
      <c r="BI338" s="576">
        <v>1</v>
      </c>
      <c r="BJ338" s="576"/>
      <c r="BK338" s="576"/>
      <c r="BL338" s="576">
        <v>2</v>
      </c>
      <c r="BM338" s="576">
        <f t="shared" si="57"/>
        <v>4</v>
      </c>
      <c r="BN338" s="576"/>
      <c r="BO338" s="611">
        <v>3.859375</v>
      </c>
      <c r="BP338" s="611">
        <f t="shared" si="58"/>
        <v>0.140625</v>
      </c>
      <c r="BQ338" s="612"/>
      <c r="BR338" s="612">
        <v>1</v>
      </c>
      <c r="BS338" s="576" t="s">
        <v>778</v>
      </c>
      <c r="BT338" s="576"/>
      <c r="BV338" s="627" t="s">
        <v>817</v>
      </c>
      <c r="BW338" s="628">
        <f>AVERAGE(BP324:BP356)</f>
        <v>0.51903409090909081</v>
      </c>
      <c r="DD338" s="561"/>
      <c r="DE338" s="562"/>
      <c r="DF338" s="577"/>
      <c r="DG338" s="577"/>
      <c r="DH338" s="577"/>
      <c r="DI338" s="577"/>
      <c r="DJ338" s="577"/>
      <c r="DK338" s="577"/>
      <c r="DL338" s="577"/>
      <c r="DM338" s="577"/>
      <c r="DN338" s="577"/>
      <c r="DO338" s="577"/>
      <c r="DP338" s="577"/>
      <c r="DQ338" s="600"/>
      <c r="DR338" s="600"/>
      <c r="DS338" s="577"/>
      <c r="DT338" s="577"/>
      <c r="DU338" s="577"/>
      <c r="DV338" s="577"/>
      <c r="DW338" s="577"/>
      <c r="DX338" s="577"/>
    </row>
    <row r="339" spans="2:128" s="560" customFormat="1">
      <c r="P339" s="561"/>
      <c r="Q339" s="562"/>
      <c r="R339" s="562">
        <v>0.5</v>
      </c>
      <c r="S339" s="562"/>
      <c r="T339" s="562"/>
      <c r="U339" s="562"/>
      <c r="V339" s="562"/>
      <c r="W339" s="562"/>
      <c r="X339" s="562"/>
      <c r="Y339" s="562"/>
      <c r="Z339" s="562"/>
      <c r="AA339" s="562"/>
      <c r="AB339" s="562"/>
      <c r="AC339" s="607" t="s">
        <v>798</v>
      </c>
      <c r="AD339" s="608" t="s">
        <v>546</v>
      </c>
      <c r="AE339" s="561"/>
      <c r="AF339" s="568">
        <v>6</v>
      </c>
      <c r="AG339" s="562"/>
      <c r="AH339" s="577">
        <v>2.2999999999999998</v>
      </c>
      <c r="AI339" s="577" t="s">
        <v>778</v>
      </c>
      <c r="AJ339" s="577">
        <v>1</v>
      </c>
      <c r="AK339" s="577"/>
      <c r="AL339" s="577"/>
      <c r="AM339" s="577"/>
      <c r="AN339" s="562">
        <v>2.0499999999999998</v>
      </c>
      <c r="AO339" s="562">
        <f>AN339+AN339</f>
        <v>4.0999999999999996</v>
      </c>
      <c r="AP339" s="598">
        <v>0.140625</v>
      </c>
      <c r="AQ339" s="599">
        <v>3.9242105263157891</v>
      </c>
      <c r="AR339" s="599">
        <f>AO339-AQ339</f>
        <v>0.1757894736842105</v>
      </c>
      <c r="AS339" s="600"/>
      <c r="AT339" s="600">
        <v>1</v>
      </c>
      <c r="AU339" s="577" t="s">
        <v>778</v>
      </c>
      <c r="AV339" s="577">
        <v>2466</v>
      </c>
      <c r="AW339" s="562"/>
      <c r="AX339" s="562"/>
      <c r="AY339" s="562"/>
      <c r="AZ339" s="562"/>
      <c r="BA339" s="607" t="s">
        <v>800</v>
      </c>
      <c r="BB339" s="608" t="s">
        <v>801</v>
      </c>
      <c r="BD339" s="576">
        <v>16</v>
      </c>
      <c r="BF339" s="576"/>
      <c r="BG339" s="576"/>
      <c r="BH339" s="576"/>
      <c r="BI339" s="576">
        <v>1</v>
      </c>
      <c r="BJ339" s="576"/>
      <c r="BK339" s="576"/>
      <c r="BL339" s="576">
        <v>2</v>
      </c>
      <c r="BM339" s="576">
        <f t="shared" si="57"/>
        <v>4</v>
      </c>
      <c r="BN339" s="576"/>
      <c r="BO339" s="611">
        <v>3.8671875</v>
      </c>
      <c r="BP339" s="611">
        <f t="shared" si="58"/>
        <v>0.1328125</v>
      </c>
      <c r="BQ339" s="612"/>
      <c r="BR339" s="612">
        <v>1</v>
      </c>
      <c r="BS339" s="576" t="s">
        <v>778</v>
      </c>
      <c r="BT339" s="576"/>
      <c r="BV339" s="627" t="s">
        <v>818</v>
      </c>
      <c r="BW339" s="627" t="e">
        <f ca="1">_xlfn.STDEV.S(BP324:BP356)</f>
        <v>#NAME?</v>
      </c>
      <c r="DD339" s="561"/>
      <c r="DE339" s="562"/>
      <c r="DF339" s="577"/>
      <c r="DG339" s="577"/>
      <c r="DH339" s="577"/>
      <c r="DI339" s="577"/>
      <c r="DJ339" s="577"/>
      <c r="DK339" s="577"/>
      <c r="DL339" s="577"/>
      <c r="DM339" s="577"/>
      <c r="DN339" s="577"/>
      <c r="DO339" s="577"/>
      <c r="DP339" s="577"/>
      <c r="DQ339" s="600"/>
      <c r="DR339" s="600"/>
      <c r="DS339" s="577"/>
      <c r="DT339" s="577"/>
      <c r="DU339" s="577"/>
      <c r="DV339" s="577"/>
      <c r="DW339" s="577"/>
      <c r="DX339" s="577"/>
    </row>
    <row r="340" spans="2:128" s="560" customFormat="1">
      <c r="P340" s="561"/>
      <c r="Q340" s="562"/>
      <c r="R340" s="562">
        <v>0.5</v>
      </c>
      <c r="S340" s="562"/>
      <c r="T340" s="562"/>
      <c r="U340" s="562"/>
      <c r="V340" s="562"/>
      <c r="W340" s="562"/>
      <c r="X340" s="562"/>
      <c r="Y340" s="562"/>
      <c r="Z340" s="562"/>
      <c r="AA340" s="562"/>
      <c r="AB340" s="562"/>
      <c r="AC340" s="607" t="s">
        <v>800</v>
      </c>
      <c r="AD340" s="608" t="s">
        <v>801</v>
      </c>
      <c r="AE340" s="561"/>
      <c r="AF340" s="568">
        <v>7</v>
      </c>
      <c r="AG340" s="562"/>
      <c r="AH340" s="577">
        <v>0.6</v>
      </c>
      <c r="AI340" s="577" t="s">
        <v>778</v>
      </c>
      <c r="AJ340" s="577">
        <v>1</v>
      </c>
      <c r="AK340" s="577"/>
      <c r="AL340" s="577"/>
      <c r="AM340" s="577"/>
      <c r="AN340" s="562">
        <v>2.0499999999999998</v>
      </c>
      <c r="AO340" s="562">
        <f>AN340+AN340</f>
        <v>4.0999999999999996</v>
      </c>
      <c r="AP340" s="598">
        <v>0.140625</v>
      </c>
      <c r="AQ340" s="599">
        <v>3.911578947368421</v>
      </c>
      <c r="AR340" s="599">
        <f>AO340-AQ340</f>
        <v>0.1884210526315786</v>
      </c>
      <c r="AS340" s="600"/>
      <c r="AT340" s="600">
        <v>1</v>
      </c>
      <c r="AU340" s="577" t="s">
        <v>778</v>
      </c>
      <c r="AV340" s="577">
        <v>2465</v>
      </c>
      <c r="AW340" s="562"/>
      <c r="AX340" s="562"/>
      <c r="AY340" s="562"/>
      <c r="AZ340" s="562"/>
      <c r="BA340" s="607" t="s">
        <v>804</v>
      </c>
      <c r="BB340" s="608" t="s">
        <v>805</v>
      </c>
      <c r="BD340" s="576">
        <v>17</v>
      </c>
      <c r="BF340" s="576"/>
      <c r="BG340" s="576"/>
      <c r="BH340" s="576"/>
      <c r="BI340" s="576">
        <v>1</v>
      </c>
      <c r="BJ340" s="576"/>
      <c r="BK340" s="576"/>
      <c r="BL340" s="576">
        <v>2.2999999999999998</v>
      </c>
      <c r="BM340" s="576">
        <f t="shared" si="57"/>
        <v>4.5999999999999996</v>
      </c>
      <c r="BN340" s="576"/>
      <c r="BO340" s="611">
        <v>3.875</v>
      </c>
      <c r="BP340" s="611">
        <f t="shared" si="58"/>
        <v>0.72499999999999964</v>
      </c>
      <c r="BQ340" s="612"/>
      <c r="BR340" s="612">
        <v>1</v>
      </c>
      <c r="BS340" s="576" t="s">
        <v>778</v>
      </c>
      <c r="BT340" s="576"/>
      <c r="DD340" s="561"/>
      <c r="DE340" s="562"/>
      <c r="DF340" s="577"/>
      <c r="DG340" s="577"/>
      <c r="DH340" s="577"/>
      <c r="DI340" s="577"/>
      <c r="DJ340" s="577"/>
      <c r="DK340" s="577"/>
      <c r="DL340" s="577"/>
      <c r="DM340" s="577"/>
      <c r="DN340" s="577"/>
      <c r="DO340" s="577"/>
      <c r="DP340" s="577"/>
      <c r="DQ340" s="600"/>
      <c r="DR340" s="600"/>
      <c r="DS340" s="577"/>
      <c r="DT340" s="577"/>
      <c r="DU340" s="577"/>
      <c r="DV340" s="577"/>
      <c r="DW340" s="577"/>
      <c r="DX340" s="577"/>
    </row>
    <row r="341" spans="2:128" s="560" customFormat="1">
      <c r="P341" s="561"/>
      <c r="Q341" s="562"/>
      <c r="R341" s="562">
        <v>0.65</v>
      </c>
      <c r="S341" s="562"/>
      <c r="T341" s="562"/>
      <c r="U341" s="562"/>
      <c r="V341" s="562"/>
      <c r="W341" s="562"/>
      <c r="X341" s="562"/>
      <c r="Y341" s="562"/>
      <c r="Z341" s="562"/>
      <c r="AA341" s="562"/>
      <c r="AB341" s="562"/>
      <c r="AC341" s="607" t="s">
        <v>804</v>
      </c>
      <c r="AD341" s="608" t="s">
        <v>805</v>
      </c>
      <c r="AE341" s="561"/>
      <c r="AF341" s="562" t="s">
        <v>778</v>
      </c>
      <c r="AG341" s="562"/>
      <c r="AH341" s="577">
        <v>0.5</v>
      </c>
      <c r="AI341" s="577" t="s">
        <v>793</v>
      </c>
      <c r="AJ341" s="577"/>
      <c r="AK341" s="577"/>
      <c r="AL341" s="577"/>
      <c r="AM341" s="577">
        <v>1</v>
      </c>
      <c r="AN341" s="562"/>
      <c r="AO341" s="562"/>
      <c r="AP341" s="598"/>
      <c r="AQ341" s="599"/>
      <c r="AR341" s="599"/>
      <c r="AS341" s="600"/>
      <c r="AT341" s="600"/>
      <c r="AU341" s="577"/>
      <c r="AV341" s="577">
        <v>2464</v>
      </c>
      <c r="AW341" s="562"/>
      <c r="AX341" s="562"/>
      <c r="AY341" s="562"/>
      <c r="AZ341" s="562"/>
      <c r="BA341" s="607" t="s">
        <v>807</v>
      </c>
      <c r="BB341" s="608" t="s">
        <v>808</v>
      </c>
      <c r="BD341" s="576">
        <v>18</v>
      </c>
      <c r="BF341" s="576"/>
      <c r="BG341" s="576"/>
      <c r="BH341" s="576"/>
      <c r="BI341" s="576">
        <v>1</v>
      </c>
      <c r="BJ341" s="576"/>
      <c r="BK341" s="576"/>
      <c r="BL341" s="576">
        <v>2</v>
      </c>
      <c r="BM341" s="576">
        <f t="shared" si="57"/>
        <v>4</v>
      </c>
      <c r="BN341" s="576" t="s">
        <v>797</v>
      </c>
      <c r="BO341" s="611">
        <v>3.1</v>
      </c>
      <c r="BP341" s="611">
        <f t="shared" si="58"/>
        <v>0.89999999999999991</v>
      </c>
      <c r="BQ341" s="612">
        <v>1</v>
      </c>
      <c r="BR341" s="612"/>
      <c r="BS341" s="576" t="s">
        <v>778</v>
      </c>
      <c r="BT341" s="576"/>
      <c r="DD341" s="561"/>
      <c r="DE341" s="562"/>
      <c r="DF341" s="577"/>
      <c r="DG341" s="577"/>
      <c r="DH341" s="577"/>
      <c r="DI341" s="577"/>
      <c r="DJ341" s="577"/>
      <c r="DK341" s="577"/>
      <c r="DL341" s="577"/>
      <c r="DM341" s="577"/>
      <c r="DN341" s="577"/>
      <c r="DO341" s="577"/>
      <c r="DP341" s="577"/>
      <c r="DQ341" s="600"/>
      <c r="DR341" s="600"/>
      <c r="DS341" s="577"/>
      <c r="DT341" s="577"/>
      <c r="DU341" s="577"/>
      <c r="DV341" s="577"/>
      <c r="DW341" s="577"/>
      <c r="DX341" s="577"/>
    </row>
    <row r="342" spans="2:128" s="560" customFormat="1">
      <c r="P342" s="561"/>
      <c r="Q342" s="562" t="s">
        <v>775</v>
      </c>
      <c r="R342" s="562"/>
      <c r="S342" s="562"/>
      <c r="T342" s="562"/>
      <c r="U342" s="562"/>
      <c r="V342" s="562"/>
      <c r="W342" s="562"/>
      <c r="X342" s="562"/>
      <c r="Y342" s="562"/>
      <c r="Z342" s="562"/>
      <c r="AA342" s="562"/>
      <c r="AB342" s="562"/>
      <c r="AC342" s="607" t="s">
        <v>807</v>
      </c>
      <c r="AD342" s="608" t="s">
        <v>808</v>
      </c>
      <c r="AE342" s="561"/>
      <c r="AF342" s="562" t="s">
        <v>856</v>
      </c>
      <c r="AG342" s="562"/>
      <c r="AH342" s="577">
        <v>0.4</v>
      </c>
      <c r="AI342" s="577" t="s">
        <v>793</v>
      </c>
      <c r="AJ342" s="577"/>
      <c r="AK342" s="577"/>
      <c r="AL342" s="577"/>
      <c r="AM342" s="577">
        <v>1</v>
      </c>
      <c r="AN342" s="562"/>
      <c r="AO342" s="562"/>
      <c r="AP342" s="598"/>
      <c r="AQ342" s="599"/>
      <c r="AR342" s="599"/>
      <c r="AS342" s="600"/>
      <c r="AT342" s="600"/>
      <c r="AU342" s="577"/>
      <c r="AV342" s="577">
        <v>2463</v>
      </c>
      <c r="AW342" s="562"/>
      <c r="AX342" s="625" t="s">
        <v>806</v>
      </c>
      <c r="AY342" s="562">
        <f>COUNT(AR333:AR371)</f>
        <v>31</v>
      </c>
      <c r="AZ342" s="562"/>
      <c r="BA342" s="607" t="s">
        <v>810</v>
      </c>
      <c r="BB342" s="608" t="s">
        <v>550</v>
      </c>
      <c r="BD342" s="576">
        <v>19</v>
      </c>
      <c r="BF342" s="576"/>
      <c r="BG342" s="576"/>
      <c r="BH342" s="576"/>
      <c r="BI342" s="576">
        <v>1</v>
      </c>
      <c r="BJ342" s="576"/>
      <c r="BK342" s="576"/>
      <c r="BL342" s="576">
        <v>2.2000000000000002</v>
      </c>
      <c r="BM342" s="576">
        <f t="shared" si="57"/>
        <v>4.4000000000000004</v>
      </c>
      <c r="BN342" s="576"/>
      <c r="BO342" s="611">
        <v>3.890625</v>
      </c>
      <c r="BP342" s="611">
        <f t="shared" si="58"/>
        <v>0.50937500000000036</v>
      </c>
      <c r="BQ342" s="612"/>
      <c r="BR342" s="612">
        <v>1</v>
      </c>
      <c r="BS342" s="576" t="s">
        <v>778</v>
      </c>
      <c r="BT342" s="576"/>
      <c r="DD342" s="561"/>
      <c r="DE342" s="562"/>
      <c r="DF342" s="577"/>
      <c r="DG342" s="577"/>
      <c r="DH342" s="577"/>
      <c r="DI342" s="577"/>
      <c r="DJ342" s="577"/>
      <c r="DK342" s="577"/>
      <c r="DL342" s="577"/>
      <c r="DM342" s="577"/>
      <c r="DN342" s="577"/>
      <c r="DO342" s="577"/>
      <c r="DP342" s="577"/>
      <c r="DQ342" s="600"/>
      <c r="DR342" s="600"/>
      <c r="DS342" s="577"/>
      <c r="DT342" s="577"/>
      <c r="DU342" s="577"/>
      <c r="DV342" s="577"/>
      <c r="DW342" s="577"/>
      <c r="DX342" s="577"/>
    </row>
    <row r="343" spans="2:128" s="560" customFormat="1">
      <c r="P343" s="561"/>
      <c r="Q343" s="562"/>
      <c r="R343" s="562">
        <v>0.4</v>
      </c>
      <c r="S343" s="562"/>
      <c r="T343" s="562"/>
      <c r="U343" s="562"/>
      <c r="V343" s="562"/>
      <c r="W343" s="562"/>
      <c r="X343" s="562"/>
      <c r="Y343" s="562"/>
      <c r="Z343" s="562"/>
      <c r="AA343" s="562"/>
      <c r="AB343" s="562"/>
      <c r="AC343" s="607" t="s">
        <v>810</v>
      </c>
      <c r="AD343" s="608" t="s">
        <v>550</v>
      </c>
      <c r="AE343" s="561"/>
      <c r="AF343" s="562">
        <v>8</v>
      </c>
      <c r="AG343" s="562"/>
      <c r="AH343" s="577"/>
      <c r="AI343" s="577"/>
      <c r="AJ343" s="577"/>
      <c r="AK343" s="577">
        <v>1</v>
      </c>
      <c r="AL343" s="577"/>
      <c r="AM343" s="577"/>
      <c r="AN343" s="562">
        <v>2</v>
      </c>
      <c r="AO343" s="562">
        <f t="shared" ref="AO343:AO351" si="59">AN343+AN343</f>
        <v>4</v>
      </c>
      <c r="AP343" s="598">
        <v>0.140625</v>
      </c>
      <c r="AQ343" s="599">
        <v>3.8736842105263158</v>
      </c>
      <c r="AR343" s="599">
        <f t="shared" ref="AR343:AR351" si="60">AO343-AQ343</f>
        <v>0.12631578947368416</v>
      </c>
      <c r="AS343" s="600"/>
      <c r="AT343" s="600">
        <v>1</v>
      </c>
      <c r="AU343" s="577" t="s">
        <v>778</v>
      </c>
      <c r="AV343" s="577"/>
      <c r="AW343" s="562"/>
      <c r="AX343" s="625" t="s">
        <v>809</v>
      </c>
      <c r="AY343" s="649">
        <f>SUM(AR333:AR370)</f>
        <v>12.150526315789477</v>
      </c>
      <c r="AZ343" s="562"/>
      <c r="BA343" s="607" t="s">
        <v>813</v>
      </c>
      <c r="BB343" s="608" t="s">
        <v>552</v>
      </c>
      <c r="BD343" s="576">
        <v>20</v>
      </c>
      <c r="BF343" s="576"/>
      <c r="BG343" s="576"/>
      <c r="BH343" s="576"/>
      <c r="BI343" s="576">
        <v>1</v>
      </c>
      <c r="BJ343" s="576"/>
      <c r="BK343" s="576"/>
      <c r="BL343" s="576">
        <v>2.2999999999999998</v>
      </c>
      <c r="BM343" s="576">
        <f t="shared" si="57"/>
        <v>4.5999999999999996</v>
      </c>
      <c r="BN343" s="576"/>
      <c r="BO343" s="611">
        <v>3.8984375</v>
      </c>
      <c r="BP343" s="611">
        <f t="shared" si="58"/>
        <v>0.70156249999999964</v>
      </c>
      <c r="BQ343" s="612"/>
      <c r="BR343" s="612">
        <v>1</v>
      </c>
      <c r="BS343" s="576" t="s">
        <v>778</v>
      </c>
      <c r="BT343" s="576"/>
      <c r="DD343" s="561"/>
      <c r="DE343" s="562"/>
      <c r="DF343" s="577"/>
      <c r="DG343" s="577"/>
      <c r="DH343" s="577"/>
      <c r="DI343" s="577"/>
      <c r="DJ343" s="577"/>
      <c r="DK343" s="577"/>
      <c r="DL343" s="577"/>
      <c r="DM343" s="577"/>
      <c r="DN343" s="577"/>
      <c r="DO343" s="577"/>
      <c r="DP343" s="577"/>
      <c r="DQ343" s="600"/>
      <c r="DR343" s="600"/>
      <c r="DS343" s="577"/>
      <c r="DT343" s="577"/>
      <c r="DU343" s="577"/>
      <c r="DV343" s="577"/>
      <c r="DW343" s="577"/>
      <c r="DX343" s="577"/>
    </row>
    <row r="344" spans="2:128" s="560" customFormat="1">
      <c r="P344" s="561"/>
      <c r="Q344" s="562"/>
      <c r="R344" s="562">
        <v>0.55000000000000004</v>
      </c>
      <c r="S344" s="562"/>
      <c r="T344" s="562"/>
      <c r="U344" s="562"/>
      <c r="V344" s="562"/>
      <c r="W344" s="562"/>
      <c r="X344" s="562"/>
      <c r="Y344" s="562"/>
      <c r="Z344" s="562"/>
      <c r="AA344" s="562"/>
      <c r="AB344" s="562"/>
      <c r="AC344" s="607" t="s">
        <v>813</v>
      </c>
      <c r="AD344" s="608" t="s">
        <v>552</v>
      </c>
      <c r="AE344" s="561"/>
      <c r="AF344" s="568">
        <v>9</v>
      </c>
      <c r="AG344" s="562"/>
      <c r="AH344" s="577"/>
      <c r="AI344" s="577"/>
      <c r="AJ344" s="577"/>
      <c r="AK344" s="577">
        <v>1</v>
      </c>
      <c r="AL344" s="577"/>
      <c r="AM344" s="577"/>
      <c r="AN344" s="562">
        <v>2.1</v>
      </c>
      <c r="AO344" s="562">
        <f t="shared" si="59"/>
        <v>4.2</v>
      </c>
      <c r="AP344" s="598">
        <v>0.140625</v>
      </c>
      <c r="AQ344" s="599">
        <v>3.8610526315789473</v>
      </c>
      <c r="AR344" s="599">
        <f t="shared" si="60"/>
        <v>0.33894736842105289</v>
      </c>
      <c r="AS344" s="600"/>
      <c r="AT344" s="600">
        <v>1</v>
      </c>
      <c r="AU344" s="577" t="s">
        <v>778</v>
      </c>
      <c r="AV344" s="577"/>
      <c r="AW344" s="562"/>
      <c r="AX344" s="625" t="s">
        <v>811</v>
      </c>
      <c r="AY344" s="649">
        <f>MAX(AR333:AR371)</f>
        <v>1.9515789473684211</v>
      </c>
      <c r="AZ344" s="562"/>
      <c r="BA344" s="607" t="s">
        <v>815</v>
      </c>
      <c r="BB344" s="608" t="s">
        <v>816</v>
      </c>
      <c r="BD344" s="576">
        <v>21</v>
      </c>
      <c r="BF344" s="576"/>
      <c r="BG344" s="576"/>
      <c r="BH344" s="576"/>
      <c r="BI344" s="576">
        <v>1</v>
      </c>
      <c r="BJ344" s="576"/>
      <c r="BK344" s="576"/>
      <c r="BL344" s="576">
        <v>2.1</v>
      </c>
      <c r="BM344" s="576">
        <f t="shared" si="57"/>
        <v>4.2</v>
      </c>
      <c r="BN344" s="576"/>
      <c r="BO344" s="611">
        <v>3.90625</v>
      </c>
      <c r="BP344" s="611">
        <f t="shared" si="58"/>
        <v>0.29375000000000018</v>
      </c>
      <c r="BQ344" s="612"/>
      <c r="BR344" s="612">
        <v>1</v>
      </c>
      <c r="BS344" s="576" t="s">
        <v>778</v>
      </c>
      <c r="BT344" s="576"/>
      <c r="DD344" s="561"/>
      <c r="DE344" s="562"/>
      <c r="DF344" s="577"/>
      <c r="DG344" s="577"/>
      <c r="DH344" s="577"/>
      <c r="DI344" s="577"/>
      <c r="DJ344" s="577"/>
      <c r="DK344" s="577"/>
      <c r="DL344" s="577"/>
      <c r="DM344" s="577"/>
      <c r="DN344" s="577"/>
      <c r="DO344" s="577"/>
      <c r="DP344" s="577"/>
      <c r="DQ344" s="600"/>
      <c r="DR344" s="600"/>
      <c r="DS344" s="577"/>
      <c r="DT344" s="577"/>
      <c r="DU344" s="577"/>
      <c r="DV344" s="577"/>
      <c r="DW344" s="577"/>
      <c r="DX344" s="577"/>
    </row>
    <row r="345" spans="2:128" s="560" customFormat="1">
      <c r="P345" s="561"/>
      <c r="Q345" s="562"/>
      <c r="R345" s="562">
        <v>0.5</v>
      </c>
      <c r="S345" s="562"/>
      <c r="T345" s="562"/>
      <c r="U345" s="562"/>
      <c r="V345" s="562"/>
      <c r="W345" s="562"/>
      <c r="X345" s="562"/>
      <c r="Y345" s="562"/>
      <c r="Z345" s="562"/>
      <c r="AA345" s="562"/>
      <c r="AB345" s="562"/>
      <c r="AC345" s="607" t="s">
        <v>815</v>
      </c>
      <c r="AD345" s="608" t="s">
        <v>816</v>
      </c>
      <c r="AE345" s="561"/>
      <c r="AF345" s="568">
        <v>10</v>
      </c>
      <c r="AG345" s="562"/>
      <c r="AH345" s="577">
        <v>0.4</v>
      </c>
      <c r="AI345" s="577" t="s">
        <v>793</v>
      </c>
      <c r="AJ345" s="577"/>
      <c r="AK345" s="577">
        <v>1</v>
      </c>
      <c r="AL345" s="577"/>
      <c r="AM345" s="577">
        <v>1</v>
      </c>
      <c r="AN345" s="562">
        <v>2.9</v>
      </c>
      <c r="AO345" s="562">
        <f t="shared" si="59"/>
        <v>5.8</v>
      </c>
      <c r="AP345" s="598">
        <v>0.140625</v>
      </c>
      <c r="AQ345" s="599">
        <v>3.8484210526315787</v>
      </c>
      <c r="AR345" s="599">
        <f t="shared" si="60"/>
        <v>1.9515789473684211</v>
      </c>
      <c r="AS345" s="600"/>
      <c r="AT345" s="600">
        <v>1</v>
      </c>
      <c r="AU345" s="577" t="s">
        <v>778</v>
      </c>
      <c r="AV345" s="577">
        <v>2462</v>
      </c>
      <c r="AW345" s="562"/>
      <c r="AX345" s="625" t="s">
        <v>814</v>
      </c>
      <c r="AY345" s="649">
        <f>MIN(AR333:AR370)</f>
        <v>0.12631578947368416</v>
      </c>
      <c r="AZ345" s="562"/>
      <c r="BA345" s="562"/>
      <c r="BB345" s="563"/>
      <c r="BD345" s="576">
        <v>22</v>
      </c>
      <c r="BF345" s="576"/>
      <c r="BG345" s="576"/>
      <c r="BH345" s="576"/>
      <c r="BI345" s="576">
        <v>1</v>
      </c>
      <c r="BJ345" s="576"/>
      <c r="BK345" s="576"/>
      <c r="BL345" s="576">
        <v>2.2000000000000002</v>
      </c>
      <c r="BM345" s="576">
        <f t="shared" si="57"/>
        <v>4.4000000000000004</v>
      </c>
      <c r="BN345" s="576"/>
      <c r="BO345" s="611">
        <v>3.9140625</v>
      </c>
      <c r="BP345" s="611">
        <f t="shared" si="58"/>
        <v>0.48593750000000036</v>
      </c>
      <c r="BQ345" s="612"/>
      <c r="BR345" s="612">
        <v>1</v>
      </c>
      <c r="BS345" s="576" t="s">
        <v>778</v>
      </c>
      <c r="BT345" s="576"/>
      <c r="DD345" s="561"/>
      <c r="DE345" s="562"/>
      <c r="DF345" s="577"/>
      <c r="DG345" s="577"/>
      <c r="DH345" s="577"/>
      <c r="DI345" s="577"/>
      <c r="DJ345" s="577"/>
      <c r="DK345" s="577"/>
      <c r="DL345" s="577"/>
      <c r="DM345" s="577"/>
      <c r="DN345" s="577"/>
      <c r="DO345" s="577"/>
      <c r="DP345" s="577"/>
      <c r="DQ345" s="600"/>
      <c r="DR345" s="600"/>
      <c r="DS345" s="577"/>
      <c r="DT345" s="577"/>
      <c r="DU345" s="577"/>
      <c r="DV345" s="577"/>
      <c r="DW345" s="577"/>
      <c r="DX345" s="577"/>
    </row>
    <row r="346" spans="2:128" s="560" customFormat="1">
      <c r="P346" s="561"/>
      <c r="Q346" s="562"/>
      <c r="R346" s="562">
        <v>0.6</v>
      </c>
      <c r="S346" s="562"/>
      <c r="T346" s="562"/>
      <c r="U346" s="562"/>
      <c r="V346" s="562"/>
      <c r="W346" s="562"/>
      <c r="X346" s="562"/>
      <c r="Y346" s="562"/>
      <c r="Z346" s="562"/>
      <c r="AA346" s="562"/>
      <c r="AB346" s="562"/>
      <c r="AC346" s="562"/>
      <c r="AD346" s="563"/>
      <c r="AE346" s="561"/>
      <c r="AF346" s="568">
        <v>11</v>
      </c>
      <c r="AG346" s="562"/>
      <c r="AH346" s="577">
        <v>0.1</v>
      </c>
      <c r="AI346" s="577" t="s">
        <v>793</v>
      </c>
      <c r="AJ346" s="577"/>
      <c r="AK346" s="577">
        <v>1</v>
      </c>
      <c r="AL346" s="577"/>
      <c r="AM346" s="577">
        <v>1</v>
      </c>
      <c r="AN346" s="562">
        <v>2</v>
      </c>
      <c r="AO346" s="562">
        <f t="shared" si="59"/>
        <v>4</v>
      </c>
      <c r="AP346" s="598">
        <v>0.140625</v>
      </c>
      <c r="AQ346" s="599">
        <v>3.8357894736842106</v>
      </c>
      <c r="AR346" s="599">
        <f t="shared" si="60"/>
        <v>0.16421052631578936</v>
      </c>
      <c r="AS346" s="600"/>
      <c r="AT346" s="600">
        <v>1</v>
      </c>
      <c r="AU346" s="577" t="s">
        <v>778</v>
      </c>
      <c r="AV346" s="577">
        <v>2461</v>
      </c>
      <c r="AW346" s="562"/>
      <c r="AX346" s="625" t="s">
        <v>817</v>
      </c>
      <c r="AY346" s="649">
        <f>AVERAGE(AR333:AR371)</f>
        <v>0.37195246179966052</v>
      </c>
      <c r="AZ346" s="562"/>
      <c r="BA346" s="562"/>
      <c r="BB346" s="563"/>
      <c r="BD346" s="576">
        <v>23</v>
      </c>
      <c r="BF346" s="576"/>
      <c r="BG346" s="576"/>
      <c r="BH346" s="576"/>
      <c r="BI346" s="576">
        <v>1</v>
      </c>
      <c r="BJ346" s="576"/>
      <c r="BK346" s="576"/>
      <c r="BL346" s="576">
        <v>2.1</v>
      </c>
      <c r="BM346" s="576">
        <f t="shared" si="57"/>
        <v>4.2</v>
      </c>
      <c r="BN346" s="576"/>
      <c r="BO346" s="611">
        <v>3.921875</v>
      </c>
      <c r="BP346" s="611">
        <f t="shared" si="58"/>
        <v>0.27812500000000018</v>
      </c>
      <c r="BQ346" s="612"/>
      <c r="BR346" s="612">
        <v>1</v>
      </c>
      <c r="BS346" s="576" t="s">
        <v>778</v>
      </c>
      <c r="BT346" s="576"/>
      <c r="DD346" s="561"/>
      <c r="DE346" s="562"/>
      <c r="DF346" s="577"/>
      <c r="DG346" s="577"/>
      <c r="DH346" s="577"/>
      <c r="DI346" s="577"/>
      <c r="DJ346" s="577"/>
      <c r="DK346" s="577"/>
      <c r="DL346" s="577"/>
      <c r="DM346" s="577"/>
      <c r="DN346" s="577"/>
      <c r="DO346" s="577"/>
      <c r="DP346" s="577"/>
      <c r="DQ346" s="600"/>
      <c r="DR346" s="600"/>
      <c r="DS346" s="577"/>
      <c r="DT346" s="577"/>
      <c r="DU346" s="577"/>
      <c r="DV346" s="577"/>
      <c r="DW346" s="577"/>
      <c r="DX346" s="577"/>
    </row>
    <row r="347" spans="2:128" s="560" customFormat="1">
      <c r="P347" s="561"/>
      <c r="Q347" s="562"/>
      <c r="R347" s="562">
        <v>0.5</v>
      </c>
      <c r="S347" s="562"/>
      <c r="T347" s="562"/>
      <c r="U347" s="562"/>
      <c r="V347" s="562"/>
      <c r="W347" s="562"/>
      <c r="X347" s="562"/>
      <c r="Y347" s="562"/>
      <c r="Z347" s="562"/>
      <c r="AA347" s="562"/>
      <c r="AB347" s="562"/>
      <c r="AC347" s="562"/>
      <c r="AD347" s="563"/>
      <c r="AE347" s="561"/>
      <c r="AF347" s="568">
        <v>12</v>
      </c>
      <c r="AG347" s="562"/>
      <c r="AH347" s="577">
        <v>0.6</v>
      </c>
      <c r="AI347" s="577" t="s">
        <v>778</v>
      </c>
      <c r="AJ347" s="577">
        <v>1</v>
      </c>
      <c r="AK347" s="577"/>
      <c r="AL347" s="577"/>
      <c r="AM347" s="577"/>
      <c r="AN347" s="562">
        <v>2.1</v>
      </c>
      <c r="AO347" s="562">
        <f t="shared" si="59"/>
        <v>4.2</v>
      </c>
      <c r="AP347" s="598">
        <v>0.140625</v>
      </c>
      <c r="AQ347" s="599">
        <v>3.8231578947368421</v>
      </c>
      <c r="AR347" s="599">
        <f t="shared" si="60"/>
        <v>0.37684210526315809</v>
      </c>
      <c r="AS347" s="600"/>
      <c r="AT347" s="600">
        <v>1</v>
      </c>
      <c r="AU347" s="577" t="s">
        <v>778</v>
      </c>
      <c r="AV347" s="577">
        <v>2460</v>
      </c>
      <c r="AW347" s="562"/>
      <c r="AX347" s="625" t="s">
        <v>818</v>
      </c>
      <c r="AY347" s="625">
        <f>STDEV(AR333:AR370)</f>
        <v>0.37191967877588444</v>
      </c>
      <c r="AZ347" s="562"/>
      <c r="BA347" s="562"/>
      <c r="BB347" s="563"/>
      <c r="BD347" s="576">
        <v>24</v>
      </c>
      <c r="BF347" s="576"/>
      <c r="BG347" s="576"/>
      <c r="BH347" s="576"/>
      <c r="BI347" s="576">
        <v>1</v>
      </c>
      <c r="BJ347" s="576"/>
      <c r="BK347" s="576"/>
      <c r="BL347" s="576">
        <v>2.2999999999999998</v>
      </c>
      <c r="BM347" s="576">
        <f t="shared" si="57"/>
        <v>4.5999999999999996</v>
      </c>
      <c r="BN347" s="576"/>
      <c r="BO347" s="611">
        <v>3.9296875</v>
      </c>
      <c r="BP347" s="611">
        <f t="shared" si="58"/>
        <v>0.67031249999999964</v>
      </c>
      <c r="BQ347" s="612"/>
      <c r="BR347" s="612">
        <v>1</v>
      </c>
      <c r="BS347" s="576" t="s">
        <v>778</v>
      </c>
      <c r="BT347" s="576"/>
      <c r="DD347" s="561"/>
      <c r="DE347" s="562"/>
      <c r="DF347" s="577"/>
      <c r="DG347" s="577"/>
      <c r="DH347" s="577"/>
      <c r="DI347" s="577"/>
      <c r="DJ347" s="577"/>
      <c r="DK347" s="577"/>
      <c r="DL347" s="577"/>
      <c r="DM347" s="577"/>
      <c r="DN347" s="577"/>
      <c r="DO347" s="577"/>
      <c r="DP347" s="577"/>
      <c r="DQ347" s="600"/>
      <c r="DR347" s="600"/>
      <c r="DS347" s="577"/>
      <c r="DT347" s="577"/>
      <c r="DU347" s="577"/>
      <c r="DV347" s="577"/>
      <c r="DW347" s="577"/>
      <c r="DX347" s="577"/>
    </row>
    <row r="348" spans="2:128" s="560" customFormat="1">
      <c r="P348" s="561"/>
      <c r="Q348" s="562"/>
      <c r="R348" s="562">
        <v>0.6</v>
      </c>
      <c r="S348" s="562"/>
      <c r="T348" s="562"/>
      <c r="U348" s="562"/>
      <c r="V348" s="562"/>
      <c r="W348" s="562"/>
      <c r="X348" s="562"/>
      <c r="Y348" s="562"/>
      <c r="Z348" s="562"/>
      <c r="AA348" s="562"/>
      <c r="AB348" s="562"/>
      <c r="AC348" s="562"/>
      <c r="AD348" s="563"/>
      <c r="AE348" s="561"/>
      <c r="AF348" s="568">
        <v>13</v>
      </c>
      <c r="AG348" s="562"/>
      <c r="AH348" s="577">
        <v>1</v>
      </c>
      <c r="AI348" s="577" t="s">
        <v>793</v>
      </c>
      <c r="AJ348" s="577"/>
      <c r="AK348" s="577">
        <v>1</v>
      </c>
      <c r="AL348" s="577"/>
      <c r="AM348" s="577">
        <v>1</v>
      </c>
      <c r="AN348" s="562">
        <v>2.1</v>
      </c>
      <c r="AO348" s="562">
        <f t="shared" si="59"/>
        <v>4.2</v>
      </c>
      <c r="AP348" s="598">
        <v>0.140625</v>
      </c>
      <c r="AQ348" s="599">
        <v>3.8105263157894735</v>
      </c>
      <c r="AR348" s="599">
        <f t="shared" si="60"/>
        <v>0.38947368421052664</v>
      </c>
      <c r="AS348" s="600"/>
      <c r="AT348" s="600">
        <v>1</v>
      </c>
      <c r="AU348" s="577" t="s">
        <v>778</v>
      </c>
      <c r="AV348" s="577">
        <v>2459</v>
      </c>
      <c r="AW348" s="562"/>
      <c r="AX348" s="562"/>
      <c r="AY348" s="562"/>
      <c r="AZ348" s="562"/>
      <c r="BA348" s="562"/>
      <c r="BB348" s="563"/>
      <c r="BD348" s="576">
        <v>25</v>
      </c>
      <c r="BF348" s="576"/>
      <c r="BG348" s="576"/>
      <c r="BH348" s="576"/>
      <c r="BI348" s="576">
        <v>1</v>
      </c>
      <c r="BJ348" s="576"/>
      <c r="BK348" s="576"/>
      <c r="BL348" s="576">
        <v>3.5</v>
      </c>
      <c r="BM348" s="576">
        <f t="shared" si="57"/>
        <v>7</v>
      </c>
      <c r="BN348" s="576" t="s">
        <v>843</v>
      </c>
      <c r="BO348" s="611">
        <v>3.9375</v>
      </c>
      <c r="BP348" s="611">
        <f t="shared" si="58"/>
        <v>3.0625</v>
      </c>
      <c r="BQ348" s="612">
        <v>1</v>
      </c>
      <c r="BR348" s="612"/>
      <c r="BS348" s="576" t="s">
        <v>778</v>
      </c>
      <c r="BT348" s="576"/>
      <c r="DD348" s="561"/>
      <c r="DE348" s="562"/>
      <c r="DF348" s="577"/>
      <c r="DG348" s="577"/>
      <c r="DH348" s="577"/>
      <c r="DI348" s="577"/>
      <c r="DJ348" s="577"/>
      <c r="DK348" s="577"/>
      <c r="DL348" s="577"/>
      <c r="DM348" s="577"/>
      <c r="DN348" s="577"/>
      <c r="DO348" s="577"/>
      <c r="DP348" s="577"/>
      <c r="DQ348" s="600"/>
      <c r="DR348" s="600"/>
      <c r="DS348" s="577"/>
      <c r="DT348" s="577"/>
      <c r="DU348" s="577"/>
      <c r="DV348" s="577"/>
      <c r="DW348" s="577"/>
      <c r="DX348" s="577"/>
    </row>
    <row r="349" spans="2:128" s="560" customFormat="1">
      <c r="P349" s="561"/>
      <c r="Q349" s="562"/>
      <c r="R349" s="562">
        <v>0.6</v>
      </c>
      <c r="S349" s="562"/>
      <c r="T349" s="562"/>
      <c r="U349" s="562"/>
      <c r="V349" s="562"/>
      <c r="W349" s="562"/>
      <c r="X349" s="562"/>
      <c r="Y349" s="562"/>
      <c r="Z349" s="562"/>
      <c r="AA349" s="562"/>
      <c r="AB349" s="562"/>
      <c r="AC349" s="562"/>
      <c r="AD349" s="563"/>
      <c r="AE349" s="561"/>
      <c r="AF349" s="568">
        <v>14</v>
      </c>
      <c r="AG349" s="562"/>
      <c r="AH349" s="577">
        <v>0.2</v>
      </c>
      <c r="AI349" s="577" t="s">
        <v>793</v>
      </c>
      <c r="AJ349" s="577"/>
      <c r="AK349" s="577">
        <v>1</v>
      </c>
      <c r="AL349" s="577"/>
      <c r="AM349" s="577">
        <v>1</v>
      </c>
      <c r="AN349" s="562">
        <v>2</v>
      </c>
      <c r="AO349" s="562">
        <f t="shared" si="59"/>
        <v>4</v>
      </c>
      <c r="AP349" s="598">
        <v>0.140625</v>
      </c>
      <c r="AQ349" s="599">
        <v>3.797894736842105</v>
      </c>
      <c r="AR349" s="599">
        <f t="shared" si="60"/>
        <v>0.20210526315789501</v>
      </c>
      <c r="AS349" s="600"/>
      <c r="AT349" s="600">
        <v>1</v>
      </c>
      <c r="AU349" s="577" t="s">
        <v>778</v>
      </c>
      <c r="AV349" s="577">
        <v>2458</v>
      </c>
      <c r="AW349" s="562"/>
      <c r="AX349" s="562"/>
      <c r="AY349" s="562"/>
      <c r="AZ349" s="562"/>
      <c r="BA349" s="562"/>
      <c r="BB349" s="563"/>
      <c r="BD349" s="576">
        <v>26</v>
      </c>
      <c r="BF349" s="576"/>
      <c r="BG349" s="576"/>
      <c r="BH349" s="576"/>
      <c r="BI349" s="576">
        <v>1</v>
      </c>
      <c r="BJ349" s="576"/>
      <c r="BK349" s="576"/>
      <c r="BL349" s="576">
        <v>2</v>
      </c>
      <c r="BM349" s="576">
        <f t="shared" si="57"/>
        <v>4</v>
      </c>
      <c r="BN349" s="576"/>
      <c r="BO349" s="611">
        <v>3.9453125</v>
      </c>
      <c r="BP349" s="611">
        <f t="shared" si="58"/>
        <v>5.46875E-2</v>
      </c>
      <c r="BQ349" s="612"/>
      <c r="BR349" s="612">
        <v>1</v>
      </c>
      <c r="BS349" s="576" t="s">
        <v>778</v>
      </c>
      <c r="BT349" s="576"/>
      <c r="DD349" s="561"/>
      <c r="DE349" s="562"/>
      <c r="DF349" s="577"/>
      <c r="DG349" s="577"/>
      <c r="DH349" s="577"/>
      <c r="DI349" s="577"/>
      <c r="DJ349" s="577"/>
      <c r="DK349" s="577"/>
      <c r="DL349" s="577"/>
      <c r="DM349" s="577"/>
      <c r="DN349" s="577"/>
      <c r="DO349" s="577"/>
      <c r="DP349" s="577"/>
      <c r="DQ349" s="600"/>
      <c r="DR349" s="600"/>
      <c r="DS349" s="577"/>
      <c r="DT349" s="577"/>
      <c r="DU349" s="577"/>
      <c r="DV349" s="577"/>
      <c r="DW349" s="577"/>
      <c r="DX349" s="577"/>
    </row>
    <row r="350" spans="2:128" s="560" customFormat="1">
      <c r="P350" s="561"/>
      <c r="Q350" s="562"/>
      <c r="R350" s="562">
        <v>0.6</v>
      </c>
      <c r="S350" s="562"/>
      <c r="T350" s="562"/>
      <c r="U350" s="562"/>
      <c r="V350" s="562"/>
      <c r="W350" s="562"/>
      <c r="X350" s="562"/>
      <c r="Y350" s="562"/>
      <c r="Z350" s="562"/>
      <c r="AA350" s="562"/>
      <c r="AB350" s="562"/>
      <c r="AC350" s="562"/>
      <c r="AD350" s="563"/>
      <c r="AE350" s="561"/>
      <c r="AF350" s="568">
        <v>15</v>
      </c>
      <c r="AG350" s="562"/>
      <c r="AH350" s="577"/>
      <c r="AI350" s="577"/>
      <c r="AJ350" s="577"/>
      <c r="AK350" s="577">
        <v>1</v>
      </c>
      <c r="AL350" s="577"/>
      <c r="AM350" s="577"/>
      <c r="AN350" s="562">
        <v>2</v>
      </c>
      <c r="AO350" s="562">
        <f t="shared" si="59"/>
        <v>4</v>
      </c>
      <c r="AP350" s="598">
        <v>0.140625</v>
      </c>
      <c r="AQ350" s="599">
        <v>3.7852631578947369</v>
      </c>
      <c r="AR350" s="599">
        <f t="shared" si="60"/>
        <v>0.21473684210526311</v>
      </c>
      <c r="AS350" s="600"/>
      <c r="AT350" s="600">
        <v>1</v>
      </c>
      <c r="AU350" s="577" t="s">
        <v>778</v>
      </c>
      <c r="AV350" s="577"/>
      <c r="AW350" s="562"/>
      <c r="AX350" s="562"/>
      <c r="AY350" s="562"/>
      <c r="AZ350" s="562"/>
      <c r="BA350" s="562"/>
      <c r="BB350" s="563"/>
      <c r="BD350" s="576">
        <v>27</v>
      </c>
      <c r="BF350" s="576">
        <v>0.1</v>
      </c>
      <c r="BG350" s="576" t="s">
        <v>777</v>
      </c>
      <c r="BH350" s="576">
        <v>1</v>
      </c>
      <c r="BI350" s="576"/>
      <c r="BJ350" s="576"/>
      <c r="BK350" s="576"/>
      <c r="BL350" s="576">
        <v>2</v>
      </c>
      <c r="BM350" s="576">
        <f t="shared" si="57"/>
        <v>4</v>
      </c>
      <c r="BN350" s="576"/>
      <c r="BO350" s="611">
        <v>3.953125</v>
      </c>
      <c r="BP350" s="611">
        <f t="shared" si="58"/>
        <v>4.6875E-2</v>
      </c>
      <c r="BQ350" s="612"/>
      <c r="BR350" s="612">
        <v>1</v>
      </c>
      <c r="BS350" s="576" t="s">
        <v>778</v>
      </c>
      <c r="BT350" s="576">
        <v>1536</v>
      </c>
      <c r="DD350" s="561"/>
      <c r="DE350" s="562"/>
      <c r="DF350" s="577"/>
      <c r="DG350" s="577"/>
      <c r="DH350" s="577"/>
      <c r="DI350" s="577"/>
      <c r="DJ350" s="577"/>
      <c r="DK350" s="577"/>
      <c r="DL350" s="577"/>
      <c r="DM350" s="577"/>
      <c r="DN350" s="577"/>
      <c r="DO350" s="577"/>
      <c r="DP350" s="577"/>
      <c r="DQ350" s="600"/>
      <c r="DR350" s="600"/>
      <c r="DS350" s="577"/>
      <c r="DT350" s="577"/>
      <c r="DU350" s="577"/>
      <c r="DV350" s="577"/>
      <c r="DW350" s="577"/>
      <c r="DX350" s="577"/>
    </row>
    <row r="351" spans="2:128" s="560" customFormat="1">
      <c r="P351" s="561"/>
      <c r="Q351" s="562"/>
      <c r="R351" s="562">
        <v>0.6</v>
      </c>
      <c r="S351" s="562"/>
      <c r="T351" s="562"/>
      <c r="U351" s="562"/>
      <c r="V351" s="562"/>
      <c r="W351" s="562"/>
      <c r="X351" s="562"/>
      <c r="Y351" s="562"/>
      <c r="Z351" s="562"/>
      <c r="AA351" s="562"/>
      <c r="AB351" s="562"/>
      <c r="AC351" s="562"/>
      <c r="AD351" s="563"/>
      <c r="AE351" s="561"/>
      <c r="AF351" s="568">
        <v>16</v>
      </c>
      <c r="AG351" s="562"/>
      <c r="AH351" s="577">
        <v>0.2</v>
      </c>
      <c r="AI351" s="577" t="s">
        <v>793</v>
      </c>
      <c r="AJ351" s="577"/>
      <c r="AK351" s="577">
        <v>1</v>
      </c>
      <c r="AL351" s="577"/>
      <c r="AM351" s="577">
        <v>1</v>
      </c>
      <c r="AN351" s="562">
        <v>2</v>
      </c>
      <c r="AO351" s="562">
        <f t="shared" si="59"/>
        <v>4</v>
      </c>
      <c r="AP351" s="598">
        <v>0.140625</v>
      </c>
      <c r="AQ351" s="599">
        <v>3.7726315789473683</v>
      </c>
      <c r="AR351" s="599">
        <f t="shared" si="60"/>
        <v>0.22736842105263166</v>
      </c>
      <c r="AS351" s="600"/>
      <c r="AT351" s="600">
        <v>1</v>
      </c>
      <c r="AU351" s="577" t="s">
        <v>778</v>
      </c>
      <c r="AV351" s="577">
        <v>2457</v>
      </c>
      <c r="AW351" s="562"/>
      <c r="AX351" s="562"/>
      <c r="AY351" s="562"/>
      <c r="AZ351" s="562"/>
      <c r="BA351" s="562"/>
      <c r="BB351" s="563"/>
      <c r="BD351" s="576">
        <v>28</v>
      </c>
      <c r="BF351" s="576"/>
      <c r="BG351" s="576"/>
      <c r="BH351" s="576"/>
      <c r="BI351" s="576">
        <v>1</v>
      </c>
      <c r="BJ351" s="576"/>
      <c r="BK351" s="576"/>
      <c r="BL351" s="576">
        <v>2.25</v>
      </c>
      <c r="BM351" s="576">
        <f t="shared" si="57"/>
        <v>4.5</v>
      </c>
      <c r="BN351" s="576"/>
      <c r="BO351" s="611">
        <v>3.9609375</v>
      </c>
      <c r="BP351" s="611">
        <f t="shared" si="58"/>
        <v>0.5390625</v>
      </c>
      <c r="BQ351" s="612"/>
      <c r="BR351" s="612">
        <v>1</v>
      </c>
      <c r="BS351" s="576" t="s">
        <v>778</v>
      </c>
      <c r="BT351" s="576"/>
      <c r="DD351" s="561"/>
      <c r="DE351" s="562"/>
      <c r="DF351" s="577"/>
      <c r="DG351" s="577"/>
      <c r="DH351" s="577"/>
      <c r="DI351" s="577"/>
      <c r="DJ351" s="577"/>
      <c r="DK351" s="577"/>
      <c r="DL351" s="577"/>
      <c r="DM351" s="577"/>
      <c r="DN351" s="577"/>
      <c r="DO351" s="577"/>
      <c r="DP351" s="577"/>
      <c r="DQ351" s="600"/>
      <c r="DR351" s="600"/>
      <c r="DS351" s="577"/>
      <c r="DT351" s="577"/>
      <c r="DU351" s="577"/>
      <c r="DV351" s="577"/>
      <c r="DW351" s="577"/>
      <c r="DX351" s="577"/>
    </row>
    <row r="352" spans="2:128" s="560" customFormat="1">
      <c r="P352" s="561"/>
      <c r="Q352" s="562"/>
      <c r="R352" s="562">
        <v>0.55000000000000004</v>
      </c>
      <c r="S352" s="562"/>
      <c r="T352" s="562"/>
      <c r="U352" s="562"/>
      <c r="V352" s="562"/>
      <c r="W352" s="562"/>
      <c r="X352" s="562"/>
      <c r="Y352" s="562"/>
      <c r="Z352" s="562"/>
      <c r="AA352" s="562"/>
      <c r="AB352" s="562"/>
      <c r="AC352" s="562"/>
      <c r="AD352" s="563"/>
      <c r="AE352" s="561"/>
      <c r="AF352" s="562" t="s">
        <v>778</v>
      </c>
      <c r="AG352" s="562"/>
      <c r="AH352" s="577">
        <v>0.1</v>
      </c>
      <c r="AI352" s="577" t="s">
        <v>793</v>
      </c>
      <c r="AJ352" s="577"/>
      <c r="AK352" s="577"/>
      <c r="AL352" s="577"/>
      <c r="AM352" s="577">
        <v>1</v>
      </c>
      <c r="AN352" s="562"/>
      <c r="AO352" s="562"/>
      <c r="AP352" s="598"/>
      <c r="AQ352" s="599"/>
      <c r="AR352" s="599"/>
      <c r="AS352" s="600"/>
      <c r="AT352" s="600"/>
      <c r="AU352" s="577"/>
      <c r="AV352" s="577">
        <v>2456</v>
      </c>
      <c r="AW352" s="562"/>
      <c r="AX352" s="562"/>
      <c r="AY352" s="562"/>
      <c r="AZ352" s="562"/>
      <c r="BA352" s="562"/>
      <c r="BB352" s="563"/>
      <c r="BD352" s="576">
        <v>29</v>
      </c>
      <c r="BF352" s="576"/>
      <c r="BG352" s="576"/>
      <c r="BH352" s="576"/>
      <c r="BI352" s="576">
        <v>1</v>
      </c>
      <c r="BJ352" s="576"/>
      <c r="BK352" s="576"/>
      <c r="BL352" s="576">
        <v>2.2000000000000002</v>
      </c>
      <c r="BM352" s="576">
        <f t="shared" si="57"/>
        <v>4.4000000000000004</v>
      </c>
      <c r="BN352" s="576"/>
      <c r="BO352" s="611">
        <v>3.96875</v>
      </c>
      <c r="BP352" s="611">
        <f t="shared" si="58"/>
        <v>0.43125000000000036</v>
      </c>
      <c r="BQ352" s="612"/>
      <c r="BR352" s="612">
        <v>1</v>
      </c>
      <c r="BS352" s="576" t="s">
        <v>778</v>
      </c>
      <c r="BT352" s="576"/>
      <c r="DD352" s="561"/>
      <c r="DE352" s="562"/>
      <c r="DF352" s="577"/>
      <c r="DG352" s="577"/>
      <c r="DH352" s="577"/>
      <c r="DI352" s="577"/>
      <c r="DJ352" s="577"/>
      <c r="DK352" s="577"/>
      <c r="DL352" s="577"/>
      <c r="DM352" s="577"/>
      <c r="DN352" s="577"/>
      <c r="DO352" s="577"/>
      <c r="DP352" s="577"/>
      <c r="DQ352" s="600"/>
      <c r="DR352" s="600"/>
      <c r="DS352" s="577"/>
      <c r="DT352" s="577"/>
      <c r="DU352" s="577"/>
      <c r="DV352" s="577"/>
      <c r="DW352" s="577"/>
      <c r="DX352" s="577"/>
    </row>
    <row r="353" spans="17:128" s="560" customFormat="1">
      <c r="Q353" s="562"/>
      <c r="R353" s="562">
        <v>0.44</v>
      </c>
      <c r="S353" s="562"/>
      <c r="T353" s="562"/>
      <c r="U353" s="562"/>
      <c r="V353" s="562"/>
      <c r="W353" s="562"/>
      <c r="X353" s="562"/>
      <c r="Y353" s="562"/>
      <c r="Z353" s="562"/>
      <c r="AA353" s="562"/>
      <c r="AB353" s="562"/>
      <c r="AC353" s="562"/>
      <c r="AD353" s="563"/>
      <c r="AE353" s="561"/>
      <c r="AF353" s="568">
        <v>17</v>
      </c>
      <c r="AG353" s="562"/>
      <c r="AH353" s="577">
        <v>2.4</v>
      </c>
      <c r="AI353" s="577" t="s">
        <v>793</v>
      </c>
      <c r="AJ353" s="577"/>
      <c r="AK353" s="577">
        <v>1</v>
      </c>
      <c r="AL353" s="577"/>
      <c r="AM353" s="577">
        <v>1</v>
      </c>
      <c r="AN353" s="562">
        <v>2.0499999999999998</v>
      </c>
      <c r="AO353" s="562">
        <f t="shared" ref="AO353:AO358" si="61">AN353+AN353</f>
        <v>4.0999999999999996</v>
      </c>
      <c r="AP353" s="598">
        <v>0.140625</v>
      </c>
      <c r="AQ353" s="599">
        <v>3.7473684210526317</v>
      </c>
      <c r="AR353" s="599">
        <f t="shared" ref="AR353:AR358" si="62">AO353-AQ353</f>
        <v>0.35263157894736796</v>
      </c>
      <c r="AS353" s="600"/>
      <c r="AT353" s="600">
        <v>1</v>
      </c>
      <c r="AU353" s="577" t="s">
        <v>778</v>
      </c>
      <c r="AV353" s="577">
        <v>2455</v>
      </c>
      <c r="AW353" s="562"/>
      <c r="AX353" s="562"/>
      <c r="AY353" s="562"/>
      <c r="AZ353" s="562"/>
      <c r="BA353" s="562"/>
      <c r="BB353" s="563"/>
      <c r="BD353" s="576">
        <v>30</v>
      </c>
      <c r="BF353" s="576"/>
      <c r="BG353" s="576"/>
      <c r="BH353" s="576"/>
      <c r="BI353" s="576">
        <v>1</v>
      </c>
      <c r="BJ353" s="576"/>
      <c r="BK353" s="576"/>
      <c r="BL353" s="576">
        <v>2.2999999999999998</v>
      </c>
      <c r="BM353" s="576">
        <f t="shared" si="57"/>
        <v>4.5999999999999996</v>
      </c>
      <c r="BN353" s="576"/>
      <c r="BO353" s="611">
        <v>3.9765625</v>
      </c>
      <c r="BP353" s="611">
        <f t="shared" si="58"/>
        <v>0.62343749999999964</v>
      </c>
      <c r="BQ353" s="612"/>
      <c r="BR353" s="612">
        <v>1</v>
      </c>
      <c r="BS353" s="576" t="s">
        <v>778</v>
      </c>
      <c r="BT353" s="576"/>
      <c r="DD353" s="561"/>
      <c r="DE353" s="562"/>
      <c r="DF353" s="577"/>
      <c r="DG353" s="577"/>
      <c r="DH353" s="577"/>
      <c r="DI353" s="577"/>
      <c r="DJ353" s="577"/>
      <c r="DK353" s="577"/>
      <c r="DL353" s="577"/>
      <c r="DM353" s="577"/>
      <c r="DN353" s="577"/>
      <c r="DO353" s="577"/>
      <c r="DP353" s="577"/>
      <c r="DQ353" s="600"/>
      <c r="DR353" s="600"/>
      <c r="DS353" s="577"/>
      <c r="DT353" s="577"/>
      <c r="DU353" s="577"/>
      <c r="DV353" s="577"/>
      <c r="DW353" s="577"/>
      <c r="DX353" s="577"/>
    </row>
    <row r="354" spans="17:128" s="560" customFormat="1">
      <c r="Q354" s="562"/>
      <c r="R354" s="562">
        <v>0.55000000000000004</v>
      </c>
      <c r="S354" s="562"/>
      <c r="T354" s="562"/>
      <c r="U354" s="562"/>
      <c r="V354" s="562"/>
      <c r="W354" s="562"/>
      <c r="X354" s="562"/>
      <c r="Y354" s="562"/>
      <c r="Z354" s="562"/>
      <c r="AA354" s="562"/>
      <c r="AB354" s="562"/>
      <c r="AC354" s="562"/>
      <c r="AD354" s="563"/>
      <c r="AE354" s="561"/>
      <c r="AF354" s="568">
        <v>18</v>
      </c>
      <c r="AG354" s="562"/>
      <c r="AH354" s="577"/>
      <c r="AI354" s="577"/>
      <c r="AJ354" s="577"/>
      <c r="AK354" s="577">
        <v>1</v>
      </c>
      <c r="AL354" s="577"/>
      <c r="AM354" s="577"/>
      <c r="AN354" s="562">
        <v>2</v>
      </c>
      <c r="AO354" s="562">
        <f t="shared" si="61"/>
        <v>4</v>
      </c>
      <c r="AP354" s="598">
        <v>0.140625</v>
      </c>
      <c r="AQ354" s="599">
        <v>3.7347368421052631</v>
      </c>
      <c r="AR354" s="599">
        <f t="shared" si="62"/>
        <v>0.26526315789473687</v>
      </c>
      <c r="AS354" s="600"/>
      <c r="AT354" s="600">
        <v>1</v>
      </c>
      <c r="AU354" s="577" t="s">
        <v>778</v>
      </c>
      <c r="AV354" s="577"/>
      <c r="AW354" s="562"/>
      <c r="AX354" s="562"/>
      <c r="AY354" s="562"/>
      <c r="AZ354" s="562"/>
      <c r="BA354" s="562"/>
      <c r="BB354" s="563"/>
      <c r="BD354" s="576">
        <v>31</v>
      </c>
      <c r="BF354" s="576"/>
      <c r="BG354" s="576"/>
      <c r="BH354" s="576"/>
      <c r="BI354" s="576">
        <v>1</v>
      </c>
      <c r="BJ354" s="576"/>
      <c r="BK354" s="576"/>
      <c r="BL354" s="576">
        <v>2.2999999999999998</v>
      </c>
      <c r="BM354" s="576">
        <f t="shared" si="57"/>
        <v>4.5999999999999996</v>
      </c>
      <c r="BN354" s="576"/>
      <c r="BO354" s="611">
        <v>3.984375</v>
      </c>
      <c r="BP354" s="611">
        <f t="shared" si="58"/>
        <v>0.61562499999999964</v>
      </c>
      <c r="BQ354" s="612"/>
      <c r="BR354" s="612">
        <v>1</v>
      </c>
      <c r="BS354" s="576" t="s">
        <v>778</v>
      </c>
      <c r="BT354" s="576"/>
      <c r="DD354" s="561"/>
      <c r="DE354" s="562"/>
      <c r="DF354" s="577"/>
      <c r="DG354" s="577"/>
      <c r="DH354" s="577"/>
      <c r="DI354" s="577"/>
      <c r="DJ354" s="577"/>
      <c r="DK354" s="577"/>
      <c r="DL354" s="577"/>
      <c r="DM354" s="577"/>
      <c r="DN354" s="577"/>
      <c r="DO354" s="577"/>
      <c r="DP354" s="577"/>
      <c r="DQ354" s="600"/>
      <c r="DR354" s="600"/>
      <c r="DS354" s="577"/>
      <c r="DT354" s="577"/>
      <c r="DU354" s="577"/>
      <c r="DV354" s="577"/>
      <c r="DW354" s="577"/>
      <c r="DX354" s="577"/>
    </row>
    <row r="355" spans="17:128" s="560" customFormat="1">
      <c r="Q355" s="562"/>
      <c r="R355" s="562">
        <v>0.55000000000000004</v>
      </c>
      <c r="S355" s="562"/>
      <c r="T355" s="562"/>
      <c r="U355" s="562"/>
      <c r="V355" s="562"/>
      <c r="W355" s="562"/>
      <c r="X355" s="562"/>
      <c r="Y355" s="562"/>
      <c r="Z355" s="562"/>
      <c r="AA355" s="562"/>
      <c r="AB355" s="562"/>
      <c r="AC355" s="562"/>
      <c r="AD355" s="563"/>
      <c r="AE355" s="561"/>
      <c r="AF355" s="568">
        <v>19</v>
      </c>
      <c r="AG355" s="562"/>
      <c r="AH355" s="577">
        <v>0.1</v>
      </c>
      <c r="AI355" s="577" t="s">
        <v>777</v>
      </c>
      <c r="AJ355" s="577">
        <v>1</v>
      </c>
      <c r="AK355" s="577"/>
      <c r="AL355" s="577"/>
      <c r="AM355" s="577"/>
      <c r="AN355" s="562">
        <v>2</v>
      </c>
      <c r="AO355" s="562">
        <f t="shared" si="61"/>
        <v>4</v>
      </c>
      <c r="AP355" s="598">
        <v>0.140625</v>
      </c>
      <c r="AQ355" s="599">
        <v>3.7221052631578946</v>
      </c>
      <c r="AR355" s="599">
        <f t="shared" si="62"/>
        <v>0.27789473684210542</v>
      </c>
      <c r="AS355" s="600"/>
      <c r="AT355" s="600">
        <v>1</v>
      </c>
      <c r="AU355" s="577" t="s">
        <v>778</v>
      </c>
      <c r="AV355" s="577"/>
      <c r="AW355" s="562"/>
      <c r="AX355" s="562"/>
      <c r="AY355" s="562"/>
      <c r="AZ355" s="562"/>
      <c r="BA355" s="562"/>
      <c r="BB355" s="563"/>
      <c r="BD355" s="576">
        <v>32</v>
      </c>
      <c r="BF355" s="576"/>
      <c r="BG355" s="576"/>
      <c r="BH355" s="576"/>
      <c r="BI355" s="576">
        <v>1</v>
      </c>
      <c r="BJ355" s="576"/>
      <c r="BK355" s="576"/>
      <c r="BL355" s="576">
        <v>2.2000000000000002</v>
      </c>
      <c r="BM355" s="576">
        <f t="shared" si="57"/>
        <v>4.4000000000000004</v>
      </c>
      <c r="BN355" s="576"/>
      <c r="BO355" s="611">
        <v>3.9921875</v>
      </c>
      <c r="BP355" s="611">
        <f t="shared" si="58"/>
        <v>0.40781250000000036</v>
      </c>
      <c r="BQ355" s="612"/>
      <c r="BR355" s="612">
        <v>1</v>
      </c>
      <c r="BS355" s="576" t="s">
        <v>778</v>
      </c>
      <c r="BT355" s="576"/>
      <c r="DD355" s="561"/>
      <c r="DE355" s="562"/>
      <c r="DF355" s="577"/>
      <c r="DG355" s="577"/>
      <c r="DH355" s="577"/>
      <c r="DI355" s="577"/>
      <c r="DJ355" s="577"/>
      <c r="DK355" s="577"/>
      <c r="DL355" s="577"/>
      <c r="DM355" s="577"/>
      <c r="DN355" s="577"/>
      <c r="DO355" s="577"/>
      <c r="DP355" s="577"/>
      <c r="DQ355" s="600"/>
      <c r="DR355" s="600"/>
      <c r="DS355" s="577"/>
      <c r="DT355" s="577"/>
      <c r="DU355" s="577"/>
      <c r="DV355" s="577"/>
      <c r="DW355" s="577"/>
      <c r="DX355" s="577"/>
    </row>
    <row r="356" spans="17:128" s="560" customFormat="1">
      <c r="Q356" s="562"/>
      <c r="R356" s="562">
        <v>0.55000000000000004</v>
      </c>
      <c r="S356" s="562"/>
      <c r="T356" s="562"/>
      <c r="U356" s="562"/>
      <c r="V356" s="562"/>
      <c r="W356" s="562"/>
      <c r="X356" s="562"/>
      <c r="Y356" s="562"/>
      <c r="Z356" s="562"/>
      <c r="AA356" s="562"/>
      <c r="AB356" s="562"/>
      <c r="AC356" s="562"/>
      <c r="AD356" s="563"/>
      <c r="AE356" s="561"/>
      <c r="AF356" s="568">
        <v>20</v>
      </c>
      <c r="AG356" s="562"/>
      <c r="AH356" s="577"/>
      <c r="AI356" s="577"/>
      <c r="AJ356" s="577"/>
      <c r="AK356" s="577">
        <v>1</v>
      </c>
      <c r="AL356" s="577"/>
      <c r="AM356" s="577"/>
      <c r="AN356" s="562">
        <v>2</v>
      </c>
      <c r="AO356" s="562">
        <f t="shared" si="61"/>
        <v>4</v>
      </c>
      <c r="AP356" s="598">
        <v>0.140625</v>
      </c>
      <c r="AQ356" s="599">
        <v>3.7094736842105265</v>
      </c>
      <c r="AR356" s="599">
        <f t="shared" si="62"/>
        <v>0.29052631578947352</v>
      </c>
      <c r="AS356" s="600"/>
      <c r="AT356" s="600">
        <v>1</v>
      </c>
      <c r="AU356" s="577" t="s">
        <v>778</v>
      </c>
      <c r="AV356" s="577"/>
      <c r="AW356" s="562"/>
      <c r="AX356" s="562"/>
      <c r="AY356" s="562"/>
      <c r="AZ356" s="562"/>
      <c r="BA356" s="562"/>
      <c r="BB356" s="563"/>
      <c r="BD356" s="576">
        <v>33</v>
      </c>
      <c r="BF356" s="576"/>
      <c r="BG356" s="576"/>
      <c r="BH356" s="576"/>
      <c r="BI356" s="576">
        <v>1</v>
      </c>
      <c r="BJ356" s="576"/>
      <c r="BK356" s="576"/>
      <c r="BL356" s="576">
        <v>2</v>
      </c>
      <c r="BM356" s="576">
        <f t="shared" si="57"/>
        <v>4</v>
      </c>
      <c r="BN356" s="576"/>
      <c r="BO356" s="611">
        <v>4</v>
      </c>
      <c r="BP356" s="611">
        <f t="shared" si="58"/>
        <v>0</v>
      </c>
      <c r="BQ356" s="612"/>
      <c r="BR356" s="612">
        <v>1</v>
      </c>
      <c r="BS356" s="576" t="s">
        <v>127</v>
      </c>
      <c r="BT356" s="576"/>
      <c r="DD356" s="561"/>
      <c r="DE356" s="562"/>
      <c r="DF356" s="577"/>
      <c r="DG356" s="577"/>
      <c r="DH356" s="577"/>
      <c r="DI356" s="577"/>
      <c r="DJ356" s="577"/>
      <c r="DK356" s="577"/>
      <c r="DL356" s="577"/>
      <c r="DM356" s="577"/>
      <c r="DN356" s="577"/>
      <c r="DO356" s="577"/>
      <c r="DP356" s="577"/>
      <c r="DQ356" s="600"/>
      <c r="DR356" s="600"/>
      <c r="DS356" s="577"/>
      <c r="DT356" s="577"/>
      <c r="DU356" s="577"/>
      <c r="DV356" s="577"/>
      <c r="DW356" s="577"/>
      <c r="DX356" s="577"/>
    </row>
    <row r="357" spans="17:128" s="560" customFormat="1">
      <c r="Q357" s="562"/>
      <c r="R357" s="562">
        <v>0.6</v>
      </c>
      <c r="S357" s="562"/>
      <c r="T357" s="562"/>
      <c r="U357" s="562"/>
      <c r="V357" s="562"/>
      <c r="W357" s="562"/>
      <c r="X357" s="562"/>
      <c r="Y357" s="562"/>
      <c r="Z357" s="562"/>
      <c r="AA357" s="562"/>
      <c r="AB357" s="562"/>
      <c r="AC357" s="562"/>
      <c r="AD357" s="563"/>
      <c r="AE357" s="561"/>
      <c r="AF357" s="568">
        <v>21</v>
      </c>
      <c r="AG357" s="562"/>
      <c r="AH357" s="577">
        <v>0.25</v>
      </c>
      <c r="AI357" s="577" t="s">
        <v>793</v>
      </c>
      <c r="AJ357" s="577"/>
      <c r="AK357" s="577">
        <v>1</v>
      </c>
      <c r="AL357" s="577"/>
      <c r="AM357" s="577">
        <v>1</v>
      </c>
      <c r="AN357" s="562">
        <v>2</v>
      </c>
      <c r="AO357" s="562">
        <f t="shared" si="61"/>
        <v>4</v>
      </c>
      <c r="AP357" s="598">
        <v>0.140625</v>
      </c>
      <c r="AQ357" s="599">
        <v>3.6968421052631579</v>
      </c>
      <c r="AR357" s="599">
        <f t="shared" si="62"/>
        <v>0.30315789473684207</v>
      </c>
      <c r="AS357" s="600"/>
      <c r="AT357" s="600">
        <v>1</v>
      </c>
      <c r="AU357" s="577" t="s">
        <v>778</v>
      </c>
      <c r="AV357" s="577">
        <v>2454</v>
      </c>
      <c r="AW357" s="562"/>
      <c r="AX357" s="562"/>
      <c r="AY357" s="562"/>
      <c r="AZ357" s="562"/>
      <c r="BA357" s="562"/>
      <c r="BB357" s="563"/>
      <c r="BH357" s="640">
        <f>SUM(BH324:BH356)</f>
        <v>3</v>
      </c>
      <c r="BI357" s="640">
        <f>SUM(BI324:BI356)</f>
        <v>30</v>
      </c>
      <c r="BJ357" s="641">
        <f>SUM(BJ324:BJ356)</f>
        <v>1</v>
      </c>
      <c r="BK357" s="642"/>
      <c r="BM357" s="643">
        <f>SUM(BM324:BM356)</f>
        <v>143.4</v>
      </c>
      <c r="BO357" s="644">
        <f>SUM(BO324:BO356)</f>
        <v>126.27187499999999</v>
      </c>
      <c r="BP357" s="644">
        <f>SUM(BP324:BP356)</f>
        <v>17.128124999999997</v>
      </c>
      <c r="BQ357" s="645">
        <f>SUM(BQ324:BQ356)</f>
        <v>3</v>
      </c>
      <c r="BR357" s="645">
        <f>SUM(BR324:BR356)</f>
        <v>30</v>
      </c>
      <c r="DD357" s="561"/>
      <c r="DE357" s="562"/>
      <c r="DF357" s="577"/>
      <c r="DG357" s="577"/>
      <c r="DH357" s="577"/>
      <c r="DI357" s="577"/>
      <c r="DJ357" s="577"/>
      <c r="DK357" s="577"/>
      <c r="DL357" s="577"/>
      <c r="DM357" s="577"/>
      <c r="DN357" s="577"/>
      <c r="DO357" s="577"/>
      <c r="DP357" s="577"/>
      <c r="DQ357" s="600"/>
      <c r="DR357" s="600"/>
      <c r="DS357" s="577"/>
      <c r="DT357" s="577"/>
      <c r="DU357" s="577"/>
      <c r="DV357" s="577"/>
      <c r="DW357" s="577"/>
      <c r="DX357" s="577"/>
    </row>
    <row r="358" spans="17:128" s="560" customFormat="1">
      <c r="Q358" s="562"/>
      <c r="R358" s="562">
        <v>0.6</v>
      </c>
      <c r="S358" s="562"/>
      <c r="T358" s="562"/>
      <c r="U358" s="562"/>
      <c r="V358" s="562"/>
      <c r="W358" s="562"/>
      <c r="X358" s="562"/>
      <c r="Y358" s="562"/>
      <c r="Z358" s="562"/>
      <c r="AA358" s="562"/>
      <c r="AB358" s="562"/>
      <c r="AC358" s="562"/>
      <c r="AD358" s="563"/>
      <c r="AE358" s="561"/>
      <c r="AF358" s="568">
        <v>22</v>
      </c>
      <c r="AG358" s="562"/>
      <c r="AH358" s="577">
        <v>0.2</v>
      </c>
      <c r="AI358" s="577" t="s">
        <v>777</v>
      </c>
      <c r="AJ358" s="577">
        <v>1</v>
      </c>
      <c r="AK358" s="577"/>
      <c r="AL358" s="577"/>
      <c r="AM358" s="577"/>
      <c r="AN358" s="562">
        <v>2</v>
      </c>
      <c r="AO358" s="562">
        <f t="shared" si="61"/>
        <v>4</v>
      </c>
      <c r="AP358" s="598">
        <v>0.140625</v>
      </c>
      <c r="AQ358" s="599">
        <v>3.6842105263157894</v>
      </c>
      <c r="AR358" s="599">
        <f t="shared" si="62"/>
        <v>0.31578947368421062</v>
      </c>
      <c r="AS358" s="600"/>
      <c r="AT358" s="600">
        <v>1</v>
      </c>
      <c r="AU358" s="577" t="s">
        <v>778</v>
      </c>
      <c r="AV358" s="577">
        <v>2453</v>
      </c>
      <c r="AW358" s="562"/>
      <c r="AX358" s="562"/>
      <c r="AY358" s="562"/>
      <c r="AZ358" s="562"/>
      <c r="BA358" s="562"/>
      <c r="BB358" s="563"/>
      <c r="BC358" s="682">
        <v>41114</v>
      </c>
      <c r="BD358" s="565" t="s">
        <v>725</v>
      </c>
      <c r="BE358" s="565"/>
      <c r="BF358" s="565" t="s">
        <v>726</v>
      </c>
      <c r="BG358" s="566" t="s">
        <v>727</v>
      </c>
      <c r="BH358" s="566"/>
      <c r="BI358" s="566"/>
      <c r="BJ358" s="566"/>
      <c r="BK358" s="566"/>
      <c r="BL358" s="566" t="s">
        <v>728</v>
      </c>
      <c r="BN358" s="566" t="s">
        <v>729</v>
      </c>
      <c r="BO358" s="603"/>
      <c r="BP358" s="646">
        <f>+BP357/BO357</f>
        <v>0.13564481401737322</v>
      </c>
      <c r="BQ358" s="604"/>
      <c r="BR358" s="604"/>
      <c r="BS358" s="566" t="s">
        <v>730</v>
      </c>
      <c r="BT358" s="566" t="s">
        <v>731</v>
      </c>
      <c r="DD358" s="561"/>
      <c r="DE358" s="562"/>
      <c r="DF358" s="577"/>
      <c r="DG358" s="577"/>
      <c r="DH358" s="577"/>
      <c r="DI358" s="577"/>
      <c r="DJ358" s="577"/>
      <c r="DK358" s="577"/>
      <c r="DL358" s="577"/>
      <c r="DM358" s="577"/>
      <c r="DN358" s="577"/>
      <c r="DO358" s="577"/>
      <c r="DP358" s="577"/>
      <c r="DQ358" s="600"/>
      <c r="DR358" s="600"/>
      <c r="DS358" s="577"/>
      <c r="DT358" s="577"/>
      <c r="DU358" s="577"/>
      <c r="DV358" s="577"/>
      <c r="DW358" s="577"/>
      <c r="DX358" s="577"/>
    </row>
    <row r="359" spans="17:128" s="560" customFormat="1">
      <c r="Q359" s="562"/>
      <c r="R359" s="562">
        <v>0.6</v>
      </c>
      <c r="S359" s="562"/>
      <c r="T359" s="562"/>
      <c r="U359" s="562"/>
      <c r="V359" s="562"/>
      <c r="W359" s="562"/>
      <c r="X359" s="562"/>
      <c r="Y359" s="562"/>
      <c r="Z359" s="562"/>
      <c r="AA359" s="562"/>
      <c r="AB359" s="562"/>
      <c r="AC359" s="562"/>
      <c r="AD359" s="563"/>
      <c r="AE359" s="561"/>
      <c r="AF359" s="562" t="s">
        <v>778</v>
      </c>
      <c r="AG359" s="562"/>
      <c r="AH359" s="577">
        <v>0.1</v>
      </c>
      <c r="AI359" s="577" t="s">
        <v>793</v>
      </c>
      <c r="AJ359" s="577"/>
      <c r="AK359" s="577"/>
      <c r="AL359" s="577"/>
      <c r="AM359" s="577">
        <v>1</v>
      </c>
      <c r="AN359" s="562"/>
      <c r="AO359" s="562"/>
      <c r="AP359" s="659"/>
      <c r="AQ359" s="599"/>
      <c r="AR359" s="649"/>
      <c r="AS359" s="657"/>
      <c r="AT359" s="657"/>
      <c r="AU359" s="562"/>
      <c r="AV359" s="577">
        <v>2452</v>
      </c>
      <c r="AW359" s="562"/>
      <c r="AX359" s="562"/>
      <c r="AY359" s="562"/>
      <c r="AZ359" s="562"/>
      <c r="BA359" s="562"/>
      <c r="BB359" s="563"/>
      <c r="BD359" s="565"/>
      <c r="BE359" s="565"/>
      <c r="BF359" s="565"/>
      <c r="BG359" s="576" t="s">
        <v>1075</v>
      </c>
      <c r="BH359" s="576"/>
      <c r="BI359" s="576"/>
      <c r="BJ359" s="576"/>
      <c r="BK359" s="576"/>
      <c r="BL359" s="576" t="s">
        <v>1076</v>
      </c>
      <c r="BN359" s="576">
        <v>51</v>
      </c>
      <c r="BO359" s="611"/>
      <c r="BP359" s="611"/>
      <c r="BQ359" s="612"/>
      <c r="BR359" s="612"/>
      <c r="BS359" s="576">
        <v>54</v>
      </c>
      <c r="BT359" s="622"/>
      <c r="DD359" s="561"/>
      <c r="DE359" s="562"/>
      <c r="DF359" s="577"/>
      <c r="DG359" s="577"/>
      <c r="DH359" s="577"/>
      <c r="DI359" s="577"/>
      <c r="DJ359" s="577"/>
      <c r="DK359" s="577"/>
      <c r="DL359" s="577"/>
      <c r="DM359" s="577"/>
      <c r="DN359" s="577"/>
      <c r="DO359" s="577"/>
      <c r="DP359" s="577"/>
      <c r="DQ359" s="600"/>
      <c r="DR359" s="600"/>
      <c r="DS359" s="577"/>
      <c r="DT359" s="577"/>
      <c r="DU359" s="577"/>
      <c r="DV359" s="577"/>
      <c r="DW359" s="577"/>
      <c r="DX359" s="577"/>
    </row>
    <row r="360" spans="17:128" s="560" customFormat="1">
      <c r="Q360" s="562"/>
      <c r="R360" s="562">
        <v>0.55000000000000004</v>
      </c>
      <c r="S360" s="562"/>
      <c r="T360" s="562"/>
      <c r="U360" s="562"/>
      <c r="V360" s="562"/>
      <c r="W360" s="562"/>
      <c r="X360" s="562"/>
      <c r="Y360" s="562"/>
      <c r="Z360" s="562"/>
      <c r="AA360" s="562"/>
      <c r="AB360" s="562"/>
      <c r="AC360" s="562"/>
      <c r="AD360" s="563"/>
      <c r="AE360" s="561"/>
      <c r="AF360" s="562">
        <v>23</v>
      </c>
      <c r="AG360" s="562"/>
      <c r="AH360" s="562"/>
      <c r="AI360" s="562"/>
      <c r="AJ360" s="562"/>
      <c r="AK360" s="577">
        <v>1</v>
      </c>
      <c r="AL360" s="577"/>
      <c r="AM360" s="577"/>
      <c r="AN360" s="562">
        <v>2</v>
      </c>
      <c r="AO360" s="562">
        <f>AN360+AN360</f>
        <v>4</v>
      </c>
      <c r="AP360" s="598">
        <v>0.140625</v>
      </c>
      <c r="AQ360" s="599">
        <v>3.6589473684210527</v>
      </c>
      <c r="AR360" s="599">
        <f>AO360-AQ360</f>
        <v>0.34105263157894727</v>
      </c>
      <c r="AS360" s="600"/>
      <c r="AT360" s="600">
        <v>1</v>
      </c>
      <c r="AU360" s="577" t="s">
        <v>778</v>
      </c>
      <c r="AV360" s="577"/>
      <c r="AW360" s="562"/>
      <c r="AX360" s="562"/>
      <c r="AY360" s="562"/>
      <c r="AZ360" s="562"/>
      <c r="BA360" s="562"/>
      <c r="BB360" s="563"/>
      <c r="BC360" s="560" t="s">
        <v>504</v>
      </c>
      <c r="BD360" s="581" t="s">
        <v>1077</v>
      </c>
      <c r="BE360" s="582"/>
      <c r="BF360" s="566"/>
      <c r="BG360" s="565"/>
      <c r="BH360" s="565"/>
      <c r="BI360" s="565"/>
      <c r="BJ360" s="565"/>
      <c r="BK360" s="565"/>
      <c r="BL360" s="565"/>
      <c r="BN360" s="566"/>
      <c r="BO360" s="603"/>
      <c r="BP360" s="581" t="s">
        <v>1078</v>
      </c>
      <c r="BQ360" s="604"/>
      <c r="BR360" s="604"/>
      <c r="BS360" s="566"/>
      <c r="BT360" s="576"/>
      <c r="DD360" s="561"/>
      <c r="DE360" s="562"/>
      <c r="DF360" s="577"/>
      <c r="DG360" s="577"/>
      <c r="DH360" s="577"/>
      <c r="DI360" s="577"/>
      <c r="DJ360" s="577"/>
      <c r="DK360" s="577"/>
      <c r="DL360" s="577"/>
      <c r="DM360" s="577"/>
      <c r="DN360" s="577"/>
      <c r="DO360" s="577"/>
      <c r="DP360" s="577"/>
      <c r="DQ360" s="600"/>
      <c r="DR360" s="600"/>
      <c r="DS360" s="577"/>
      <c r="DT360" s="577"/>
      <c r="DU360" s="577"/>
      <c r="DV360" s="577"/>
      <c r="DW360" s="577"/>
      <c r="DX360" s="577"/>
    </row>
    <row r="361" spans="17:128" s="560" customFormat="1">
      <c r="Q361" s="562"/>
      <c r="R361" s="562">
        <v>0.6</v>
      </c>
      <c r="S361" s="562"/>
      <c r="T361" s="562"/>
      <c r="U361" s="562"/>
      <c r="V361" s="562"/>
      <c r="W361" s="562"/>
      <c r="X361" s="562"/>
      <c r="Y361" s="562"/>
      <c r="Z361" s="562"/>
      <c r="AA361" s="562"/>
      <c r="AB361" s="562"/>
      <c r="AC361" s="562"/>
      <c r="AD361" s="563"/>
      <c r="AE361" s="561"/>
      <c r="AF361" s="562">
        <v>24</v>
      </c>
      <c r="AG361" s="562"/>
      <c r="AH361" s="562"/>
      <c r="AI361" s="562"/>
      <c r="AJ361" s="562"/>
      <c r="AK361" s="577">
        <v>1</v>
      </c>
      <c r="AL361" s="577"/>
      <c r="AM361" s="577"/>
      <c r="AN361" s="562">
        <v>2.25</v>
      </c>
      <c r="AO361" s="562">
        <f>AN361+AN361</f>
        <v>4.5</v>
      </c>
      <c r="AP361" s="598">
        <v>0.140625</v>
      </c>
      <c r="AQ361" s="599">
        <v>3.6463157894736842</v>
      </c>
      <c r="AR361" s="599">
        <f>AO361-AQ361</f>
        <v>0.85368421052631582</v>
      </c>
      <c r="AS361" s="600"/>
      <c r="AT361" s="600">
        <v>1</v>
      </c>
      <c r="AU361" s="577" t="s">
        <v>778</v>
      </c>
      <c r="AV361" s="577"/>
      <c r="AW361" s="562"/>
      <c r="AX361" s="562"/>
      <c r="AY361" s="562"/>
      <c r="AZ361" s="562"/>
      <c r="BA361" s="562"/>
      <c r="BB361" s="563"/>
      <c r="BD361" s="586" t="s">
        <v>755</v>
      </c>
      <c r="BE361" s="586" t="s">
        <v>756</v>
      </c>
      <c r="BF361" s="615" t="s">
        <v>757</v>
      </c>
      <c r="BG361" s="615" t="s">
        <v>758</v>
      </c>
      <c r="BH361" s="615" t="s">
        <v>765</v>
      </c>
      <c r="BI361" s="615" t="s">
        <v>766</v>
      </c>
      <c r="BJ361" s="616" t="s">
        <v>767</v>
      </c>
      <c r="BK361" s="617" t="s">
        <v>768</v>
      </c>
      <c r="BL361" s="586" t="s">
        <v>759</v>
      </c>
      <c r="BM361" s="618" t="s">
        <v>769</v>
      </c>
      <c r="BN361" s="586" t="s">
        <v>760</v>
      </c>
      <c r="BO361" s="619" t="s">
        <v>770</v>
      </c>
      <c r="BP361" s="619" t="s">
        <v>771</v>
      </c>
      <c r="BQ361" s="620" t="s">
        <v>772</v>
      </c>
      <c r="BR361" s="620" t="s">
        <v>773</v>
      </c>
      <c r="BS361" s="586" t="s">
        <v>761</v>
      </c>
      <c r="BT361" s="586" t="s">
        <v>762</v>
      </c>
      <c r="BU361" s="586" t="s">
        <v>763</v>
      </c>
      <c r="DD361" s="561"/>
      <c r="DE361" s="562"/>
      <c r="DF361" s="577"/>
      <c r="DG361" s="577"/>
      <c r="DH361" s="577"/>
      <c r="DI361" s="577"/>
      <c r="DJ361" s="577"/>
      <c r="DK361" s="577"/>
      <c r="DL361" s="577"/>
      <c r="DM361" s="577"/>
      <c r="DN361" s="577"/>
      <c r="DO361" s="577"/>
      <c r="DP361" s="577"/>
      <c r="DQ361" s="600"/>
      <c r="DR361" s="600"/>
      <c r="DS361" s="577"/>
      <c r="DT361" s="577"/>
      <c r="DU361" s="577"/>
      <c r="DV361" s="577"/>
      <c r="DW361" s="577"/>
      <c r="DX361" s="577"/>
    </row>
    <row r="362" spans="17:128" s="560" customFormat="1">
      <c r="Q362" s="562" t="s">
        <v>821</v>
      </c>
      <c r="R362" s="562"/>
      <c r="S362" s="562"/>
      <c r="T362" s="562"/>
      <c r="U362" s="562"/>
      <c r="V362" s="562"/>
      <c r="W362" s="562"/>
      <c r="X362" s="562"/>
      <c r="Y362" s="562"/>
      <c r="Z362" s="562"/>
      <c r="AA362" s="562"/>
      <c r="AB362" s="562"/>
      <c r="AC362" s="562"/>
      <c r="AD362" s="563"/>
      <c r="AE362" s="561"/>
      <c r="AF362" s="562">
        <v>25</v>
      </c>
      <c r="AG362" s="562"/>
      <c r="AH362" s="577">
        <v>0.5</v>
      </c>
      <c r="AI362" s="577" t="s">
        <v>777</v>
      </c>
      <c r="AJ362" s="577">
        <v>1</v>
      </c>
      <c r="AK362" s="577"/>
      <c r="AL362" s="577"/>
      <c r="AM362" s="577"/>
      <c r="AN362" s="562">
        <v>2</v>
      </c>
      <c r="AO362" s="562">
        <f>AN362+AN362</f>
        <v>4</v>
      </c>
      <c r="AP362" s="598">
        <v>0.140625</v>
      </c>
      <c r="AQ362" s="599">
        <v>3.6336842105263161</v>
      </c>
      <c r="AR362" s="599">
        <f>AO362-AQ362</f>
        <v>0.36631578947368393</v>
      </c>
      <c r="AS362" s="600"/>
      <c r="AT362" s="600">
        <v>1</v>
      </c>
      <c r="AU362" s="577" t="s">
        <v>778</v>
      </c>
      <c r="AV362" s="577">
        <v>2450</v>
      </c>
      <c r="AW362" s="562"/>
      <c r="AX362" s="562"/>
      <c r="AY362" s="562"/>
      <c r="AZ362" s="562"/>
      <c r="BA362" s="562"/>
      <c r="BB362" s="563"/>
      <c r="BD362" s="576">
        <v>0.5</v>
      </c>
      <c r="BF362" s="576">
        <v>0.8</v>
      </c>
      <c r="BG362" s="576" t="s">
        <v>828</v>
      </c>
      <c r="BH362" s="576"/>
      <c r="BI362" s="576"/>
      <c r="BJ362" s="576"/>
      <c r="BK362" s="576"/>
      <c r="BL362" s="576"/>
      <c r="BN362" s="576" t="s">
        <v>1009</v>
      </c>
      <c r="BO362" s="611"/>
      <c r="BP362" s="611"/>
      <c r="BQ362" s="612"/>
      <c r="BR362" s="612"/>
      <c r="BS362" s="576" t="s">
        <v>988</v>
      </c>
      <c r="BT362" s="576">
        <v>1543</v>
      </c>
      <c r="BU362" s="576" t="s">
        <v>1079</v>
      </c>
      <c r="DD362" s="561"/>
      <c r="DE362" s="562"/>
      <c r="DF362" s="577"/>
      <c r="DG362" s="577"/>
      <c r="DH362" s="577"/>
      <c r="DI362" s="577"/>
      <c r="DJ362" s="577"/>
      <c r="DK362" s="577"/>
      <c r="DL362" s="577"/>
      <c r="DM362" s="577"/>
      <c r="DN362" s="577"/>
      <c r="DO362" s="577"/>
      <c r="DP362" s="577"/>
      <c r="DQ362" s="600"/>
      <c r="DR362" s="600"/>
      <c r="DS362" s="577"/>
      <c r="DT362" s="577"/>
      <c r="DU362" s="577"/>
      <c r="DV362" s="577"/>
      <c r="DW362" s="577"/>
      <c r="DX362" s="577"/>
    </row>
    <row r="363" spans="17:128" s="560" customFormat="1">
      <c r="Q363" s="562"/>
      <c r="R363" s="562">
        <v>0.4</v>
      </c>
      <c r="S363" s="562"/>
      <c r="T363" s="562"/>
      <c r="U363" s="562"/>
      <c r="V363" s="562"/>
      <c r="W363" s="562"/>
      <c r="X363" s="562"/>
      <c r="Y363" s="562"/>
      <c r="Z363" s="562"/>
      <c r="AA363" s="562"/>
      <c r="AB363" s="562"/>
      <c r="AC363" s="562"/>
      <c r="AD363" s="563"/>
      <c r="AE363" s="561"/>
      <c r="AF363" s="562">
        <v>26</v>
      </c>
      <c r="AG363" s="562"/>
      <c r="AH363" s="577">
        <v>0.25</v>
      </c>
      <c r="AI363" s="577" t="s">
        <v>778</v>
      </c>
      <c r="AJ363" s="577">
        <v>1</v>
      </c>
      <c r="AK363" s="577"/>
      <c r="AL363" s="577"/>
      <c r="AM363" s="577"/>
      <c r="AN363" s="562">
        <v>2</v>
      </c>
      <c r="AO363" s="562">
        <f>AN363+AN363</f>
        <v>4</v>
      </c>
      <c r="AP363" s="598">
        <v>0.140625</v>
      </c>
      <c r="AQ363" s="599">
        <v>3.6210526315789475</v>
      </c>
      <c r="AR363" s="599">
        <f>AO363-AQ363</f>
        <v>0.37894736842105248</v>
      </c>
      <c r="AS363" s="600"/>
      <c r="AT363" s="600">
        <v>1</v>
      </c>
      <c r="AU363" s="577" t="s">
        <v>778</v>
      </c>
      <c r="AV363" s="577">
        <v>2449</v>
      </c>
      <c r="AW363" s="562"/>
      <c r="AX363" s="562"/>
      <c r="AY363" s="562"/>
      <c r="AZ363" s="562"/>
      <c r="BA363" s="562"/>
      <c r="BB363" s="563"/>
      <c r="BD363" s="576">
        <v>0.6</v>
      </c>
      <c r="BF363" s="576">
        <v>0.1</v>
      </c>
      <c r="BG363" s="576" t="s">
        <v>828</v>
      </c>
      <c r="BH363" s="576"/>
      <c r="BI363" s="576"/>
      <c r="BJ363" s="576"/>
      <c r="BK363" s="576"/>
      <c r="BL363" s="576"/>
      <c r="BO363" s="611"/>
      <c r="BP363" s="605"/>
      <c r="BQ363" s="658"/>
      <c r="BR363" s="612"/>
      <c r="BS363" s="576" t="s">
        <v>988</v>
      </c>
      <c r="BT363" s="576">
        <v>1542</v>
      </c>
      <c r="BU363" s="576" t="s">
        <v>1079</v>
      </c>
      <c r="DD363" s="561"/>
      <c r="DE363" s="562"/>
      <c r="DF363" s="577"/>
      <c r="DG363" s="577"/>
      <c r="DH363" s="577"/>
      <c r="DI363" s="577"/>
      <c r="DJ363" s="577"/>
      <c r="DK363" s="577"/>
      <c r="DL363" s="577"/>
      <c r="DM363" s="577"/>
      <c r="DN363" s="577"/>
      <c r="DO363" s="577"/>
      <c r="DP363" s="577"/>
      <c r="DQ363" s="600"/>
      <c r="DR363" s="600"/>
      <c r="DS363" s="577"/>
      <c r="DT363" s="577"/>
      <c r="DU363" s="577"/>
      <c r="DV363" s="577"/>
      <c r="DW363" s="577"/>
      <c r="DX363" s="577"/>
    </row>
    <row r="364" spans="17:128" s="560" customFormat="1">
      <c r="Q364" s="562"/>
      <c r="R364" s="562">
        <v>0.46</v>
      </c>
      <c r="S364" s="562"/>
      <c r="T364" s="562"/>
      <c r="U364" s="562"/>
      <c r="V364" s="562"/>
      <c r="W364" s="562"/>
      <c r="X364" s="562"/>
      <c r="Y364" s="562"/>
      <c r="Z364" s="562"/>
      <c r="AA364" s="562"/>
      <c r="AB364" s="562"/>
      <c r="AC364" s="562"/>
      <c r="AD364" s="563"/>
      <c r="AE364" s="561"/>
      <c r="AF364" s="562" t="s">
        <v>778</v>
      </c>
      <c r="AG364" s="562"/>
      <c r="AH364" s="577">
        <v>0.5</v>
      </c>
      <c r="AI364" s="577" t="s">
        <v>793</v>
      </c>
      <c r="AJ364" s="577"/>
      <c r="AK364" s="577"/>
      <c r="AL364" s="577"/>
      <c r="AM364" s="577">
        <v>1</v>
      </c>
      <c r="AN364" s="562"/>
      <c r="AO364" s="562"/>
      <c r="AP364" s="659"/>
      <c r="AQ364" s="599"/>
      <c r="AR364" s="649"/>
      <c r="AS364" s="657"/>
      <c r="AT364" s="657"/>
      <c r="AU364" s="562"/>
      <c r="AV364" s="577">
        <v>2448</v>
      </c>
      <c r="AW364" s="562"/>
      <c r="AX364" s="562"/>
      <c r="AY364" s="562"/>
      <c r="AZ364" s="562"/>
      <c r="BA364" s="562"/>
      <c r="BB364" s="563"/>
      <c r="BD364" s="576">
        <v>1</v>
      </c>
      <c r="BF364" s="576"/>
      <c r="BG364" s="576"/>
      <c r="BH364" s="576"/>
      <c r="BI364" s="576">
        <v>1</v>
      </c>
      <c r="BJ364" s="576"/>
      <c r="BK364" s="576"/>
      <c r="BL364" s="576">
        <v>2.4</v>
      </c>
      <c r="BM364" s="576">
        <f t="shared" ref="BM364:BM395" si="63">BL364+BL364</f>
        <v>4.8</v>
      </c>
      <c r="BO364" s="611">
        <v>4.0999999999999996</v>
      </c>
      <c r="BP364" s="611">
        <f t="shared" ref="BP364:BP395" si="64">BM364-BO364</f>
        <v>0.70000000000000018</v>
      </c>
      <c r="BQ364" s="658"/>
      <c r="BR364" s="612">
        <v>1</v>
      </c>
      <c r="BS364" s="576" t="s">
        <v>127</v>
      </c>
      <c r="BT364" s="576"/>
      <c r="DD364" s="561"/>
      <c r="DE364" s="562"/>
      <c r="DF364" s="577"/>
      <c r="DG364" s="577"/>
      <c r="DH364" s="577"/>
      <c r="DI364" s="577"/>
      <c r="DJ364" s="577"/>
      <c r="DK364" s="577"/>
      <c r="DL364" s="577"/>
      <c r="DM364" s="577"/>
      <c r="DN364" s="577"/>
      <c r="DO364" s="577"/>
      <c r="DP364" s="577"/>
      <c r="DQ364" s="600"/>
      <c r="DR364" s="600"/>
      <c r="DS364" s="577"/>
      <c r="DT364" s="577"/>
      <c r="DU364" s="577"/>
      <c r="DV364" s="577"/>
      <c r="DW364" s="577"/>
      <c r="DX364" s="577"/>
    </row>
    <row r="365" spans="17:128" s="560" customFormat="1">
      <c r="Q365" s="562"/>
      <c r="R365" s="562">
        <v>0.4</v>
      </c>
      <c r="S365" s="562"/>
      <c r="T365" s="562"/>
      <c r="U365" s="562"/>
      <c r="V365" s="562"/>
      <c r="W365" s="562"/>
      <c r="X365" s="562"/>
      <c r="Y365" s="562"/>
      <c r="Z365" s="562"/>
      <c r="AA365" s="562"/>
      <c r="AB365" s="562"/>
      <c r="AC365" s="562"/>
      <c r="AD365" s="563"/>
      <c r="AE365" s="561"/>
      <c r="AF365" s="562">
        <v>27</v>
      </c>
      <c r="AG365" s="562"/>
      <c r="AH365" s="577">
        <v>1</v>
      </c>
      <c r="AI365" s="577" t="s">
        <v>793</v>
      </c>
      <c r="AJ365" s="577"/>
      <c r="AK365" s="577">
        <v>1</v>
      </c>
      <c r="AL365" s="577"/>
      <c r="AM365" s="577">
        <v>1</v>
      </c>
      <c r="AN365" s="689"/>
      <c r="AO365" s="689"/>
      <c r="AP365" s="690"/>
      <c r="AQ365" s="599"/>
      <c r="AR365" s="691"/>
      <c r="AS365" s="657"/>
      <c r="AT365" s="600">
        <v>1</v>
      </c>
      <c r="AU365" s="562"/>
      <c r="AV365" s="577">
        <v>2447</v>
      </c>
      <c r="AW365" s="562"/>
      <c r="AX365" s="562"/>
      <c r="AY365" s="562"/>
      <c r="AZ365" s="562"/>
      <c r="BA365" s="562"/>
      <c r="BB365" s="563"/>
      <c r="BD365" s="576">
        <v>2</v>
      </c>
      <c r="BF365" s="576"/>
      <c r="BG365" s="576"/>
      <c r="BH365" s="576"/>
      <c r="BI365" s="576">
        <v>1</v>
      </c>
      <c r="BJ365" s="576"/>
      <c r="BK365" s="576"/>
      <c r="BL365" s="576">
        <v>2.2000000000000002</v>
      </c>
      <c r="BM365" s="576">
        <f t="shared" si="63"/>
        <v>4.4000000000000004</v>
      </c>
      <c r="BO365" s="611">
        <v>4.104838709677419</v>
      </c>
      <c r="BP365" s="611">
        <f t="shared" si="64"/>
        <v>0.29516129032258132</v>
      </c>
      <c r="BQ365" s="658"/>
      <c r="BR365" s="612">
        <v>1</v>
      </c>
      <c r="BS365" s="576" t="s">
        <v>778</v>
      </c>
      <c r="BT365" s="576"/>
      <c r="DD365" s="561"/>
      <c r="DE365" s="562"/>
      <c r="DF365" s="577"/>
      <c r="DG365" s="577"/>
      <c r="DH365" s="577"/>
      <c r="DI365" s="577"/>
      <c r="DJ365" s="577"/>
      <c r="DK365" s="577"/>
      <c r="DL365" s="577"/>
      <c r="DM365" s="577"/>
      <c r="DN365" s="577"/>
      <c r="DO365" s="577"/>
      <c r="DP365" s="577"/>
      <c r="DQ365" s="600"/>
      <c r="DR365" s="600"/>
      <c r="DS365" s="577"/>
      <c r="DT365" s="577"/>
      <c r="DU365" s="577"/>
      <c r="DV365" s="577"/>
      <c r="DW365" s="577"/>
      <c r="DX365" s="577"/>
    </row>
    <row r="366" spans="17:128" s="560" customFormat="1">
      <c r="Q366" s="562"/>
      <c r="R366" s="562">
        <v>0.6</v>
      </c>
      <c r="S366" s="562"/>
      <c r="T366" s="562"/>
      <c r="U366" s="562"/>
      <c r="V366" s="562"/>
      <c r="W366" s="562"/>
      <c r="X366" s="562"/>
      <c r="Y366" s="562"/>
      <c r="Z366" s="562"/>
      <c r="AA366" s="562"/>
      <c r="AB366" s="562"/>
      <c r="AC366" s="562"/>
      <c r="AD366" s="563"/>
      <c r="AE366" s="561"/>
      <c r="AF366" s="562">
        <v>28</v>
      </c>
      <c r="AG366" s="562"/>
      <c r="AH366" s="577">
        <v>0.1</v>
      </c>
      <c r="AI366" s="577" t="s">
        <v>777</v>
      </c>
      <c r="AJ366" s="577">
        <v>1</v>
      </c>
      <c r="AK366" s="577"/>
      <c r="AL366" s="577"/>
      <c r="AM366" s="577"/>
      <c r="AN366" s="562">
        <v>2</v>
      </c>
      <c r="AO366" s="562">
        <f>AN366+AN366</f>
        <v>4</v>
      </c>
      <c r="AP366" s="598">
        <v>0.140625</v>
      </c>
      <c r="AQ366" s="599">
        <v>3.5831578947368423</v>
      </c>
      <c r="AR366" s="599">
        <f>AO366-AQ366</f>
        <v>0.41684210526315768</v>
      </c>
      <c r="AS366" s="600"/>
      <c r="AT366" s="600">
        <v>1</v>
      </c>
      <c r="AU366" s="577" t="s">
        <v>778</v>
      </c>
      <c r="AV366" s="577">
        <v>2446</v>
      </c>
      <c r="AW366" s="562"/>
      <c r="AX366" s="562"/>
      <c r="AY366" s="562"/>
      <c r="AZ366" s="562"/>
      <c r="BA366" s="562"/>
      <c r="BB366" s="563"/>
      <c r="BD366" s="576">
        <v>3</v>
      </c>
      <c r="BF366" s="576">
        <v>1.8</v>
      </c>
      <c r="BG366" s="576" t="s">
        <v>793</v>
      </c>
      <c r="BH366" s="576"/>
      <c r="BI366" s="576">
        <v>1</v>
      </c>
      <c r="BJ366" s="576"/>
      <c r="BK366" s="576">
        <v>1</v>
      </c>
      <c r="BL366" s="576">
        <v>2.4</v>
      </c>
      <c r="BM366" s="576">
        <f t="shared" si="63"/>
        <v>4.8</v>
      </c>
      <c r="BO366" s="611">
        <v>4.1096774193548384</v>
      </c>
      <c r="BP366" s="611">
        <f t="shared" si="64"/>
        <v>0.69032258064516139</v>
      </c>
      <c r="BQ366" s="658"/>
      <c r="BR366" s="612">
        <v>1</v>
      </c>
      <c r="BS366" s="576" t="s">
        <v>778</v>
      </c>
      <c r="BT366" s="576">
        <v>1541</v>
      </c>
      <c r="DD366" s="561"/>
      <c r="DE366" s="562"/>
      <c r="DF366" s="577"/>
      <c r="DG366" s="577"/>
      <c r="DH366" s="577"/>
      <c r="DI366" s="577"/>
      <c r="DJ366" s="577"/>
      <c r="DK366" s="577"/>
      <c r="DL366" s="577"/>
      <c r="DM366" s="577"/>
      <c r="DN366" s="577"/>
      <c r="DO366" s="577"/>
      <c r="DP366" s="577"/>
      <c r="DQ366" s="600"/>
      <c r="DR366" s="600"/>
      <c r="DS366" s="577"/>
      <c r="DT366" s="577"/>
      <c r="DU366" s="577"/>
      <c r="DV366" s="577"/>
      <c r="DW366" s="577"/>
      <c r="DX366" s="577"/>
    </row>
    <row r="367" spans="17:128" s="560" customFormat="1">
      <c r="Q367" s="562"/>
      <c r="R367" s="562">
        <v>0.5</v>
      </c>
      <c r="S367" s="562"/>
      <c r="T367" s="562"/>
      <c r="U367" s="562"/>
      <c r="V367" s="562"/>
      <c r="W367" s="562"/>
      <c r="X367" s="562"/>
      <c r="Y367" s="562"/>
      <c r="Z367" s="562"/>
      <c r="AA367" s="562"/>
      <c r="AB367" s="562"/>
      <c r="AC367" s="562"/>
      <c r="AD367" s="563"/>
      <c r="AE367" s="561"/>
      <c r="AF367" s="562" t="s">
        <v>778</v>
      </c>
      <c r="AG367" s="562"/>
      <c r="AH367" s="577">
        <v>0.5</v>
      </c>
      <c r="AI367" s="577" t="s">
        <v>793</v>
      </c>
      <c r="AJ367" s="577"/>
      <c r="AK367" s="577"/>
      <c r="AL367" s="577"/>
      <c r="AM367" s="577">
        <v>1</v>
      </c>
      <c r="AN367" s="562"/>
      <c r="AO367" s="562"/>
      <c r="AP367" s="659"/>
      <c r="AQ367" s="599"/>
      <c r="AR367" s="649"/>
      <c r="AS367" s="657"/>
      <c r="AT367" s="657"/>
      <c r="AU367" s="562"/>
      <c r="AV367" s="577">
        <v>2445</v>
      </c>
      <c r="AW367" s="562"/>
      <c r="AX367" s="562"/>
      <c r="AY367" s="562"/>
      <c r="AZ367" s="562"/>
      <c r="BA367" s="562"/>
      <c r="BB367" s="563"/>
      <c r="BD367" s="576">
        <v>4</v>
      </c>
      <c r="BF367" s="576"/>
      <c r="BG367" s="576"/>
      <c r="BH367" s="576"/>
      <c r="BI367" s="576">
        <v>1</v>
      </c>
      <c r="BJ367" s="576"/>
      <c r="BK367" s="576"/>
      <c r="BL367" s="576">
        <v>2.35</v>
      </c>
      <c r="BM367" s="576">
        <f t="shared" si="63"/>
        <v>4.7</v>
      </c>
      <c r="BO367" s="611">
        <v>4.1145161290322578</v>
      </c>
      <c r="BP367" s="611">
        <f t="shared" si="64"/>
        <v>0.58548387096774235</v>
      </c>
      <c r="BQ367" s="658"/>
      <c r="BR367" s="612">
        <v>1</v>
      </c>
      <c r="BS367" s="576" t="s">
        <v>778</v>
      </c>
      <c r="BT367" s="576"/>
      <c r="DD367" s="561"/>
      <c r="DE367" s="562"/>
      <c r="DF367" s="577"/>
      <c r="DG367" s="577"/>
      <c r="DH367" s="577"/>
      <c r="DI367" s="577"/>
      <c r="DJ367" s="577"/>
      <c r="DK367" s="577"/>
      <c r="DL367" s="577"/>
      <c r="DM367" s="577"/>
      <c r="DN367" s="577"/>
      <c r="DO367" s="577"/>
      <c r="DP367" s="577"/>
      <c r="DQ367" s="600"/>
      <c r="DR367" s="600"/>
      <c r="DS367" s="577"/>
      <c r="DT367" s="577"/>
      <c r="DU367" s="577"/>
      <c r="DV367" s="577"/>
      <c r="DW367" s="577"/>
      <c r="DX367" s="577"/>
    </row>
    <row r="368" spans="17:128" s="560" customFormat="1">
      <c r="Q368" s="562"/>
      <c r="R368" s="562">
        <v>0.6</v>
      </c>
      <c r="S368" s="562"/>
      <c r="T368" s="562"/>
      <c r="U368" s="562"/>
      <c r="V368" s="562"/>
      <c r="W368" s="562"/>
      <c r="X368" s="562"/>
      <c r="Y368" s="562"/>
      <c r="Z368" s="562"/>
      <c r="AA368" s="562"/>
      <c r="AB368" s="562"/>
      <c r="AC368" s="562"/>
      <c r="AD368" s="563"/>
      <c r="AE368" s="561"/>
      <c r="AF368" s="562">
        <v>29</v>
      </c>
      <c r="AG368" s="562"/>
      <c r="AH368" s="577">
        <v>2.5</v>
      </c>
      <c r="AI368" s="577" t="s">
        <v>793</v>
      </c>
      <c r="AJ368" s="577"/>
      <c r="AK368" s="577">
        <v>1</v>
      </c>
      <c r="AL368" s="577"/>
      <c r="AM368" s="577">
        <v>1</v>
      </c>
      <c r="AN368" s="562">
        <v>2</v>
      </c>
      <c r="AO368" s="562">
        <f>AN368+AN368</f>
        <v>4</v>
      </c>
      <c r="AP368" s="598">
        <v>0.140625</v>
      </c>
      <c r="AQ368" s="599">
        <v>3.5578947368421057</v>
      </c>
      <c r="AR368" s="599">
        <f>AO368-AQ368</f>
        <v>0.44210526315789433</v>
      </c>
      <c r="AS368" s="600"/>
      <c r="AT368" s="600">
        <v>1</v>
      </c>
      <c r="AU368" s="577" t="s">
        <v>778</v>
      </c>
      <c r="AV368" s="577">
        <v>2444</v>
      </c>
      <c r="AW368" s="562"/>
      <c r="AX368" s="562"/>
      <c r="AY368" s="562"/>
      <c r="AZ368" s="562"/>
      <c r="BA368" s="562"/>
      <c r="BB368" s="563"/>
      <c r="BD368" s="576">
        <v>5</v>
      </c>
      <c r="BF368" s="576">
        <v>0.1</v>
      </c>
      <c r="BG368" s="576" t="s">
        <v>793</v>
      </c>
      <c r="BH368" s="576"/>
      <c r="BI368" s="576">
        <v>1</v>
      </c>
      <c r="BJ368" s="576"/>
      <c r="BK368" s="576">
        <v>1</v>
      </c>
      <c r="BL368" s="576">
        <v>2.2999999999999998</v>
      </c>
      <c r="BM368" s="576">
        <f t="shared" si="63"/>
        <v>4.5999999999999996</v>
      </c>
      <c r="BO368" s="611">
        <v>4.1193548387096772</v>
      </c>
      <c r="BP368" s="611">
        <f t="shared" si="64"/>
        <v>0.48064516129032242</v>
      </c>
      <c r="BQ368" s="658"/>
      <c r="BR368" s="612">
        <v>1</v>
      </c>
      <c r="BS368" s="576" t="s">
        <v>778</v>
      </c>
      <c r="BT368" s="576"/>
      <c r="DD368" s="561"/>
      <c r="DE368" s="562"/>
      <c r="DF368" s="577"/>
      <c r="DG368" s="577"/>
      <c r="DH368" s="577"/>
      <c r="DI368" s="577"/>
      <c r="DJ368" s="577"/>
      <c r="DK368" s="577"/>
      <c r="DL368" s="577"/>
      <c r="DM368" s="577"/>
      <c r="DN368" s="577"/>
      <c r="DO368" s="577"/>
      <c r="DP368" s="577"/>
      <c r="DQ368" s="600"/>
      <c r="DR368" s="600"/>
      <c r="DS368" s="577"/>
      <c r="DT368" s="577"/>
      <c r="DU368" s="577"/>
      <c r="DV368" s="577"/>
      <c r="DW368" s="577"/>
      <c r="DX368" s="577"/>
    </row>
    <row r="369" spans="17:128" s="560" customFormat="1">
      <c r="Q369" s="562"/>
      <c r="R369" s="562">
        <v>0.55000000000000004</v>
      </c>
      <c r="S369" s="562"/>
      <c r="T369" s="562"/>
      <c r="U369" s="562"/>
      <c r="V369" s="562"/>
      <c r="W369" s="562"/>
      <c r="X369" s="562"/>
      <c r="Y369" s="562"/>
      <c r="Z369" s="562"/>
      <c r="AA369" s="562"/>
      <c r="AB369" s="562"/>
      <c r="AC369" s="562"/>
      <c r="AD369" s="563"/>
      <c r="AE369" s="561"/>
      <c r="AF369" s="562">
        <v>30</v>
      </c>
      <c r="AG369" s="562"/>
      <c r="AH369" s="577">
        <v>2.2999999999999998</v>
      </c>
      <c r="AI369" s="577" t="s">
        <v>793</v>
      </c>
      <c r="AJ369" s="577"/>
      <c r="AK369" s="577">
        <v>1</v>
      </c>
      <c r="AL369" s="577"/>
      <c r="AM369" s="577">
        <v>1</v>
      </c>
      <c r="AN369" s="562">
        <v>2.1</v>
      </c>
      <c r="AO369" s="562">
        <f>AN369+AN369</f>
        <v>4.2</v>
      </c>
      <c r="AP369" s="598">
        <v>0.140625</v>
      </c>
      <c r="AQ369" s="599">
        <v>3.5452631578947371</v>
      </c>
      <c r="AR369" s="599">
        <f>AO369-AQ369</f>
        <v>0.65473684210526306</v>
      </c>
      <c r="AS369" s="600"/>
      <c r="AT369" s="600">
        <v>1</v>
      </c>
      <c r="AU369" s="577" t="s">
        <v>778</v>
      </c>
      <c r="AV369" s="577">
        <v>2443</v>
      </c>
      <c r="AW369" s="562"/>
      <c r="AX369" s="562"/>
      <c r="AY369" s="562"/>
      <c r="AZ369" s="562"/>
      <c r="BA369" s="562"/>
      <c r="BB369" s="563"/>
      <c r="BD369" s="576">
        <v>6</v>
      </c>
      <c r="BF369" s="576"/>
      <c r="BG369" s="576"/>
      <c r="BH369" s="576"/>
      <c r="BI369" s="576">
        <v>1</v>
      </c>
      <c r="BJ369" s="576"/>
      <c r="BK369" s="576"/>
      <c r="BL369" s="576">
        <v>2.4</v>
      </c>
      <c r="BM369" s="576">
        <f t="shared" si="63"/>
        <v>4.8</v>
      </c>
      <c r="BO369" s="611">
        <v>4.1241935483870966</v>
      </c>
      <c r="BP369" s="611">
        <f t="shared" si="64"/>
        <v>0.6758064516129032</v>
      </c>
      <c r="BQ369" s="658"/>
      <c r="BR369" s="612">
        <v>1</v>
      </c>
      <c r="BS369" s="576" t="s">
        <v>778</v>
      </c>
      <c r="BT369" s="576"/>
      <c r="DD369" s="561"/>
      <c r="DE369" s="562"/>
      <c r="DF369" s="577"/>
      <c r="DG369" s="577"/>
      <c r="DH369" s="577"/>
      <c r="DI369" s="577"/>
      <c r="DJ369" s="577"/>
      <c r="DK369" s="577"/>
      <c r="DL369" s="577"/>
      <c r="DM369" s="577"/>
      <c r="DN369" s="577"/>
      <c r="DO369" s="577"/>
      <c r="DP369" s="577"/>
      <c r="DQ369" s="600"/>
      <c r="DR369" s="600"/>
      <c r="DS369" s="577"/>
      <c r="DT369" s="577"/>
      <c r="DU369" s="577"/>
      <c r="DV369" s="577"/>
      <c r="DW369" s="577"/>
      <c r="DX369" s="577"/>
    </row>
    <row r="370" spans="17:128" s="560" customFormat="1">
      <c r="Q370" s="562"/>
      <c r="R370" s="562">
        <v>0.6</v>
      </c>
      <c r="S370" s="562"/>
      <c r="T370" s="562"/>
      <c r="U370" s="562"/>
      <c r="V370" s="562"/>
      <c r="W370" s="562"/>
      <c r="X370" s="562"/>
      <c r="Y370" s="562"/>
      <c r="Z370" s="562"/>
      <c r="AA370" s="562"/>
      <c r="AB370" s="562"/>
      <c r="AC370" s="562"/>
      <c r="AD370" s="563"/>
      <c r="AE370" s="561"/>
      <c r="AF370" s="562">
        <v>31</v>
      </c>
      <c r="AG370" s="562"/>
      <c r="AH370" s="577">
        <v>0.4</v>
      </c>
      <c r="AI370" s="577" t="s">
        <v>793</v>
      </c>
      <c r="AJ370" s="577"/>
      <c r="AK370" s="577">
        <v>1</v>
      </c>
      <c r="AL370" s="577"/>
      <c r="AM370" s="577">
        <v>1</v>
      </c>
      <c r="AN370" s="562">
        <v>1.9</v>
      </c>
      <c r="AO370" s="562">
        <f>AN370+AN370</f>
        <v>3.8</v>
      </c>
      <c r="AP370" s="598">
        <v>0.140625</v>
      </c>
      <c r="AQ370" s="599">
        <v>3.5326315789473686</v>
      </c>
      <c r="AR370" s="599">
        <f>AO370-AQ370</f>
        <v>0.26736842105263126</v>
      </c>
      <c r="AS370" s="600"/>
      <c r="AT370" s="600">
        <v>1</v>
      </c>
      <c r="AU370" s="577" t="s">
        <v>778</v>
      </c>
      <c r="AV370" s="577">
        <v>2442</v>
      </c>
      <c r="AW370" s="562"/>
      <c r="AX370" s="562"/>
      <c r="AY370" s="562"/>
      <c r="AZ370" s="562"/>
      <c r="BA370" s="562"/>
      <c r="BB370" s="563"/>
      <c r="BD370" s="576">
        <v>7</v>
      </c>
      <c r="BF370" s="576"/>
      <c r="BG370" s="576"/>
      <c r="BH370" s="576"/>
      <c r="BI370" s="576">
        <v>1</v>
      </c>
      <c r="BJ370" s="576"/>
      <c r="BK370" s="576"/>
      <c r="BL370" s="576">
        <v>2.2000000000000002</v>
      </c>
      <c r="BM370" s="576">
        <f t="shared" si="63"/>
        <v>4.4000000000000004</v>
      </c>
      <c r="BO370" s="611">
        <v>4.129032258064516</v>
      </c>
      <c r="BP370" s="611">
        <f t="shared" si="64"/>
        <v>0.27096774193548434</v>
      </c>
      <c r="BQ370" s="658"/>
      <c r="BR370" s="612">
        <v>1</v>
      </c>
      <c r="BS370" s="576" t="s">
        <v>778</v>
      </c>
      <c r="BT370" s="576"/>
      <c r="DD370" s="561"/>
      <c r="DE370" s="562"/>
      <c r="DF370" s="577"/>
      <c r="DG370" s="577"/>
      <c r="DH370" s="577"/>
      <c r="DI370" s="577"/>
      <c r="DJ370" s="577"/>
      <c r="DK370" s="577"/>
      <c r="DL370" s="577"/>
      <c r="DM370" s="577"/>
      <c r="DN370" s="577"/>
      <c r="DO370" s="577"/>
      <c r="DP370" s="577"/>
      <c r="DQ370" s="600"/>
      <c r="DR370" s="600"/>
      <c r="DS370" s="577"/>
      <c r="DT370" s="577"/>
      <c r="DU370" s="577"/>
      <c r="DV370" s="577"/>
      <c r="DW370" s="577"/>
      <c r="DX370" s="577"/>
    </row>
    <row r="371" spans="17:128" s="560" customFormat="1">
      <c r="Q371" s="562"/>
      <c r="R371" s="562">
        <v>0.5</v>
      </c>
      <c r="S371" s="562"/>
      <c r="T371" s="562"/>
      <c r="U371" s="562"/>
      <c r="V371" s="562"/>
      <c r="W371" s="562"/>
      <c r="X371" s="562"/>
      <c r="Y371" s="562"/>
      <c r="Z371" s="562"/>
      <c r="AA371" s="562"/>
      <c r="AB371" s="562"/>
      <c r="AC371" s="562"/>
      <c r="AD371" s="563"/>
      <c r="AE371" s="561"/>
      <c r="AF371" s="562">
        <v>32</v>
      </c>
      <c r="AG371" s="562"/>
      <c r="AH371" s="562"/>
      <c r="AI371" s="562"/>
      <c r="AJ371" s="562"/>
      <c r="AK371" s="577">
        <v>1</v>
      </c>
      <c r="AL371" s="577"/>
      <c r="AM371" s="577"/>
      <c r="AN371" s="562">
        <v>1.45</v>
      </c>
      <c r="AO371" s="562">
        <f>AN371+AN371</f>
        <v>2.9</v>
      </c>
      <c r="AP371" s="598">
        <v>0.140625</v>
      </c>
      <c r="AQ371" s="599">
        <v>3.5200000000000005</v>
      </c>
      <c r="AR371" s="672">
        <f>AO371-AQ371</f>
        <v>-0.62000000000000055</v>
      </c>
      <c r="AS371" s="600"/>
      <c r="AT371" s="600">
        <v>1</v>
      </c>
      <c r="AU371" s="577" t="s">
        <v>778</v>
      </c>
      <c r="AV371" s="577"/>
      <c r="AW371" s="562"/>
      <c r="AX371" s="562"/>
      <c r="AY371" s="562"/>
      <c r="AZ371" s="562"/>
      <c r="BA371" s="562"/>
      <c r="BB371" s="563"/>
      <c r="BD371" s="576">
        <v>8</v>
      </c>
      <c r="BF371" s="576"/>
      <c r="BG371" s="576"/>
      <c r="BH371" s="576"/>
      <c r="BI371" s="576">
        <v>1</v>
      </c>
      <c r="BJ371" s="576"/>
      <c r="BK371" s="576"/>
      <c r="BL371" s="576">
        <v>2.4</v>
      </c>
      <c r="BM371" s="576">
        <f t="shared" si="63"/>
        <v>4.8</v>
      </c>
      <c r="BO371" s="611">
        <v>4.1338709677419354</v>
      </c>
      <c r="BP371" s="611">
        <f t="shared" si="64"/>
        <v>0.66612903225806441</v>
      </c>
      <c r="BQ371" s="658"/>
      <c r="BR371" s="612">
        <v>1</v>
      </c>
      <c r="BS371" s="576" t="s">
        <v>778</v>
      </c>
      <c r="BT371" s="576"/>
      <c r="DD371" s="561"/>
      <c r="DE371" s="562"/>
      <c r="DF371" s="577"/>
      <c r="DG371" s="577"/>
      <c r="DH371" s="577"/>
      <c r="DI371" s="577"/>
      <c r="DJ371" s="577"/>
      <c r="DK371" s="577"/>
      <c r="DL371" s="577"/>
      <c r="DM371" s="577"/>
      <c r="DN371" s="577"/>
      <c r="DO371" s="577"/>
      <c r="DP371" s="577"/>
      <c r="DQ371" s="600"/>
      <c r="DR371" s="600"/>
      <c r="DS371" s="577"/>
      <c r="DT371" s="577"/>
      <c r="DU371" s="577"/>
      <c r="DV371" s="577"/>
      <c r="DW371" s="577"/>
      <c r="DX371" s="577"/>
    </row>
    <row r="372" spans="17:128" s="560" customFormat="1">
      <c r="Q372" s="562"/>
      <c r="R372" s="562">
        <v>0.6</v>
      </c>
      <c r="S372" s="562"/>
      <c r="T372" s="562"/>
      <c r="U372" s="562"/>
      <c r="V372" s="562"/>
      <c r="W372" s="562"/>
      <c r="X372" s="562"/>
      <c r="Y372" s="562"/>
      <c r="Z372" s="562"/>
      <c r="AA372" s="562"/>
      <c r="AB372" s="562"/>
      <c r="AC372" s="562"/>
      <c r="AD372" s="563"/>
      <c r="AE372" s="561"/>
      <c r="AF372" s="562"/>
      <c r="AG372" s="562"/>
      <c r="AH372" s="562"/>
      <c r="AI372" s="562"/>
      <c r="AJ372" s="632">
        <f>SUM(AJ332:AJ371)</f>
        <v>9</v>
      </c>
      <c r="AK372" s="632">
        <f>SUM(AK332:AK371)</f>
        <v>23</v>
      </c>
      <c r="AL372" s="591"/>
      <c r="AM372" s="634">
        <f>SUM(AM332:AM371)</f>
        <v>22</v>
      </c>
      <c r="AN372" s="562"/>
      <c r="AO372" s="635">
        <f>SUM(AO333:AO371)</f>
        <v>127.4</v>
      </c>
      <c r="AP372" s="562"/>
      <c r="AQ372" s="636">
        <f>SUM(AQ333:AQ371)</f>
        <v>115.86947368421053</v>
      </c>
      <c r="AR372" s="636">
        <f>SUM(AR332:AR370)</f>
        <v>12.150526315789477</v>
      </c>
      <c r="AS372" s="637">
        <f>SUM(AS332:AS371)</f>
        <v>1</v>
      </c>
      <c r="AT372" s="637">
        <f>SUM(AT332:AT371)</f>
        <v>31</v>
      </c>
      <c r="AU372" s="562"/>
      <c r="AV372" s="562"/>
      <c r="AW372" s="562"/>
      <c r="AX372" s="562"/>
      <c r="AY372" s="562"/>
      <c r="AZ372" s="562"/>
      <c r="BA372" s="562"/>
      <c r="BB372" s="563"/>
      <c r="BD372" s="576">
        <v>9</v>
      </c>
      <c r="BF372" s="576"/>
      <c r="BG372" s="576"/>
      <c r="BH372" s="576"/>
      <c r="BI372" s="576">
        <v>1</v>
      </c>
      <c r="BJ372" s="576"/>
      <c r="BK372" s="576"/>
      <c r="BL372" s="576">
        <v>2.2999999999999998</v>
      </c>
      <c r="BM372" s="576">
        <f t="shared" si="63"/>
        <v>4.5999999999999996</v>
      </c>
      <c r="BO372" s="611">
        <v>4.1387096774193548</v>
      </c>
      <c r="BP372" s="611">
        <f t="shared" si="64"/>
        <v>0.46129032258064484</v>
      </c>
      <c r="BQ372" s="658"/>
      <c r="BR372" s="612">
        <v>1</v>
      </c>
      <c r="BS372" s="576" t="s">
        <v>778</v>
      </c>
      <c r="BT372" s="576"/>
      <c r="DD372" s="561"/>
      <c r="DE372" s="562"/>
      <c r="DF372" s="577"/>
      <c r="DG372" s="577"/>
      <c r="DH372" s="577"/>
      <c r="DI372" s="577"/>
      <c r="DJ372" s="577"/>
      <c r="DK372" s="577"/>
      <c r="DL372" s="577"/>
      <c r="DM372" s="577"/>
      <c r="DN372" s="577"/>
      <c r="DO372" s="577"/>
      <c r="DP372" s="577"/>
      <c r="DQ372" s="600"/>
      <c r="DR372" s="600"/>
      <c r="DS372" s="577"/>
      <c r="DT372" s="577"/>
      <c r="DU372" s="577"/>
      <c r="DV372" s="577"/>
      <c r="DW372" s="577"/>
      <c r="DX372" s="577"/>
    </row>
    <row r="373" spans="17:128" s="560" customFormat="1">
      <c r="Q373" s="562"/>
      <c r="R373" s="562">
        <v>0.6</v>
      </c>
      <c r="S373" s="562"/>
      <c r="T373" s="562"/>
      <c r="U373" s="562"/>
      <c r="V373" s="562"/>
      <c r="W373" s="562"/>
      <c r="X373" s="562"/>
      <c r="Y373" s="562"/>
      <c r="Z373" s="562"/>
      <c r="AA373" s="562"/>
      <c r="AB373" s="562"/>
      <c r="AC373" s="562"/>
      <c r="AD373" s="563"/>
      <c r="AE373" s="567">
        <v>41145</v>
      </c>
      <c r="AF373" s="568" t="s">
        <v>725</v>
      </c>
      <c r="AG373" s="568"/>
      <c r="AH373" s="568" t="s">
        <v>726</v>
      </c>
      <c r="AI373" s="569" t="s">
        <v>727</v>
      </c>
      <c r="AJ373" s="569"/>
      <c r="AK373" s="569"/>
      <c r="AL373" s="569"/>
      <c r="AM373" s="569"/>
      <c r="AN373" s="569" t="s">
        <v>728</v>
      </c>
      <c r="AO373" s="569"/>
      <c r="AP373" s="569" t="s">
        <v>729</v>
      </c>
      <c r="AQ373" s="651"/>
      <c r="AR373" s="638">
        <f>+AR372/AO372</f>
        <v>9.5373048004626981E-2</v>
      </c>
      <c r="AS373" s="639"/>
      <c r="AT373" s="639"/>
      <c r="AU373" s="569" t="s">
        <v>730</v>
      </c>
      <c r="AV373" s="569" t="s">
        <v>731</v>
      </c>
      <c r="AW373" s="568"/>
      <c r="AX373" s="562"/>
      <c r="AY373" s="562"/>
      <c r="AZ373" s="562"/>
      <c r="BA373" s="562"/>
      <c r="BB373" s="563"/>
      <c r="BD373" s="576">
        <v>10</v>
      </c>
      <c r="BF373" s="576"/>
      <c r="BG373" s="576"/>
      <c r="BH373" s="576"/>
      <c r="BI373" s="576">
        <v>1</v>
      </c>
      <c r="BJ373" s="576"/>
      <c r="BK373" s="576"/>
      <c r="BL373" s="576">
        <v>2.2999999999999998</v>
      </c>
      <c r="BM373" s="576">
        <f t="shared" si="63"/>
        <v>4.5999999999999996</v>
      </c>
      <c r="BO373" s="611">
        <v>4.1435483870967742</v>
      </c>
      <c r="BP373" s="611">
        <f t="shared" si="64"/>
        <v>0.45645161290322545</v>
      </c>
      <c r="BQ373" s="658"/>
      <c r="BR373" s="612">
        <v>1</v>
      </c>
      <c r="BS373" s="576" t="s">
        <v>778</v>
      </c>
      <c r="BT373" s="576"/>
      <c r="DD373" s="561"/>
      <c r="DE373" s="562"/>
      <c r="DF373" s="577"/>
      <c r="DG373" s="577"/>
      <c r="DH373" s="577"/>
      <c r="DI373" s="577"/>
      <c r="DJ373" s="577"/>
      <c r="DK373" s="577"/>
      <c r="DL373" s="577"/>
      <c r="DM373" s="577"/>
      <c r="DN373" s="577"/>
      <c r="DO373" s="577"/>
      <c r="DP373" s="577"/>
      <c r="DQ373" s="600"/>
      <c r="DR373" s="600"/>
      <c r="DS373" s="577"/>
      <c r="DT373" s="577"/>
      <c r="DU373" s="577"/>
      <c r="DV373" s="577"/>
      <c r="DW373" s="577"/>
      <c r="DX373" s="577"/>
    </row>
    <row r="374" spans="17:128" s="560" customFormat="1">
      <c r="Q374" s="562"/>
      <c r="R374" s="562">
        <v>0.45</v>
      </c>
      <c r="S374" s="562"/>
      <c r="T374" s="562"/>
      <c r="U374" s="562"/>
      <c r="V374" s="562"/>
      <c r="W374" s="562"/>
      <c r="X374" s="562"/>
      <c r="Y374" s="562"/>
      <c r="Z374" s="562"/>
      <c r="AA374" s="562"/>
      <c r="AB374" s="562"/>
      <c r="AC374" s="562"/>
      <c r="AD374" s="563"/>
      <c r="AE374" s="561"/>
      <c r="AF374" s="568"/>
      <c r="AG374" s="568"/>
      <c r="AH374" s="568"/>
      <c r="AI374" s="577" t="s">
        <v>1020</v>
      </c>
      <c r="AJ374" s="577"/>
      <c r="AK374" s="577"/>
      <c r="AL374" s="577"/>
      <c r="AM374" s="577"/>
      <c r="AN374" s="577" t="s">
        <v>1080</v>
      </c>
      <c r="AO374" s="577"/>
      <c r="AP374" s="577">
        <v>51</v>
      </c>
      <c r="AQ374" s="599"/>
      <c r="AR374" s="599"/>
      <c r="AS374" s="600"/>
      <c r="AT374" s="600"/>
      <c r="AU374" s="577">
        <v>37</v>
      </c>
      <c r="AV374" s="577"/>
      <c r="AW374" s="568"/>
      <c r="AX374" s="562"/>
      <c r="AY374" s="562"/>
      <c r="AZ374" s="562"/>
      <c r="BA374" s="562"/>
      <c r="BB374" s="563"/>
      <c r="BD374" s="576">
        <v>11</v>
      </c>
      <c r="BF374" s="576"/>
      <c r="BG374" s="576"/>
      <c r="BH374" s="576"/>
      <c r="BI374" s="576">
        <v>1</v>
      </c>
      <c r="BJ374" s="576"/>
      <c r="BK374" s="576"/>
      <c r="BL374" s="576">
        <v>2.2999999999999998</v>
      </c>
      <c r="BM374" s="576">
        <f t="shared" si="63"/>
        <v>4.5999999999999996</v>
      </c>
      <c r="BO374" s="611">
        <v>4.1483870967741936</v>
      </c>
      <c r="BP374" s="611">
        <f t="shared" si="64"/>
        <v>0.45161290322580605</v>
      </c>
      <c r="BQ374" s="658"/>
      <c r="BR374" s="612">
        <v>1</v>
      </c>
      <c r="BS374" s="576" t="s">
        <v>778</v>
      </c>
      <c r="BT374" s="576"/>
      <c r="BV374" s="627" t="s">
        <v>806</v>
      </c>
      <c r="BW374" s="627">
        <f>COUNT(BP364:BP395)</f>
        <v>32</v>
      </c>
      <c r="DD374" s="561"/>
      <c r="DE374" s="562"/>
      <c r="DF374" s="577"/>
      <c r="DG374" s="577"/>
      <c r="DH374" s="577"/>
      <c r="DI374" s="577"/>
      <c r="DJ374" s="577"/>
      <c r="DK374" s="577"/>
      <c r="DL374" s="577"/>
      <c r="DM374" s="577"/>
      <c r="DN374" s="577"/>
      <c r="DO374" s="577"/>
      <c r="DP374" s="577"/>
      <c r="DQ374" s="600"/>
      <c r="DR374" s="600"/>
      <c r="DS374" s="577"/>
      <c r="DT374" s="577"/>
      <c r="DU374" s="577"/>
      <c r="DV374" s="577"/>
      <c r="DW374" s="577"/>
      <c r="DX374" s="577"/>
    </row>
    <row r="375" spans="17:128" s="560" customFormat="1">
      <c r="Q375" s="562"/>
      <c r="R375" s="562">
        <v>0.55000000000000004</v>
      </c>
      <c r="S375" s="562"/>
      <c r="T375" s="562"/>
      <c r="U375" s="562"/>
      <c r="V375" s="562"/>
      <c r="W375" s="562"/>
      <c r="X375" s="562"/>
      <c r="Y375" s="562"/>
      <c r="Z375" s="562"/>
      <c r="AA375" s="562"/>
      <c r="AB375" s="562"/>
      <c r="AC375" s="562"/>
      <c r="AD375" s="563"/>
      <c r="AE375" s="561" t="s">
        <v>526</v>
      </c>
      <c r="AF375" s="583" t="s">
        <v>1081</v>
      </c>
      <c r="AG375" s="578"/>
      <c r="AH375" s="569"/>
      <c r="AI375" s="568"/>
      <c r="AJ375" s="568"/>
      <c r="AK375" s="568"/>
      <c r="AL375" s="568"/>
      <c r="AM375" s="568"/>
      <c r="AN375" s="568"/>
      <c r="AO375" s="568"/>
      <c r="AP375" s="569"/>
      <c r="AQ375" s="583" t="s">
        <v>1082</v>
      </c>
      <c r="AR375" s="651"/>
      <c r="AS375" s="639"/>
      <c r="AT375" s="639"/>
      <c r="AU375" s="569"/>
      <c r="AV375" s="577"/>
      <c r="AW375" s="569"/>
      <c r="AX375" s="562"/>
      <c r="AY375" s="562"/>
      <c r="AZ375" s="562"/>
      <c r="BA375" s="562"/>
      <c r="BB375" s="563"/>
      <c r="BD375" s="576">
        <v>12</v>
      </c>
      <c r="BF375" s="576"/>
      <c r="BG375" s="576"/>
      <c r="BH375" s="576"/>
      <c r="BI375" s="576">
        <v>1</v>
      </c>
      <c r="BJ375" s="576"/>
      <c r="BK375" s="576"/>
      <c r="BL375" s="576">
        <v>2.4</v>
      </c>
      <c r="BM375" s="576">
        <f t="shared" si="63"/>
        <v>4.8</v>
      </c>
      <c r="BO375" s="611">
        <v>4.153225806451613</v>
      </c>
      <c r="BP375" s="611">
        <f t="shared" si="64"/>
        <v>0.64677419354838683</v>
      </c>
      <c r="BQ375" s="658"/>
      <c r="BR375" s="612">
        <v>1</v>
      </c>
      <c r="BS375" s="576" t="s">
        <v>778</v>
      </c>
      <c r="BT375" s="576"/>
      <c r="BV375" s="627" t="s">
        <v>812</v>
      </c>
      <c r="BW375" s="628">
        <f>SUM(BP364:BP395)</f>
        <v>15.3</v>
      </c>
      <c r="DD375" s="561"/>
      <c r="DE375" s="562"/>
      <c r="DF375" s="577"/>
      <c r="DG375" s="577"/>
      <c r="DH375" s="577"/>
      <c r="DI375" s="577"/>
      <c r="DJ375" s="577"/>
      <c r="DK375" s="577"/>
      <c r="DL375" s="577"/>
      <c r="DM375" s="577"/>
      <c r="DN375" s="577"/>
      <c r="DO375" s="577"/>
      <c r="DP375" s="577"/>
      <c r="DQ375" s="600"/>
      <c r="DR375" s="600"/>
      <c r="DS375" s="577"/>
      <c r="DT375" s="577"/>
      <c r="DU375" s="577"/>
      <c r="DV375" s="577"/>
      <c r="DW375" s="577"/>
      <c r="DX375" s="577"/>
    </row>
    <row r="376" spans="17:128" s="560" customFormat="1">
      <c r="Q376" s="562"/>
      <c r="R376" s="562">
        <v>0.6</v>
      </c>
      <c r="S376" s="562"/>
      <c r="T376" s="562"/>
      <c r="U376" s="562"/>
      <c r="V376" s="562"/>
      <c r="W376" s="562"/>
      <c r="X376" s="562"/>
      <c r="Y376" s="562"/>
      <c r="Z376" s="562"/>
      <c r="AA376" s="562"/>
      <c r="AB376" s="562"/>
      <c r="AC376" s="562"/>
      <c r="AD376" s="563"/>
      <c r="AE376" s="587"/>
      <c r="AF376" s="588" t="s">
        <v>755</v>
      </c>
      <c r="AG376" s="588" t="s">
        <v>756</v>
      </c>
      <c r="AH376" s="590" t="s">
        <v>757</v>
      </c>
      <c r="AI376" s="590" t="s">
        <v>758</v>
      </c>
      <c r="AJ376" s="590" t="s">
        <v>765</v>
      </c>
      <c r="AK376" s="590" t="s">
        <v>766</v>
      </c>
      <c r="AL376" s="591" t="s">
        <v>767</v>
      </c>
      <c r="AM376" s="592" t="s">
        <v>768</v>
      </c>
      <c r="AN376" s="588" t="s">
        <v>759</v>
      </c>
      <c r="AO376" s="593" t="s">
        <v>769</v>
      </c>
      <c r="AP376" s="588" t="s">
        <v>760</v>
      </c>
      <c r="AQ376" s="663" t="s">
        <v>770</v>
      </c>
      <c r="AR376" s="663" t="s">
        <v>771</v>
      </c>
      <c r="AS376" s="595" t="s">
        <v>772</v>
      </c>
      <c r="AT376" s="595" t="s">
        <v>773</v>
      </c>
      <c r="AU376" s="588" t="s">
        <v>761</v>
      </c>
      <c r="AV376" s="588" t="s">
        <v>762</v>
      </c>
      <c r="AW376" s="588" t="s">
        <v>763</v>
      </c>
      <c r="AX376" s="562"/>
      <c r="AY376" s="562"/>
      <c r="AZ376" s="562"/>
      <c r="BA376" s="588" t="s">
        <v>764</v>
      </c>
      <c r="BB376" s="589"/>
      <c r="BD376" s="576">
        <v>13</v>
      </c>
      <c r="BF376" s="576"/>
      <c r="BG376" s="576"/>
      <c r="BH376" s="576"/>
      <c r="BI376" s="576">
        <v>1</v>
      </c>
      <c r="BJ376" s="576"/>
      <c r="BK376" s="576"/>
      <c r="BL376" s="576">
        <v>2.2000000000000002</v>
      </c>
      <c r="BM376" s="576">
        <f t="shared" si="63"/>
        <v>4.4000000000000004</v>
      </c>
      <c r="BO376" s="611">
        <v>4.1580645161290324</v>
      </c>
      <c r="BP376" s="611">
        <f t="shared" si="64"/>
        <v>0.24193548387096797</v>
      </c>
      <c r="BQ376" s="658"/>
      <c r="BR376" s="612">
        <v>1</v>
      </c>
      <c r="BS376" s="576" t="s">
        <v>778</v>
      </c>
      <c r="BT376" s="576"/>
      <c r="BV376" s="627" t="s">
        <v>811</v>
      </c>
      <c r="BW376" s="628">
        <f>MAX(BP364:BP395)</f>
        <v>0.95483870967741957</v>
      </c>
      <c r="DD376" s="561"/>
      <c r="DE376" s="562"/>
      <c r="DF376" s="577"/>
      <c r="DG376" s="577"/>
      <c r="DH376" s="577"/>
      <c r="DI376" s="577"/>
      <c r="DJ376" s="577"/>
      <c r="DK376" s="577"/>
      <c r="DL376" s="577"/>
      <c r="DM376" s="577"/>
      <c r="DN376" s="577"/>
      <c r="DO376" s="577"/>
      <c r="DP376" s="577"/>
      <c r="DQ376" s="600"/>
      <c r="DR376" s="600"/>
      <c r="DS376" s="577"/>
      <c r="DT376" s="577"/>
      <c r="DU376" s="577"/>
      <c r="DV376" s="577"/>
      <c r="DW376" s="577"/>
      <c r="DX376" s="577"/>
    </row>
    <row r="377" spans="17:128" s="560" customFormat="1">
      <c r="Q377" s="562"/>
      <c r="R377" s="562">
        <v>0.47</v>
      </c>
      <c r="S377" s="562"/>
      <c r="T377" s="562"/>
      <c r="U377" s="562"/>
      <c r="V377" s="562"/>
      <c r="W377" s="562"/>
      <c r="X377" s="562"/>
      <c r="Y377" s="562"/>
      <c r="Z377" s="562"/>
      <c r="AA377" s="562"/>
      <c r="AB377" s="562"/>
      <c r="AC377" s="562"/>
      <c r="AD377" s="563"/>
      <c r="AE377" s="561"/>
      <c r="AF377" s="568">
        <v>1</v>
      </c>
      <c r="AG377" s="562"/>
      <c r="AH377" s="577">
        <v>0.4</v>
      </c>
      <c r="AI377" s="577" t="s">
        <v>793</v>
      </c>
      <c r="AJ377" s="577"/>
      <c r="AK377" s="577">
        <v>1</v>
      </c>
      <c r="AL377" s="577"/>
      <c r="AM377" s="577">
        <v>1</v>
      </c>
      <c r="AN377" s="562">
        <v>2.5499999999999998</v>
      </c>
      <c r="AO377" s="562">
        <f>AN377+AN377</f>
        <v>5.0999999999999996</v>
      </c>
      <c r="AP377" s="598">
        <v>0.140625</v>
      </c>
      <c r="AQ377" s="692">
        <v>4.0999999999999996</v>
      </c>
      <c r="AR377" s="599">
        <f>AO377-AQ377</f>
        <v>1</v>
      </c>
      <c r="AS377" s="600"/>
      <c r="AT377" s="693">
        <v>1</v>
      </c>
      <c r="AU377" s="577"/>
      <c r="AV377" s="584">
        <v>2419</v>
      </c>
      <c r="AW377" s="562"/>
      <c r="AX377" s="562"/>
      <c r="AY377" s="562"/>
      <c r="AZ377" s="562"/>
      <c r="BA377" s="577"/>
      <c r="BB377" s="589"/>
      <c r="BD377" s="576">
        <v>14</v>
      </c>
      <c r="BF377" s="576">
        <v>0.1</v>
      </c>
      <c r="BG377" s="576" t="s">
        <v>777</v>
      </c>
      <c r="BH377" s="576">
        <v>1</v>
      </c>
      <c r="BI377" s="576"/>
      <c r="BJ377" s="576"/>
      <c r="BK377" s="576"/>
      <c r="BL377" s="576">
        <v>2.2999999999999998</v>
      </c>
      <c r="BM377" s="576">
        <f t="shared" si="63"/>
        <v>4.5999999999999996</v>
      </c>
      <c r="BO377" s="611">
        <v>4.1629032258064518</v>
      </c>
      <c r="BP377" s="611">
        <f t="shared" si="64"/>
        <v>0.43709677419354787</v>
      </c>
      <c r="BQ377" s="658"/>
      <c r="BR377" s="612">
        <v>1</v>
      </c>
      <c r="BS377" s="576" t="s">
        <v>778</v>
      </c>
      <c r="BT377" s="576">
        <v>1540</v>
      </c>
      <c r="BV377" s="627" t="s">
        <v>814</v>
      </c>
      <c r="BW377" s="628">
        <f>MIN(BP364:BP395)</f>
        <v>-0.45000000000000018</v>
      </c>
      <c r="DD377" s="561"/>
      <c r="DE377" s="562"/>
      <c r="DF377" s="577"/>
      <c r="DG377" s="577"/>
      <c r="DH377" s="577"/>
      <c r="DI377" s="577"/>
      <c r="DJ377" s="577"/>
      <c r="DK377" s="577"/>
      <c r="DL377" s="577"/>
      <c r="DM377" s="577"/>
      <c r="DN377" s="577"/>
      <c r="DO377" s="577"/>
      <c r="DP377" s="577"/>
      <c r="DQ377" s="600"/>
      <c r="DR377" s="600"/>
      <c r="DS377" s="577"/>
      <c r="DT377" s="577"/>
      <c r="DU377" s="577"/>
      <c r="DV377" s="577"/>
      <c r="DW377" s="577"/>
      <c r="DX377" s="577"/>
    </row>
    <row r="378" spans="17:128" s="560" customFormat="1">
      <c r="Q378" s="562"/>
      <c r="R378" s="562">
        <v>0.4</v>
      </c>
      <c r="S378" s="562"/>
      <c r="T378" s="562"/>
      <c r="U378" s="562"/>
      <c r="V378" s="562"/>
      <c r="W378" s="562"/>
      <c r="X378" s="562"/>
      <c r="Y378" s="562"/>
      <c r="Z378" s="562"/>
      <c r="AA378" s="562"/>
      <c r="AB378" s="562"/>
      <c r="AC378" s="562"/>
      <c r="AD378" s="563"/>
      <c r="AE378" s="561"/>
      <c r="AF378" s="568">
        <v>2</v>
      </c>
      <c r="AG378" s="562"/>
      <c r="AH378" s="577"/>
      <c r="AI378" s="577"/>
      <c r="AJ378" s="577"/>
      <c r="AK378" s="577">
        <v>1</v>
      </c>
      <c r="AL378" s="577"/>
      <c r="AM378" s="577"/>
      <c r="AN378" s="562">
        <v>2.4</v>
      </c>
      <c r="AO378" s="562">
        <f>AN378+AN378</f>
        <v>4.8</v>
      </c>
      <c r="AP378" s="598">
        <v>0.140625</v>
      </c>
      <c r="AQ378" s="599">
        <v>4.0999999999999996</v>
      </c>
      <c r="AR378" s="599">
        <f>AO378-AQ378</f>
        <v>0.70000000000000018</v>
      </c>
      <c r="AS378" s="600"/>
      <c r="AT378" s="600">
        <v>1</v>
      </c>
      <c r="AU378" s="577" t="s">
        <v>778</v>
      </c>
      <c r="AV378" s="609"/>
      <c r="AW378" s="562"/>
      <c r="AX378" s="562"/>
      <c r="AY378" s="562"/>
      <c r="AZ378" s="562"/>
      <c r="BA378" s="607" t="s">
        <v>780</v>
      </c>
      <c r="BB378" s="608" t="s">
        <v>616</v>
      </c>
      <c r="BD378" s="576">
        <v>15</v>
      </c>
      <c r="BF378" s="576"/>
      <c r="BI378" s="576">
        <v>1</v>
      </c>
      <c r="BJ378" s="576"/>
      <c r="BK378" s="576"/>
      <c r="BL378" s="576">
        <v>2.2000000000000002</v>
      </c>
      <c r="BM378" s="576">
        <f t="shared" si="63"/>
        <v>4.4000000000000004</v>
      </c>
      <c r="BO378" s="611">
        <v>4.1677419354838712</v>
      </c>
      <c r="BP378" s="611">
        <f t="shared" si="64"/>
        <v>0.23225806451612918</v>
      </c>
      <c r="BQ378" s="658"/>
      <c r="BR378" s="612">
        <v>1</v>
      </c>
      <c r="BS378" s="576" t="s">
        <v>778</v>
      </c>
      <c r="BT378" s="576"/>
      <c r="BV378" s="627" t="s">
        <v>817</v>
      </c>
      <c r="BW378" s="628">
        <f>AVERAGE(BP364:BP395)</f>
        <v>0.47812500000000002</v>
      </c>
      <c r="DD378" s="561"/>
      <c r="DE378" s="562"/>
      <c r="DF378" s="577"/>
      <c r="DG378" s="577"/>
      <c r="DH378" s="577"/>
      <c r="DI378" s="577"/>
      <c r="DJ378" s="577"/>
      <c r="DK378" s="577"/>
      <c r="DL378" s="577"/>
      <c r="DM378" s="577"/>
      <c r="DN378" s="577"/>
      <c r="DO378" s="577"/>
      <c r="DP378" s="577"/>
      <c r="DQ378" s="600"/>
      <c r="DR378" s="600"/>
      <c r="DS378" s="577"/>
      <c r="DT378" s="577"/>
      <c r="DU378" s="577"/>
      <c r="DV378" s="577"/>
      <c r="DW378" s="577"/>
      <c r="DX378" s="577"/>
    </row>
    <row r="379" spans="17:128" s="560" customFormat="1">
      <c r="Q379" s="562"/>
      <c r="R379" s="562">
        <v>0.7</v>
      </c>
      <c r="S379" s="562"/>
      <c r="T379" s="562"/>
      <c r="U379" s="562"/>
      <c r="V379" s="562"/>
      <c r="W379" s="562"/>
      <c r="X379" s="562"/>
      <c r="Y379" s="562"/>
      <c r="Z379" s="562"/>
      <c r="AA379" s="562"/>
      <c r="AB379" s="562"/>
      <c r="AC379" s="562"/>
      <c r="AD379" s="563"/>
      <c r="AE379" s="561"/>
      <c r="AF379" s="568">
        <v>3</v>
      </c>
      <c r="AG379" s="562"/>
      <c r="AH379" s="577"/>
      <c r="AI379" s="577"/>
      <c r="AJ379" s="577"/>
      <c r="AK379" s="577">
        <v>1</v>
      </c>
      <c r="AL379" s="577"/>
      <c r="AM379" s="577"/>
      <c r="AN379" s="562">
        <v>2.25</v>
      </c>
      <c r="AO379" s="562">
        <f>AN379+AN379</f>
        <v>4.5</v>
      </c>
      <c r="AP379" s="598">
        <v>0.15625</v>
      </c>
      <c r="AQ379" s="599">
        <v>4.08</v>
      </c>
      <c r="AR379" s="599">
        <f>AO379-AQ379</f>
        <v>0.41999999999999993</v>
      </c>
      <c r="AS379" s="600">
        <v>1</v>
      </c>
      <c r="AT379" s="600"/>
      <c r="AU379" s="577" t="s">
        <v>778</v>
      </c>
      <c r="AV379" s="584"/>
      <c r="AW379" s="562"/>
      <c r="AX379" s="562"/>
      <c r="AY379" s="562"/>
      <c r="AZ379" s="562"/>
      <c r="BA379" s="607" t="s">
        <v>785</v>
      </c>
      <c r="BB379" s="608" t="s">
        <v>542</v>
      </c>
      <c r="BD379" s="576">
        <v>16</v>
      </c>
      <c r="BF379" s="576"/>
      <c r="BI379" s="576">
        <v>1</v>
      </c>
      <c r="BJ379" s="576"/>
      <c r="BK379" s="576"/>
      <c r="BL379" s="576">
        <v>2.2999999999999998</v>
      </c>
      <c r="BM379" s="576">
        <f t="shared" si="63"/>
        <v>4.5999999999999996</v>
      </c>
      <c r="BO379" s="611">
        <v>4.1725806451612897</v>
      </c>
      <c r="BP379" s="611">
        <f t="shared" si="64"/>
        <v>0.42741935483870996</v>
      </c>
      <c r="BQ379" s="658"/>
      <c r="BR379" s="612">
        <v>1</v>
      </c>
      <c r="BS379" s="576" t="s">
        <v>778</v>
      </c>
      <c r="BT379" s="576"/>
      <c r="BV379" s="627" t="s">
        <v>818</v>
      </c>
      <c r="BW379" s="627" t="e">
        <f ca="1">_xlfn.STDEV.S(BP364:BP395)</f>
        <v>#NAME?</v>
      </c>
      <c r="DD379" s="561"/>
      <c r="DE379" s="562"/>
      <c r="DF379" s="577"/>
      <c r="DG379" s="577"/>
      <c r="DH379" s="577"/>
      <c r="DI379" s="577"/>
      <c r="DJ379" s="577"/>
      <c r="DK379" s="577"/>
      <c r="DL379" s="577"/>
      <c r="DM379" s="577"/>
      <c r="DN379" s="577"/>
      <c r="DO379" s="577"/>
      <c r="DP379" s="577"/>
      <c r="DQ379" s="600"/>
      <c r="DR379" s="600"/>
      <c r="DS379" s="577"/>
      <c r="DT379" s="577"/>
      <c r="DU379" s="577"/>
      <c r="DV379" s="577"/>
      <c r="DW379" s="577"/>
      <c r="DX379" s="577"/>
    </row>
    <row r="380" spans="17:128" s="560" customFormat="1">
      <c r="Q380" s="562"/>
      <c r="R380" s="562">
        <v>0.6</v>
      </c>
      <c r="S380" s="562"/>
      <c r="T380" s="562"/>
      <c r="U380" s="562"/>
      <c r="V380" s="562"/>
      <c r="W380" s="562"/>
      <c r="X380" s="562"/>
      <c r="Y380" s="562"/>
      <c r="Z380" s="562"/>
      <c r="AA380" s="562"/>
      <c r="AB380" s="562"/>
      <c r="AC380" s="562"/>
      <c r="AD380" s="563"/>
      <c r="AE380" s="561"/>
      <c r="AF380" s="568">
        <v>4</v>
      </c>
      <c r="AG380" s="562"/>
      <c r="AH380" s="577">
        <v>0.2</v>
      </c>
      <c r="AI380" s="577" t="s">
        <v>793</v>
      </c>
      <c r="AJ380" s="577"/>
      <c r="AK380" s="577">
        <v>1</v>
      </c>
      <c r="AL380" s="577"/>
      <c r="AM380" s="577">
        <v>1</v>
      </c>
      <c r="AN380" s="562">
        <v>2.2000000000000002</v>
      </c>
      <c r="AO380" s="562">
        <f>AN380+AN380</f>
        <v>4.4000000000000004</v>
      </c>
      <c r="AP380" s="598">
        <v>0.140625</v>
      </c>
      <c r="AQ380" s="599">
        <v>4.0617647058823527</v>
      </c>
      <c r="AR380" s="599">
        <f>AO380-AQ380</f>
        <v>0.33823529411764763</v>
      </c>
      <c r="AS380" s="600"/>
      <c r="AT380" s="600">
        <v>1</v>
      </c>
      <c r="AU380" s="577" t="s">
        <v>778</v>
      </c>
      <c r="AV380" s="584">
        <v>2420</v>
      </c>
      <c r="AW380" s="562"/>
      <c r="AX380" s="562"/>
      <c r="AY380" s="562"/>
      <c r="AZ380" s="562"/>
      <c r="BA380" s="607" t="s">
        <v>789</v>
      </c>
      <c r="BB380" s="608" t="s">
        <v>790</v>
      </c>
      <c r="BD380" s="576">
        <v>17</v>
      </c>
      <c r="BF380" s="576"/>
      <c r="BI380" s="576">
        <v>1</v>
      </c>
      <c r="BJ380" s="576"/>
      <c r="BK380" s="576"/>
      <c r="BL380" s="576">
        <v>2.2999999999999998</v>
      </c>
      <c r="BM380" s="576">
        <f t="shared" si="63"/>
        <v>4.5999999999999996</v>
      </c>
      <c r="BO380" s="611">
        <v>4.1774193548387091</v>
      </c>
      <c r="BP380" s="611">
        <f t="shared" si="64"/>
        <v>0.42258064516129057</v>
      </c>
      <c r="BQ380" s="658"/>
      <c r="BR380" s="612">
        <v>1</v>
      </c>
      <c r="BS380" s="576" t="s">
        <v>778</v>
      </c>
      <c r="BT380" s="576"/>
      <c r="DD380" s="561"/>
      <c r="DE380" s="562"/>
      <c r="DF380" s="577"/>
      <c r="DG380" s="577"/>
      <c r="DH380" s="577"/>
      <c r="DI380" s="577"/>
      <c r="DJ380" s="577"/>
      <c r="DK380" s="577"/>
      <c r="DL380" s="577"/>
      <c r="DM380" s="577"/>
      <c r="DN380" s="577"/>
      <c r="DO380" s="577"/>
      <c r="DP380" s="577"/>
      <c r="DQ380" s="600"/>
      <c r="DR380" s="600"/>
      <c r="DS380" s="577"/>
      <c r="DT380" s="577"/>
      <c r="DU380" s="577"/>
      <c r="DV380" s="577"/>
      <c r="DW380" s="577"/>
      <c r="DX380" s="577"/>
    </row>
    <row r="381" spans="17:128" s="560" customFormat="1">
      <c r="Q381" s="562"/>
      <c r="R381" s="562">
        <v>0.45</v>
      </c>
      <c r="S381" s="562"/>
      <c r="T381" s="562"/>
      <c r="U381" s="562"/>
      <c r="V381" s="562"/>
      <c r="W381" s="562"/>
      <c r="X381" s="562"/>
      <c r="Y381" s="562"/>
      <c r="Z381" s="562"/>
      <c r="AA381" s="562"/>
      <c r="AB381" s="562"/>
      <c r="AC381" s="562"/>
      <c r="AD381" s="563"/>
      <c r="AE381" s="561"/>
      <c r="AF381" s="568">
        <v>5</v>
      </c>
      <c r="AG381" s="562"/>
      <c r="AH381" s="577">
        <v>0.5</v>
      </c>
      <c r="AI381" s="577" t="s">
        <v>793</v>
      </c>
      <c r="AJ381" s="577"/>
      <c r="AK381" s="577">
        <v>1</v>
      </c>
      <c r="AL381" s="577"/>
      <c r="AM381" s="577">
        <v>1</v>
      </c>
      <c r="AN381" s="562">
        <v>2.2999999999999998</v>
      </c>
      <c r="AO381" s="562">
        <f>AN381+AN381</f>
        <v>4.5999999999999996</v>
      </c>
      <c r="AP381" s="694">
        <v>0.140625</v>
      </c>
      <c r="AQ381" s="599">
        <v>4.0426470588235288</v>
      </c>
      <c r="AR381" s="599">
        <f>AO381-AQ381</f>
        <v>0.55735294117647083</v>
      </c>
      <c r="AS381" s="600"/>
      <c r="AT381" s="693">
        <v>1</v>
      </c>
      <c r="AU381" s="577"/>
      <c r="AV381" s="584">
        <v>2421</v>
      </c>
      <c r="AW381" s="562"/>
      <c r="AX381" s="562"/>
      <c r="AY381" s="562"/>
      <c r="AZ381" s="562"/>
      <c r="BA381" s="607" t="s">
        <v>791</v>
      </c>
      <c r="BB381" s="608" t="s">
        <v>792</v>
      </c>
      <c r="BD381" s="576">
        <v>18</v>
      </c>
      <c r="BF381" s="576"/>
      <c r="BI381" s="576">
        <v>1</v>
      </c>
      <c r="BJ381" s="576"/>
      <c r="BK381" s="576"/>
      <c r="BL381" s="576">
        <v>2.2999999999999998</v>
      </c>
      <c r="BM381" s="576">
        <f t="shared" si="63"/>
        <v>4.5999999999999996</v>
      </c>
      <c r="BO381" s="611">
        <v>4.1822580645161285</v>
      </c>
      <c r="BP381" s="611">
        <f t="shared" si="64"/>
        <v>0.41774193548387117</v>
      </c>
      <c r="BQ381" s="658"/>
      <c r="BR381" s="612">
        <v>1</v>
      </c>
      <c r="BS381" s="576" t="s">
        <v>778</v>
      </c>
      <c r="BT381" s="576"/>
      <c r="DD381" s="561"/>
      <c r="DE381" s="562"/>
      <c r="DF381" s="577"/>
      <c r="DG381" s="577"/>
      <c r="DH381" s="577"/>
      <c r="DI381" s="577"/>
      <c r="DJ381" s="577"/>
      <c r="DK381" s="577"/>
      <c r="DL381" s="577"/>
      <c r="DM381" s="577"/>
      <c r="DN381" s="577"/>
      <c r="DO381" s="577"/>
      <c r="DP381" s="577"/>
      <c r="DQ381" s="600"/>
      <c r="DR381" s="600"/>
      <c r="DS381" s="577"/>
      <c r="DT381" s="577"/>
      <c r="DU381" s="577"/>
      <c r="DV381" s="577"/>
      <c r="DW381" s="577"/>
      <c r="DX381" s="577"/>
    </row>
    <row r="382" spans="17:128" s="560" customFormat="1">
      <c r="Q382" s="562" t="s">
        <v>799</v>
      </c>
      <c r="R382" s="562"/>
      <c r="S382" s="562"/>
      <c r="T382" s="562"/>
      <c r="U382" s="562"/>
      <c r="V382" s="562"/>
      <c r="W382" s="562"/>
      <c r="X382" s="562"/>
      <c r="Y382" s="562"/>
      <c r="Z382" s="562"/>
      <c r="AA382" s="562"/>
      <c r="AB382" s="562"/>
      <c r="AC382" s="562"/>
      <c r="AD382" s="563"/>
      <c r="AE382" s="561"/>
      <c r="AF382" s="562" t="s">
        <v>778</v>
      </c>
      <c r="AG382" s="562"/>
      <c r="AH382" s="577">
        <v>2.25</v>
      </c>
      <c r="AI382" s="577" t="s">
        <v>793</v>
      </c>
      <c r="AJ382" s="577"/>
      <c r="AK382" s="577"/>
      <c r="AL382" s="577"/>
      <c r="AM382" s="577">
        <v>1</v>
      </c>
      <c r="AN382" s="562"/>
      <c r="AO382" s="562"/>
      <c r="AP382" s="598"/>
      <c r="AQ382" s="599"/>
      <c r="AR382" s="599"/>
      <c r="AS382" s="600"/>
      <c r="AT382" s="600"/>
      <c r="AU382" s="577"/>
      <c r="AV382" s="577">
        <v>2422</v>
      </c>
      <c r="AW382" s="562"/>
      <c r="AX382" s="562"/>
      <c r="AY382" s="562"/>
      <c r="AZ382" s="562"/>
      <c r="BA382" s="607" t="s">
        <v>794</v>
      </c>
      <c r="BB382" s="608" t="s">
        <v>795</v>
      </c>
      <c r="BD382" s="576">
        <v>19</v>
      </c>
      <c r="BF382" s="576"/>
      <c r="BI382" s="576">
        <v>1</v>
      </c>
      <c r="BJ382" s="576"/>
      <c r="BK382" s="576"/>
      <c r="BL382" s="576">
        <v>2.2999999999999998</v>
      </c>
      <c r="BM382" s="576">
        <f t="shared" si="63"/>
        <v>4.5999999999999996</v>
      </c>
      <c r="BO382" s="611">
        <v>4.1870967741935479</v>
      </c>
      <c r="BP382" s="611">
        <f t="shared" si="64"/>
        <v>0.41290322580645178</v>
      </c>
      <c r="BQ382" s="658"/>
      <c r="BR382" s="612">
        <v>1</v>
      </c>
      <c r="BS382" s="576" t="s">
        <v>778</v>
      </c>
      <c r="BT382" s="576"/>
      <c r="DD382" s="561"/>
      <c r="DE382" s="562"/>
      <c r="DF382" s="577"/>
      <c r="DG382" s="577"/>
      <c r="DH382" s="577"/>
      <c r="DI382" s="577"/>
      <c r="DJ382" s="577"/>
      <c r="DK382" s="577"/>
      <c r="DL382" s="577"/>
      <c r="DM382" s="577"/>
      <c r="DN382" s="577"/>
      <c r="DO382" s="577"/>
      <c r="DP382" s="577"/>
      <c r="DQ382" s="600"/>
      <c r="DR382" s="600"/>
      <c r="DS382" s="577"/>
      <c r="DT382" s="577"/>
      <c r="DU382" s="577"/>
      <c r="DV382" s="577"/>
      <c r="DW382" s="577"/>
      <c r="DX382" s="577"/>
    </row>
    <row r="383" spans="17:128" s="560" customFormat="1">
      <c r="Q383" s="562"/>
      <c r="R383" s="562">
        <v>0.95</v>
      </c>
      <c r="S383" s="562"/>
      <c r="T383" s="562"/>
      <c r="U383" s="562"/>
      <c r="V383" s="562"/>
      <c r="W383" s="562"/>
      <c r="X383" s="562"/>
      <c r="Y383" s="562"/>
      <c r="Z383" s="562"/>
      <c r="AA383" s="562"/>
      <c r="AB383" s="562"/>
      <c r="AC383" s="562"/>
      <c r="AD383" s="563"/>
      <c r="AE383" s="561"/>
      <c r="AF383" s="568">
        <v>6</v>
      </c>
      <c r="AG383" s="562"/>
      <c r="AH383" s="577">
        <v>0.3</v>
      </c>
      <c r="AI383" s="577" t="s">
        <v>793</v>
      </c>
      <c r="AJ383" s="577"/>
      <c r="AK383" s="577">
        <v>1</v>
      </c>
      <c r="AL383" s="577"/>
      <c r="AM383" s="577">
        <v>1</v>
      </c>
      <c r="AN383" s="562">
        <v>2.2000000000000002</v>
      </c>
      <c r="AO383" s="562">
        <f>AN383+AN383</f>
        <v>4.4000000000000004</v>
      </c>
      <c r="AP383" s="598">
        <v>0.140625</v>
      </c>
      <c r="AQ383" s="599">
        <v>4.0044117647058828</v>
      </c>
      <c r="AR383" s="599">
        <f>AO383-AQ383</f>
        <v>0.39558823529411757</v>
      </c>
      <c r="AS383" s="600"/>
      <c r="AT383" s="600">
        <v>1</v>
      </c>
      <c r="AU383" s="577" t="s">
        <v>778</v>
      </c>
      <c r="AV383" s="577">
        <v>2423</v>
      </c>
      <c r="AW383" s="562"/>
      <c r="AX383" s="562"/>
      <c r="AY383" s="562"/>
      <c r="AZ383" s="562"/>
      <c r="BA383" s="607" t="s">
        <v>798</v>
      </c>
      <c r="BB383" s="608" t="s">
        <v>546</v>
      </c>
      <c r="BD383" s="576">
        <v>20</v>
      </c>
      <c r="BF383" s="576"/>
      <c r="BI383" s="576">
        <v>1</v>
      </c>
      <c r="BJ383" s="576"/>
      <c r="BK383" s="576"/>
      <c r="BL383" s="576">
        <v>2.4</v>
      </c>
      <c r="BM383" s="576">
        <f t="shared" si="63"/>
        <v>4.8</v>
      </c>
      <c r="BO383" s="611">
        <v>4.1919354838709673</v>
      </c>
      <c r="BP383" s="611">
        <f t="shared" si="64"/>
        <v>0.60806451612903256</v>
      </c>
      <c r="BQ383" s="658"/>
      <c r="BR383" s="612">
        <v>1</v>
      </c>
      <c r="BS383" s="576" t="s">
        <v>778</v>
      </c>
      <c r="BT383" s="576"/>
      <c r="DD383" s="561"/>
      <c r="DE383" s="562"/>
      <c r="DF383" s="577"/>
      <c r="DG383" s="577"/>
      <c r="DH383" s="577"/>
      <c r="DI383" s="577"/>
      <c r="DJ383" s="577"/>
      <c r="DK383" s="577"/>
      <c r="DL383" s="577"/>
      <c r="DM383" s="577"/>
      <c r="DN383" s="577"/>
      <c r="DO383" s="577"/>
      <c r="DP383" s="577"/>
      <c r="DQ383" s="600"/>
      <c r="DR383" s="600"/>
      <c r="DS383" s="577"/>
      <c r="DT383" s="577"/>
      <c r="DU383" s="577"/>
      <c r="DV383" s="577"/>
      <c r="DW383" s="577"/>
      <c r="DX383" s="577"/>
    </row>
    <row r="384" spans="17:128" s="560" customFormat="1">
      <c r="Q384" s="562"/>
      <c r="R384" s="562">
        <v>0.36</v>
      </c>
      <c r="S384" s="562"/>
      <c r="T384" s="562"/>
      <c r="U384" s="562"/>
      <c r="V384" s="562"/>
      <c r="W384" s="562"/>
      <c r="X384" s="562"/>
      <c r="Y384" s="562"/>
      <c r="Z384" s="562"/>
      <c r="AA384" s="562"/>
      <c r="AB384" s="562"/>
      <c r="AC384" s="562"/>
      <c r="AD384" s="563"/>
      <c r="AE384" s="561"/>
      <c r="AF384" s="568">
        <v>7</v>
      </c>
      <c r="AG384" s="562"/>
      <c r="AH384" s="577">
        <v>0.7</v>
      </c>
      <c r="AI384" s="577" t="s">
        <v>793</v>
      </c>
      <c r="AJ384" s="577"/>
      <c r="AK384" s="577">
        <v>1</v>
      </c>
      <c r="AL384" s="577"/>
      <c r="AM384" s="577">
        <v>1</v>
      </c>
      <c r="AN384" s="562">
        <v>2.2000000000000002</v>
      </c>
      <c r="AO384" s="562">
        <f>AN384+AN384</f>
        <v>4.4000000000000004</v>
      </c>
      <c r="AP384" s="598">
        <v>0.140625</v>
      </c>
      <c r="AQ384" s="599">
        <v>3.9852941176470589</v>
      </c>
      <c r="AR384" s="599">
        <f>AO384-AQ384</f>
        <v>0.41470588235294148</v>
      </c>
      <c r="AS384" s="600"/>
      <c r="AT384" s="600">
        <v>1</v>
      </c>
      <c r="AU384" s="577" t="s">
        <v>778</v>
      </c>
      <c r="AV384" s="577">
        <v>2424</v>
      </c>
      <c r="AW384" s="562"/>
      <c r="AX384" s="562"/>
      <c r="AY384" s="562"/>
      <c r="AZ384" s="562"/>
      <c r="BA384" s="607" t="s">
        <v>800</v>
      </c>
      <c r="BB384" s="608" t="s">
        <v>801</v>
      </c>
      <c r="BD384" s="576">
        <v>21</v>
      </c>
      <c r="BF384" s="576"/>
      <c r="BI384" s="576">
        <v>1</v>
      </c>
      <c r="BJ384" s="576"/>
      <c r="BK384" s="576"/>
      <c r="BL384" s="576">
        <v>2.2999999999999998</v>
      </c>
      <c r="BM384" s="576">
        <f t="shared" si="63"/>
        <v>4.5999999999999996</v>
      </c>
      <c r="BO384" s="611">
        <v>4.1967741935483867</v>
      </c>
      <c r="BP384" s="611">
        <f t="shared" si="64"/>
        <v>0.40322580645161299</v>
      </c>
      <c r="BQ384" s="658"/>
      <c r="BR384" s="612">
        <v>1</v>
      </c>
      <c r="BS384" s="576" t="s">
        <v>778</v>
      </c>
      <c r="BT384" s="576"/>
      <c r="DD384" s="561"/>
      <c r="DE384" s="562"/>
      <c r="DF384" s="577"/>
      <c r="DG384" s="577"/>
      <c r="DH384" s="577"/>
      <c r="DI384" s="577"/>
      <c r="DJ384" s="577"/>
      <c r="DK384" s="577"/>
      <c r="DL384" s="577"/>
      <c r="DM384" s="577"/>
      <c r="DN384" s="577"/>
      <c r="DO384" s="577"/>
      <c r="DP384" s="577"/>
      <c r="DQ384" s="600"/>
      <c r="DR384" s="600"/>
      <c r="DS384" s="577"/>
      <c r="DT384" s="577"/>
      <c r="DU384" s="577"/>
      <c r="DV384" s="577"/>
      <c r="DW384" s="577"/>
      <c r="DX384" s="577"/>
    </row>
    <row r="385" spans="16:128" s="560" customFormat="1">
      <c r="P385" s="561"/>
      <c r="Q385" s="562"/>
      <c r="R385" s="562">
        <v>0.5</v>
      </c>
      <c r="S385" s="562"/>
      <c r="T385" s="562"/>
      <c r="U385" s="562"/>
      <c r="V385" s="562"/>
      <c r="W385" s="562"/>
      <c r="X385" s="562"/>
      <c r="Y385" s="562"/>
      <c r="Z385" s="562"/>
      <c r="AA385" s="562"/>
      <c r="AB385" s="562"/>
      <c r="AC385" s="562"/>
      <c r="AD385" s="563"/>
      <c r="AE385" s="561"/>
      <c r="AF385" s="568">
        <v>8</v>
      </c>
      <c r="AG385" s="562"/>
      <c r="AH385" s="577">
        <v>0.5</v>
      </c>
      <c r="AI385" s="577" t="s">
        <v>793</v>
      </c>
      <c r="AJ385" s="577"/>
      <c r="AK385" s="577">
        <v>1</v>
      </c>
      <c r="AL385" s="577"/>
      <c r="AM385" s="577">
        <v>1</v>
      </c>
      <c r="AN385" s="562">
        <v>2.6</v>
      </c>
      <c r="AO385" s="562">
        <f>AN385+AN385</f>
        <v>5.2</v>
      </c>
      <c r="AP385" s="598">
        <v>0.15625</v>
      </c>
      <c r="AQ385" s="599">
        <v>3.9661764705882354</v>
      </c>
      <c r="AR385" s="599">
        <f>AO385-AQ385</f>
        <v>1.2338235294117648</v>
      </c>
      <c r="AS385" s="600">
        <v>1</v>
      </c>
      <c r="AT385" s="600"/>
      <c r="AU385" s="577" t="s">
        <v>778</v>
      </c>
      <c r="AV385" s="577">
        <v>2425</v>
      </c>
      <c r="AW385" s="562"/>
      <c r="AX385" s="562"/>
      <c r="AY385" s="562"/>
      <c r="AZ385" s="562"/>
      <c r="BA385" s="607" t="s">
        <v>804</v>
      </c>
      <c r="BB385" s="608" t="s">
        <v>805</v>
      </c>
      <c r="BD385" s="576">
        <v>22</v>
      </c>
      <c r="BF385" s="576"/>
      <c r="BI385" s="576">
        <v>1</v>
      </c>
      <c r="BJ385" s="576"/>
      <c r="BK385" s="576"/>
      <c r="BL385" s="576">
        <v>2.2999999999999998</v>
      </c>
      <c r="BM385" s="576">
        <f t="shared" si="63"/>
        <v>4.5999999999999996</v>
      </c>
      <c r="BO385" s="611">
        <v>4.2016129032258061</v>
      </c>
      <c r="BP385" s="611">
        <f t="shared" si="64"/>
        <v>0.39838709677419359</v>
      </c>
      <c r="BQ385" s="658"/>
      <c r="BR385" s="612">
        <v>1</v>
      </c>
      <c r="BS385" s="576" t="s">
        <v>778</v>
      </c>
      <c r="BT385" s="576"/>
      <c r="DD385" s="561"/>
      <c r="DE385" s="562"/>
      <c r="DF385" s="577"/>
      <c r="DG385" s="577"/>
      <c r="DH385" s="577"/>
      <c r="DI385" s="577"/>
      <c r="DJ385" s="577"/>
      <c r="DK385" s="577"/>
      <c r="DL385" s="577"/>
      <c r="DM385" s="577"/>
      <c r="DN385" s="577"/>
      <c r="DO385" s="577"/>
      <c r="DP385" s="577"/>
      <c r="DQ385" s="600"/>
      <c r="DR385" s="600"/>
      <c r="DS385" s="577"/>
      <c r="DT385" s="577"/>
      <c r="DU385" s="577"/>
      <c r="DV385" s="577"/>
      <c r="DW385" s="577"/>
      <c r="DX385" s="577"/>
    </row>
    <row r="386" spans="16:128" s="560" customFormat="1">
      <c r="P386" s="561"/>
      <c r="Q386" s="562"/>
      <c r="R386" s="562">
        <v>0.6</v>
      </c>
      <c r="S386" s="562"/>
      <c r="T386" s="562"/>
      <c r="U386" s="562"/>
      <c r="V386" s="562"/>
      <c r="W386" s="562"/>
      <c r="X386" s="562"/>
      <c r="Y386" s="562"/>
      <c r="Z386" s="562"/>
      <c r="AA386" s="562"/>
      <c r="AB386" s="562"/>
      <c r="AC386" s="562"/>
      <c r="AD386" s="563"/>
      <c r="AE386" s="561"/>
      <c r="AF386" s="562" t="s">
        <v>778</v>
      </c>
      <c r="AG386" s="562"/>
      <c r="AH386" s="577">
        <v>0.5</v>
      </c>
      <c r="AI386" s="577" t="s">
        <v>793</v>
      </c>
      <c r="AJ386" s="577"/>
      <c r="AK386" s="577"/>
      <c r="AL386" s="577"/>
      <c r="AM386" s="577">
        <v>1</v>
      </c>
      <c r="AN386" s="562"/>
      <c r="AO386" s="562"/>
      <c r="AP386" s="598"/>
      <c r="AQ386" s="599"/>
      <c r="AR386" s="599"/>
      <c r="AS386" s="600"/>
      <c r="AT386" s="600"/>
      <c r="AU386" s="577"/>
      <c r="AV386" s="577">
        <v>2426</v>
      </c>
      <c r="AW386" s="562"/>
      <c r="AX386" s="562"/>
      <c r="AY386" s="562"/>
      <c r="AZ386" s="562"/>
      <c r="BA386" s="607" t="s">
        <v>807</v>
      </c>
      <c r="BB386" s="608" t="s">
        <v>808</v>
      </c>
      <c r="BD386" s="576">
        <v>23</v>
      </c>
      <c r="BF386" s="576"/>
      <c r="BI386" s="576">
        <v>1</v>
      </c>
      <c r="BJ386" s="576"/>
      <c r="BK386" s="576"/>
      <c r="BL386" s="576">
        <v>2.4</v>
      </c>
      <c r="BM386" s="576">
        <f t="shared" si="63"/>
        <v>4.8</v>
      </c>
      <c r="BO386" s="611">
        <v>4.2064516129032254</v>
      </c>
      <c r="BP386" s="611">
        <f t="shared" si="64"/>
        <v>0.59354838709677438</v>
      </c>
      <c r="BQ386" s="658"/>
      <c r="BR386" s="612">
        <v>1</v>
      </c>
      <c r="BS386" s="576" t="s">
        <v>778</v>
      </c>
      <c r="BT386" s="576"/>
      <c r="DD386" s="561"/>
      <c r="DE386" s="562"/>
      <c r="DF386" s="577"/>
      <c r="DG386" s="577"/>
      <c r="DH386" s="577"/>
      <c r="DI386" s="577"/>
      <c r="DJ386" s="577"/>
      <c r="DK386" s="577"/>
      <c r="DL386" s="577"/>
      <c r="DM386" s="577"/>
      <c r="DN386" s="577"/>
      <c r="DO386" s="577"/>
      <c r="DP386" s="577"/>
      <c r="DQ386" s="600"/>
      <c r="DR386" s="600"/>
      <c r="DS386" s="577"/>
      <c r="DT386" s="577"/>
      <c r="DU386" s="577"/>
      <c r="DV386" s="577"/>
      <c r="DW386" s="577"/>
      <c r="DX386" s="577"/>
    </row>
    <row r="387" spans="16:128" s="560" customFormat="1">
      <c r="P387" s="561"/>
      <c r="Q387" s="562"/>
      <c r="R387" s="562">
        <v>0.39</v>
      </c>
      <c r="S387" s="562"/>
      <c r="T387" s="562"/>
      <c r="U387" s="562"/>
      <c r="V387" s="562"/>
      <c r="W387" s="562"/>
      <c r="X387" s="562"/>
      <c r="Y387" s="562"/>
      <c r="Z387" s="562"/>
      <c r="AA387" s="562"/>
      <c r="AB387" s="562"/>
      <c r="AC387" s="562"/>
      <c r="AD387" s="563"/>
      <c r="AE387" s="561"/>
      <c r="AF387" s="568">
        <v>9</v>
      </c>
      <c r="AG387" s="562"/>
      <c r="AH387" s="577"/>
      <c r="AI387" s="577"/>
      <c r="AJ387" s="577"/>
      <c r="AK387" s="577">
        <v>1</v>
      </c>
      <c r="AL387" s="577"/>
      <c r="AM387" s="577"/>
      <c r="AN387" s="562">
        <v>2.1</v>
      </c>
      <c r="AO387" s="562">
        <f t="shared" ref="AO387:AO393" si="65">AN387+AN387</f>
        <v>4.2</v>
      </c>
      <c r="AP387" s="598">
        <v>0.140625</v>
      </c>
      <c r="AQ387" s="599">
        <v>3.9279411764705885</v>
      </c>
      <c r="AR387" s="599">
        <f t="shared" ref="AR387:AR393" si="66">AO387-AQ387</f>
        <v>0.27205882352941169</v>
      </c>
      <c r="AS387" s="600"/>
      <c r="AT387" s="600">
        <v>1</v>
      </c>
      <c r="AU387" s="577" t="s">
        <v>778</v>
      </c>
      <c r="AV387" s="577"/>
      <c r="AW387" s="562"/>
      <c r="AX387" s="562"/>
      <c r="AY387" s="562"/>
      <c r="AZ387" s="562"/>
      <c r="BA387" s="607" t="s">
        <v>810</v>
      </c>
      <c r="BB387" s="608" t="s">
        <v>550</v>
      </c>
      <c r="BD387" s="576">
        <v>24</v>
      </c>
      <c r="BF387" s="576"/>
      <c r="BI387" s="576">
        <v>1</v>
      </c>
      <c r="BJ387" s="576"/>
      <c r="BK387" s="576"/>
      <c r="BL387" s="576">
        <v>2.5</v>
      </c>
      <c r="BM387" s="576">
        <f t="shared" si="63"/>
        <v>5</v>
      </c>
      <c r="BO387" s="611">
        <v>4.2112903225806448</v>
      </c>
      <c r="BP387" s="611">
        <f t="shared" si="64"/>
        <v>0.78870967741935516</v>
      </c>
      <c r="BQ387" s="658"/>
      <c r="BR387" s="612">
        <v>1</v>
      </c>
      <c r="BS387" s="576" t="s">
        <v>778</v>
      </c>
      <c r="BT387" s="576"/>
      <c r="DD387" s="561"/>
      <c r="DE387" s="562"/>
      <c r="DF387" s="577"/>
      <c r="DG387" s="577"/>
      <c r="DH387" s="577"/>
      <c r="DI387" s="577"/>
      <c r="DJ387" s="577"/>
      <c r="DK387" s="577"/>
      <c r="DL387" s="577"/>
      <c r="DM387" s="577"/>
      <c r="DN387" s="577"/>
      <c r="DO387" s="577"/>
      <c r="DP387" s="577"/>
      <c r="DQ387" s="600"/>
      <c r="DR387" s="600"/>
      <c r="DS387" s="577"/>
      <c r="DT387" s="577"/>
      <c r="DU387" s="577"/>
      <c r="DV387" s="577"/>
      <c r="DW387" s="577"/>
      <c r="DX387" s="577"/>
    </row>
    <row r="388" spans="16:128" s="560" customFormat="1">
      <c r="P388" s="561"/>
      <c r="Q388" s="562"/>
      <c r="R388" s="562">
        <v>1</v>
      </c>
      <c r="S388" s="562"/>
      <c r="T388" s="562" t="s">
        <v>1083</v>
      </c>
      <c r="U388" s="562"/>
      <c r="V388" s="562"/>
      <c r="W388" s="562"/>
      <c r="X388" s="562"/>
      <c r="Y388" s="562" t="s">
        <v>1084</v>
      </c>
      <c r="Z388" s="562"/>
      <c r="AA388" s="562"/>
      <c r="AB388" s="562"/>
      <c r="AC388" s="562"/>
      <c r="AD388" s="563"/>
      <c r="AE388" s="561"/>
      <c r="AF388" s="568">
        <v>10</v>
      </c>
      <c r="AG388" s="562"/>
      <c r="AH388" s="577"/>
      <c r="AI388" s="577"/>
      <c r="AJ388" s="577"/>
      <c r="AK388" s="577">
        <v>1</v>
      </c>
      <c r="AL388" s="577"/>
      <c r="AM388" s="577"/>
      <c r="AN388" s="562">
        <v>2.2000000000000002</v>
      </c>
      <c r="AO388" s="562">
        <f t="shared" si="65"/>
        <v>4.4000000000000004</v>
      </c>
      <c r="AP388" s="598">
        <v>0.140625</v>
      </c>
      <c r="AQ388" s="599">
        <v>3.908823529411765</v>
      </c>
      <c r="AR388" s="599">
        <f t="shared" si="66"/>
        <v>0.49117647058823533</v>
      </c>
      <c r="AS388" s="600"/>
      <c r="AT388" s="600">
        <v>1</v>
      </c>
      <c r="AU388" s="577" t="s">
        <v>778</v>
      </c>
      <c r="AV388" s="577"/>
      <c r="AW388" s="562"/>
      <c r="AX388" s="562"/>
      <c r="AY388" s="562"/>
      <c r="AZ388" s="562"/>
      <c r="BA388" s="607" t="s">
        <v>813</v>
      </c>
      <c r="BB388" s="608" t="s">
        <v>552</v>
      </c>
      <c r="BD388" s="576">
        <v>25</v>
      </c>
      <c r="BF388" s="576"/>
      <c r="BI388" s="576">
        <v>1</v>
      </c>
      <c r="BJ388" s="576"/>
      <c r="BK388" s="576"/>
      <c r="BL388" s="576">
        <v>2.2999999999999998</v>
      </c>
      <c r="BM388" s="576">
        <f t="shared" si="63"/>
        <v>4.5999999999999996</v>
      </c>
      <c r="BO388" s="611">
        <v>4.2161290322580642</v>
      </c>
      <c r="BP388" s="611">
        <f t="shared" si="64"/>
        <v>0.38387096774193541</v>
      </c>
      <c r="BQ388" s="658"/>
      <c r="BR388" s="612">
        <v>1</v>
      </c>
      <c r="BS388" s="576" t="s">
        <v>778</v>
      </c>
      <c r="BT388" s="576"/>
      <c r="DD388" s="561"/>
      <c r="DE388" s="562"/>
      <c r="DF388" s="577"/>
      <c r="DG388" s="577"/>
      <c r="DH388" s="577"/>
      <c r="DI388" s="577"/>
      <c r="DJ388" s="577"/>
      <c r="DK388" s="577"/>
      <c r="DL388" s="577"/>
      <c r="DM388" s="577"/>
      <c r="DN388" s="577"/>
      <c r="DO388" s="577"/>
      <c r="DP388" s="577"/>
      <c r="DQ388" s="600"/>
      <c r="DR388" s="600"/>
      <c r="DS388" s="577"/>
      <c r="DT388" s="577"/>
      <c r="DU388" s="577"/>
      <c r="DV388" s="577"/>
      <c r="DW388" s="577"/>
      <c r="DX388" s="577"/>
    </row>
    <row r="389" spans="16:128" s="560" customFormat="1">
      <c r="P389" s="561"/>
      <c r="Q389" s="562"/>
      <c r="R389" s="562">
        <v>0.45</v>
      </c>
      <c r="S389" s="562"/>
      <c r="T389" s="562"/>
      <c r="U389" s="562"/>
      <c r="V389" s="562"/>
      <c r="W389" s="562"/>
      <c r="X389" s="562"/>
      <c r="Y389" s="562"/>
      <c r="Z389" s="562"/>
      <c r="AA389" s="562"/>
      <c r="AB389" s="562"/>
      <c r="AC389" s="562"/>
      <c r="AD389" s="563"/>
      <c r="AE389" s="561"/>
      <c r="AF389" s="568">
        <v>11</v>
      </c>
      <c r="AG389" s="562"/>
      <c r="AH389" s="577">
        <v>0.15</v>
      </c>
      <c r="AI389" s="577" t="s">
        <v>778</v>
      </c>
      <c r="AJ389" s="577">
        <v>1</v>
      </c>
      <c r="AK389" s="577"/>
      <c r="AL389" s="577"/>
      <c r="AM389" s="577"/>
      <c r="AN389" s="562">
        <v>2.2000000000000002</v>
      </c>
      <c r="AO389" s="562">
        <f t="shared" si="65"/>
        <v>4.4000000000000004</v>
      </c>
      <c r="AP389" s="598">
        <v>0.140625</v>
      </c>
      <c r="AQ389" s="599">
        <v>3.8897058823529411</v>
      </c>
      <c r="AR389" s="599">
        <f t="shared" si="66"/>
        <v>0.51029411764705923</v>
      </c>
      <c r="AS389" s="600"/>
      <c r="AT389" s="600">
        <v>1</v>
      </c>
      <c r="AU389" s="577" t="s">
        <v>778</v>
      </c>
      <c r="AV389" s="577">
        <v>2428</v>
      </c>
      <c r="AW389" s="562"/>
      <c r="AX389" s="625" t="s">
        <v>806</v>
      </c>
      <c r="AY389" s="562">
        <f>COUNT(AR377:AR412)</f>
        <v>32</v>
      </c>
      <c r="AZ389" s="562"/>
      <c r="BA389" s="607" t="s">
        <v>815</v>
      </c>
      <c r="BB389" s="608" t="s">
        <v>816</v>
      </c>
      <c r="BD389" s="576">
        <v>26</v>
      </c>
      <c r="BF389" s="576"/>
      <c r="BI389" s="576">
        <v>1</v>
      </c>
      <c r="BJ389" s="576"/>
      <c r="BK389" s="576"/>
      <c r="BL389" s="576">
        <v>2.35</v>
      </c>
      <c r="BM389" s="576">
        <f t="shared" si="63"/>
        <v>4.7</v>
      </c>
      <c r="BO389" s="611">
        <v>4.2209677419354836</v>
      </c>
      <c r="BP389" s="611">
        <f t="shared" si="64"/>
        <v>0.47903225806451655</v>
      </c>
      <c r="BQ389" s="658"/>
      <c r="BR389" s="612">
        <v>1</v>
      </c>
      <c r="BS389" s="576" t="s">
        <v>778</v>
      </c>
      <c r="BT389" s="576"/>
      <c r="DD389" s="561"/>
      <c r="DE389" s="562"/>
      <c r="DF389" s="577"/>
      <c r="DG389" s="577"/>
      <c r="DH389" s="577"/>
      <c r="DI389" s="577"/>
      <c r="DJ389" s="577"/>
      <c r="DK389" s="577"/>
      <c r="DL389" s="577"/>
      <c r="DM389" s="577"/>
      <c r="DN389" s="577"/>
      <c r="DO389" s="577"/>
      <c r="DP389" s="577"/>
      <c r="DQ389" s="600"/>
      <c r="DR389" s="600"/>
      <c r="DS389" s="577"/>
      <c r="DT389" s="577"/>
      <c r="DU389" s="577"/>
      <c r="DV389" s="577"/>
      <c r="DW389" s="577"/>
      <c r="DX389" s="577"/>
    </row>
    <row r="390" spans="16:128" s="560" customFormat="1">
      <c r="P390" s="561"/>
      <c r="Q390" s="562"/>
      <c r="R390" s="562">
        <v>0.5</v>
      </c>
      <c r="S390" s="562"/>
      <c r="T390" s="562"/>
      <c r="U390" s="562"/>
      <c r="V390" s="562"/>
      <c r="W390" s="562"/>
      <c r="X390" s="562"/>
      <c r="Y390" s="562"/>
      <c r="Z390" s="562"/>
      <c r="AA390" s="562"/>
      <c r="AB390" s="562"/>
      <c r="AC390" s="562"/>
      <c r="AD390" s="563"/>
      <c r="AE390" s="561"/>
      <c r="AF390" s="568">
        <v>12</v>
      </c>
      <c r="AG390" s="562"/>
      <c r="AH390" s="577"/>
      <c r="AI390" s="577"/>
      <c r="AJ390" s="577"/>
      <c r="AK390" s="577">
        <v>1</v>
      </c>
      <c r="AL390" s="577"/>
      <c r="AM390" s="577"/>
      <c r="AN390" s="562">
        <v>2.2000000000000002</v>
      </c>
      <c r="AO390" s="562">
        <f t="shared" si="65"/>
        <v>4.4000000000000004</v>
      </c>
      <c r="AP390" s="598">
        <v>0.140625</v>
      </c>
      <c r="AQ390" s="599">
        <v>3.8705882352941177</v>
      </c>
      <c r="AR390" s="599">
        <f t="shared" si="66"/>
        <v>0.52941176470588269</v>
      </c>
      <c r="AS390" s="600"/>
      <c r="AT390" s="600">
        <v>1</v>
      </c>
      <c r="AU390" s="577" t="s">
        <v>778</v>
      </c>
      <c r="AV390" s="577"/>
      <c r="AW390" s="562"/>
      <c r="AX390" s="625" t="s">
        <v>809</v>
      </c>
      <c r="AY390" s="649">
        <f>SUM(AR377:AR412)</f>
        <v>19.139117647058825</v>
      </c>
      <c r="AZ390" s="562"/>
      <c r="BA390" s="562"/>
      <c r="BB390" s="563"/>
      <c r="BD390" s="576">
        <v>27</v>
      </c>
      <c r="BF390" s="576"/>
      <c r="BI390" s="576">
        <v>1</v>
      </c>
      <c r="BJ390" s="576"/>
      <c r="BK390" s="576"/>
      <c r="BL390" s="576">
        <v>2.4</v>
      </c>
      <c r="BM390" s="576">
        <f t="shared" si="63"/>
        <v>4.8</v>
      </c>
      <c r="BO390" s="611">
        <v>4.225806451612903</v>
      </c>
      <c r="BP390" s="611">
        <f t="shared" si="64"/>
        <v>0.5741935483870968</v>
      </c>
      <c r="BQ390" s="658"/>
      <c r="BR390" s="612">
        <v>1</v>
      </c>
      <c r="BS390" s="576" t="s">
        <v>778</v>
      </c>
      <c r="BT390" s="576"/>
      <c r="DD390" s="561"/>
      <c r="DE390" s="562"/>
      <c r="DF390" s="577"/>
      <c r="DG390" s="577"/>
      <c r="DH390" s="577"/>
      <c r="DI390" s="577"/>
      <c r="DJ390" s="577"/>
      <c r="DK390" s="577"/>
      <c r="DL390" s="577"/>
      <c r="DM390" s="577"/>
      <c r="DN390" s="577"/>
      <c r="DO390" s="577"/>
      <c r="DP390" s="577"/>
      <c r="DQ390" s="600"/>
      <c r="DR390" s="600"/>
      <c r="DS390" s="577"/>
      <c r="DT390" s="577"/>
      <c r="DU390" s="577"/>
      <c r="DV390" s="577"/>
      <c r="DW390" s="577"/>
      <c r="DX390" s="577"/>
    </row>
    <row r="391" spans="16:128" s="560" customFormat="1">
      <c r="P391" s="561"/>
      <c r="Q391" s="562"/>
      <c r="R391" s="562">
        <v>0.5</v>
      </c>
      <c r="S391" s="562"/>
      <c r="T391" s="562"/>
      <c r="U391" s="562"/>
      <c r="V391" s="562"/>
      <c r="W391" s="562"/>
      <c r="X391" s="562"/>
      <c r="Y391" s="562"/>
      <c r="Z391" s="562"/>
      <c r="AA391" s="562"/>
      <c r="AB391" s="562"/>
      <c r="AC391" s="562"/>
      <c r="AD391" s="563"/>
      <c r="AE391" s="561"/>
      <c r="AF391" s="568">
        <v>13</v>
      </c>
      <c r="AG391" s="562"/>
      <c r="AH391" s="577"/>
      <c r="AI391" s="577"/>
      <c r="AJ391" s="577"/>
      <c r="AK391" s="577">
        <v>1</v>
      </c>
      <c r="AL391" s="577"/>
      <c r="AM391" s="577"/>
      <c r="AN391" s="562">
        <v>2</v>
      </c>
      <c r="AO391" s="562">
        <f t="shared" si="65"/>
        <v>4</v>
      </c>
      <c r="AP391" s="598">
        <v>0.140625</v>
      </c>
      <c r="AQ391" s="599">
        <v>3.8514705882352942</v>
      </c>
      <c r="AR391" s="599">
        <f t="shared" si="66"/>
        <v>0.1485294117647058</v>
      </c>
      <c r="AS391" s="600"/>
      <c r="AT391" s="600">
        <v>1</v>
      </c>
      <c r="AU391" s="577" t="s">
        <v>778</v>
      </c>
      <c r="AV391" s="577"/>
      <c r="AW391" s="562"/>
      <c r="AX391" s="625" t="s">
        <v>811</v>
      </c>
      <c r="AY391" s="649">
        <f>MAX(AR377:AR412)</f>
        <v>2.1970588235294111</v>
      </c>
      <c r="AZ391" s="562"/>
      <c r="BA391" s="562"/>
      <c r="BB391" s="563"/>
      <c r="BD391" s="576">
        <v>28</v>
      </c>
      <c r="BF391" s="576"/>
      <c r="BI391" s="576">
        <v>1</v>
      </c>
      <c r="BJ391" s="576"/>
      <c r="BK391" s="576"/>
      <c r="BL391" s="576">
        <v>2.4</v>
      </c>
      <c r="BM391" s="576">
        <f t="shared" si="63"/>
        <v>4.8</v>
      </c>
      <c r="BO391" s="611">
        <v>4.2306451612903224</v>
      </c>
      <c r="BP391" s="611">
        <f t="shared" si="64"/>
        <v>0.5693548387096774</v>
      </c>
      <c r="BQ391" s="658"/>
      <c r="BR391" s="612">
        <v>1</v>
      </c>
      <c r="BS391" s="576" t="s">
        <v>778</v>
      </c>
      <c r="BT391" s="576"/>
      <c r="DD391" s="561"/>
      <c r="DE391" s="562"/>
      <c r="DF391" s="577"/>
      <c r="DG391" s="577"/>
      <c r="DH391" s="577"/>
      <c r="DI391" s="577"/>
      <c r="DJ391" s="577"/>
      <c r="DK391" s="577"/>
      <c r="DL391" s="577"/>
      <c r="DM391" s="577"/>
      <c r="DN391" s="577"/>
      <c r="DO391" s="577"/>
      <c r="DP391" s="577"/>
      <c r="DQ391" s="600"/>
      <c r="DR391" s="600"/>
      <c r="DS391" s="577"/>
      <c r="DT391" s="577"/>
      <c r="DU391" s="577"/>
      <c r="DV391" s="577"/>
      <c r="DW391" s="577"/>
      <c r="DX391" s="577"/>
    </row>
    <row r="392" spans="16:128" s="560" customFormat="1">
      <c r="P392" s="561"/>
      <c r="Q392" s="562"/>
      <c r="R392" s="562">
        <v>0.55000000000000004</v>
      </c>
      <c r="S392" s="562"/>
      <c r="T392" s="562"/>
      <c r="U392" s="562"/>
      <c r="V392" s="562"/>
      <c r="W392" s="562"/>
      <c r="X392" s="562"/>
      <c r="Y392" s="562"/>
      <c r="Z392" s="562"/>
      <c r="AA392" s="562"/>
      <c r="AB392" s="562"/>
      <c r="AC392" s="562"/>
      <c r="AD392" s="563"/>
      <c r="AE392" s="561"/>
      <c r="AF392" s="568">
        <v>14</v>
      </c>
      <c r="AG392" s="562"/>
      <c r="AH392" s="577"/>
      <c r="AI392" s="577"/>
      <c r="AJ392" s="577"/>
      <c r="AK392" s="577">
        <v>1</v>
      </c>
      <c r="AL392" s="577"/>
      <c r="AM392" s="577"/>
      <c r="AN392" s="562">
        <v>2.2000000000000002</v>
      </c>
      <c r="AO392" s="562">
        <f t="shared" si="65"/>
        <v>4.4000000000000004</v>
      </c>
      <c r="AP392" s="598">
        <v>0.140625</v>
      </c>
      <c r="AQ392" s="599">
        <v>3.8323529411764707</v>
      </c>
      <c r="AR392" s="599">
        <f t="shared" si="66"/>
        <v>0.56764705882352962</v>
      </c>
      <c r="AS392" s="600"/>
      <c r="AT392" s="600">
        <v>1</v>
      </c>
      <c r="AU392" s="577" t="s">
        <v>778</v>
      </c>
      <c r="AV392" s="577"/>
      <c r="AW392" s="562"/>
      <c r="AX392" s="625" t="s">
        <v>814</v>
      </c>
      <c r="AY392" s="649">
        <f>MIN(AR377:AR412)</f>
        <v>-0.37500000000000044</v>
      </c>
      <c r="AZ392" s="562"/>
      <c r="BA392" s="562"/>
      <c r="BB392" s="563"/>
      <c r="BD392" s="576">
        <v>29</v>
      </c>
      <c r="BF392" s="576"/>
      <c r="BI392" s="576">
        <v>1</v>
      </c>
      <c r="BJ392" s="576"/>
      <c r="BK392" s="576"/>
      <c r="BL392" s="576">
        <v>2.4</v>
      </c>
      <c r="BM392" s="576">
        <f t="shared" si="63"/>
        <v>4.8</v>
      </c>
      <c r="BO392" s="611">
        <v>4.2354838709677418</v>
      </c>
      <c r="BP392" s="611">
        <f t="shared" si="64"/>
        <v>0.56451612903225801</v>
      </c>
      <c r="BQ392" s="658"/>
      <c r="BR392" s="612">
        <v>1</v>
      </c>
      <c r="BS392" s="576" t="s">
        <v>778</v>
      </c>
      <c r="BT392" s="576"/>
      <c r="DD392" s="561"/>
      <c r="DE392" s="562"/>
      <c r="DF392" s="577"/>
      <c r="DG392" s="577"/>
      <c r="DH392" s="577"/>
      <c r="DI392" s="577"/>
      <c r="DJ392" s="577"/>
      <c r="DK392" s="577"/>
      <c r="DL392" s="577"/>
      <c r="DM392" s="577"/>
      <c r="DN392" s="577"/>
      <c r="DO392" s="577"/>
      <c r="DP392" s="577"/>
      <c r="DQ392" s="600"/>
      <c r="DR392" s="600"/>
      <c r="DS392" s="577"/>
      <c r="DT392" s="577"/>
      <c r="DU392" s="577"/>
      <c r="DV392" s="577"/>
      <c r="DW392" s="577"/>
      <c r="DX392" s="577"/>
    </row>
    <row r="393" spans="16:128" s="560" customFormat="1">
      <c r="P393" s="561"/>
      <c r="Q393" s="562"/>
      <c r="R393" s="562">
        <v>0.45</v>
      </c>
      <c r="S393" s="562"/>
      <c r="T393" s="562"/>
      <c r="U393" s="562"/>
      <c r="V393" s="562"/>
      <c r="W393" s="562"/>
      <c r="X393" s="562"/>
      <c r="Y393" s="562"/>
      <c r="Z393" s="562"/>
      <c r="AA393" s="562"/>
      <c r="AB393" s="562"/>
      <c r="AC393" s="562"/>
      <c r="AD393" s="563"/>
      <c r="AE393" s="561"/>
      <c r="AF393" s="568">
        <v>15</v>
      </c>
      <c r="AG393" s="562"/>
      <c r="AH393" s="577">
        <v>2.5</v>
      </c>
      <c r="AI393" s="577" t="s">
        <v>793</v>
      </c>
      <c r="AJ393" s="577"/>
      <c r="AK393" s="577">
        <v>1</v>
      </c>
      <c r="AL393" s="577"/>
      <c r="AM393" s="577">
        <v>1</v>
      </c>
      <c r="AN393" s="562">
        <v>2.2000000000000002</v>
      </c>
      <c r="AO393" s="562">
        <f t="shared" si="65"/>
        <v>4.4000000000000004</v>
      </c>
      <c r="AP393" s="598">
        <v>0.140625</v>
      </c>
      <c r="AQ393" s="599">
        <v>3.8132352941176473</v>
      </c>
      <c r="AR393" s="599">
        <f t="shared" si="66"/>
        <v>0.58676470588235308</v>
      </c>
      <c r="AS393" s="600"/>
      <c r="AT393" s="600">
        <v>1</v>
      </c>
      <c r="AU393" s="577" t="s">
        <v>778</v>
      </c>
      <c r="AV393" s="577">
        <v>2430</v>
      </c>
      <c r="AW393" s="562"/>
      <c r="AX393" s="625" t="s">
        <v>817</v>
      </c>
      <c r="AY393" s="649">
        <f>AVERAGE(AR377:AR412)</f>
        <v>0.59809742647058828</v>
      </c>
      <c r="AZ393" s="562"/>
      <c r="BA393" s="562"/>
      <c r="BB393" s="563"/>
      <c r="BD393" s="576">
        <v>30</v>
      </c>
      <c r="BF393" s="576"/>
      <c r="BI393" s="576">
        <v>1</v>
      </c>
      <c r="BJ393" s="576"/>
      <c r="BK393" s="576"/>
      <c r="BL393" s="576">
        <v>2.35</v>
      </c>
      <c r="BM393" s="576">
        <f t="shared" si="63"/>
        <v>4.7</v>
      </c>
      <c r="BO393" s="611">
        <v>4.2403225806451612</v>
      </c>
      <c r="BP393" s="611">
        <f t="shared" si="64"/>
        <v>0.45967741935483897</v>
      </c>
      <c r="BQ393" s="658"/>
      <c r="BR393" s="612">
        <v>1</v>
      </c>
      <c r="BS393" s="576" t="s">
        <v>778</v>
      </c>
      <c r="BT393" s="576"/>
      <c r="DD393" s="561"/>
      <c r="DE393" s="562"/>
      <c r="DF393" s="577"/>
      <c r="DG393" s="577"/>
      <c r="DH393" s="577"/>
      <c r="DI393" s="577"/>
      <c r="DJ393" s="577"/>
      <c r="DK393" s="577"/>
      <c r="DL393" s="577"/>
      <c r="DM393" s="577"/>
      <c r="DN393" s="577"/>
      <c r="DO393" s="577"/>
      <c r="DP393" s="577"/>
      <c r="DQ393" s="600"/>
      <c r="DR393" s="600"/>
      <c r="DS393" s="577"/>
      <c r="DT393" s="577"/>
      <c r="DU393" s="577"/>
      <c r="DV393" s="577"/>
      <c r="DW393" s="577"/>
      <c r="DX393" s="577"/>
    </row>
    <row r="394" spans="16:128" s="560" customFormat="1">
      <c r="P394" s="561"/>
      <c r="Q394" s="562"/>
      <c r="R394" s="562">
        <f>COUNT(R333:R393)</f>
        <v>58</v>
      </c>
      <c r="S394" s="562"/>
      <c r="T394" s="562"/>
      <c r="U394" s="562"/>
      <c r="V394" s="562"/>
      <c r="W394" s="562"/>
      <c r="X394" s="562"/>
      <c r="Y394" s="562"/>
      <c r="Z394" s="562"/>
      <c r="AA394" s="562"/>
      <c r="AB394" s="562"/>
      <c r="AC394" s="562"/>
      <c r="AD394" s="563"/>
      <c r="AE394" s="561"/>
      <c r="AF394" s="562" t="s">
        <v>778</v>
      </c>
      <c r="AG394" s="562"/>
      <c r="AH394" s="577">
        <v>2</v>
      </c>
      <c r="AI394" s="577" t="s">
        <v>793</v>
      </c>
      <c r="AJ394" s="577"/>
      <c r="AK394" s="577"/>
      <c r="AL394" s="577"/>
      <c r="AM394" s="577">
        <v>1</v>
      </c>
      <c r="AN394" s="562"/>
      <c r="AO394" s="562"/>
      <c r="AP394" s="598"/>
      <c r="AQ394" s="599"/>
      <c r="AR394" s="599"/>
      <c r="AS394" s="600"/>
      <c r="AT394" s="600"/>
      <c r="AU394" s="577"/>
      <c r="AV394" s="577">
        <v>2429</v>
      </c>
      <c r="AW394" s="562"/>
      <c r="AX394" s="625" t="s">
        <v>818</v>
      </c>
      <c r="AY394" s="625" t="e">
        <f ca="1">_xlfn.STDEV.S(AR377:AR412)</f>
        <v>#NAME?</v>
      </c>
      <c r="AZ394" s="562"/>
      <c r="BA394" s="562"/>
      <c r="BB394" s="563"/>
      <c r="BD394" s="576">
        <v>31</v>
      </c>
      <c r="BF394" s="576"/>
      <c r="BI394" s="576">
        <v>1</v>
      </c>
      <c r="BJ394" s="576"/>
      <c r="BK394" s="576"/>
      <c r="BL394" s="576">
        <v>2.6</v>
      </c>
      <c r="BM394" s="576">
        <f t="shared" si="63"/>
        <v>5.2</v>
      </c>
      <c r="BO394" s="611">
        <v>4.2451612903225806</v>
      </c>
      <c r="BP394" s="611">
        <f t="shared" si="64"/>
        <v>0.95483870967741957</v>
      </c>
      <c r="BQ394" s="658"/>
      <c r="BR394" s="612">
        <v>1</v>
      </c>
      <c r="BS394" s="576" t="s">
        <v>778</v>
      </c>
      <c r="BT394" s="576"/>
      <c r="DD394" s="561"/>
      <c r="DE394" s="562"/>
      <c r="DF394" s="577"/>
      <c r="DG394" s="577"/>
      <c r="DH394" s="577"/>
      <c r="DI394" s="577"/>
      <c r="DJ394" s="577"/>
      <c r="DK394" s="577"/>
      <c r="DL394" s="577"/>
      <c r="DM394" s="577"/>
      <c r="DN394" s="577"/>
      <c r="DO394" s="577"/>
      <c r="DP394" s="577"/>
      <c r="DQ394" s="600"/>
      <c r="DR394" s="600"/>
      <c r="DS394" s="577"/>
      <c r="DT394" s="577"/>
      <c r="DU394" s="577"/>
      <c r="DV394" s="577"/>
      <c r="DW394" s="577"/>
      <c r="DX394" s="577"/>
    </row>
    <row r="395" spans="16:128" s="560" customFormat="1">
      <c r="P395" s="567">
        <v>41148</v>
      </c>
      <c r="Q395" s="568" t="s">
        <v>725</v>
      </c>
      <c r="R395" s="568"/>
      <c r="S395" s="568" t="s">
        <v>832</v>
      </c>
      <c r="T395" s="569" t="s">
        <v>727</v>
      </c>
      <c r="U395" s="569" t="s">
        <v>728</v>
      </c>
      <c r="V395" s="569" t="s">
        <v>729</v>
      </c>
      <c r="W395" s="569" t="s">
        <v>730</v>
      </c>
      <c r="X395" s="569" t="s">
        <v>731</v>
      </c>
      <c r="Y395" s="568"/>
      <c r="Z395" s="562"/>
      <c r="AA395" s="562"/>
      <c r="AB395" s="562"/>
      <c r="AC395" s="562"/>
      <c r="AD395" s="563"/>
      <c r="AE395" s="561"/>
      <c r="AF395" s="568">
        <v>16</v>
      </c>
      <c r="AG395" s="562"/>
      <c r="AH395" s="577"/>
      <c r="AI395" s="577"/>
      <c r="AJ395" s="577"/>
      <c r="AK395" s="577">
        <v>1</v>
      </c>
      <c r="AL395" s="577"/>
      <c r="AM395" s="577"/>
      <c r="AN395" s="562">
        <v>1.7</v>
      </c>
      <c r="AO395" s="562">
        <f>AN395+AN395</f>
        <v>3.4</v>
      </c>
      <c r="AP395" s="598">
        <v>0.140625</v>
      </c>
      <c r="AQ395" s="599">
        <v>3.7750000000000004</v>
      </c>
      <c r="AR395" s="599">
        <f>AO395-AQ395</f>
        <v>-0.37500000000000044</v>
      </c>
      <c r="AS395" s="600"/>
      <c r="AT395" s="600">
        <v>1</v>
      </c>
      <c r="AU395" s="577" t="s">
        <v>778</v>
      </c>
      <c r="AV395" s="577"/>
      <c r="AW395" s="562"/>
      <c r="AX395" s="562"/>
      <c r="AY395" s="562"/>
      <c r="AZ395" s="562"/>
      <c r="BA395" s="562"/>
      <c r="BB395" s="563"/>
      <c r="BD395" s="576">
        <v>32</v>
      </c>
      <c r="BF395" s="576"/>
      <c r="BI395" s="576">
        <v>1</v>
      </c>
      <c r="BJ395" s="576"/>
      <c r="BK395" s="576"/>
      <c r="BL395" s="576">
        <v>1.9</v>
      </c>
      <c r="BM395" s="576">
        <f t="shared" si="63"/>
        <v>3.8</v>
      </c>
      <c r="BO395" s="611">
        <v>4.25</v>
      </c>
      <c r="BP395" s="611">
        <f t="shared" si="64"/>
        <v>-0.45000000000000018</v>
      </c>
      <c r="BQ395" s="658"/>
      <c r="BR395" s="612">
        <v>1</v>
      </c>
      <c r="BS395" s="576" t="s">
        <v>127</v>
      </c>
      <c r="BT395" s="576"/>
      <c r="BU395" s="576" t="s">
        <v>1085</v>
      </c>
      <c r="DD395" s="561"/>
      <c r="DE395" s="562"/>
      <c r="DF395" s="577"/>
      <c r="DG395" s="577"/>
      <c r="DH395" s="577"/>
      <c r="DI395" s="577"/>
      <c r="DJ395" s="577"/>
      <c r="DK395" s="577"/>
      <c r="DL395" s="577"/>
      <c r="DM395" s="577"/>
      <c r="DN395" s="577"/>
      <c r="DO395" s="577"/>
      <c r="DP395" s="577"/>
      <c r="DQ395" s="600"/>
      <c r="DR395" s="600"/>
      <c r="DS395" s="577"/>
      <c r="DT395" s="577"/>
      <c r="DU395" s="577"/>
      <c r="DV395" s="577"/>
      <c r="DW395" s="577"/>
      <c r="DX395" s="577"/>
    </row>
    <row r="396" spans="16:128" s="560" customFormat="1">
      <c r="P396" s="561"/>
      <c r="Q396" s="568"/>
      <c r="R396" s="568"/>
      <c r="S396" s="568"/>
      <c r="T396" s="569" t="s">
        <v>1086</v>
      </c>
      <c r="U396" s="569" t="s">
        <v>1087</v>
      </c>
      <c r="V396" s="577"/>
      <c r="W396" s="577"/>
      <c r="X396" s="569">
        <v>2483</v>
      </c>
      <c r="Y396" s="578" t="s">
        <v>1088</v>
      </c>
      <c r="Z396" s="562"/>
      <c r="AA396" s="562"/>
      <c r="AB396" s="562"/>
      <c r="AC396" s="562"/>
      <c r="AD396" s="563"/>
      <c r="AE396" s="561"/>
      <c r="AF396" s="568">
        <v>17</v>
      </c>
      <c r="AG396" s="562"/>
      <c r="AH396" s="577">
        <v>0.3</v>
      </c>
      <c r="AI396" s="577" t="s">
        <v>778</v>
      </c>
      <c r="AJ396" s="577">
        <v>1</v>
      </c>
      <c r="AK396" s="577"/>
      <c r="AL396" s="577"/>
      <c r="AM396" s="577"/>
      <c r="AN396" s="562">
        <v>2</v>
      </c>
      <c r="AO396" s="562">
        <f>AN396+AN396</f>
        <v>4</v>
      </c>
      <c r="AP396" s="598">
        <v>0.140625</v>
      </c>
      <c r="AQ396" s="599">
        <v>3.7558823529411769</v>
      </c>
      <c r="AR396" s="599">
        <f>AO396-AQ396</f>
        <v>0.24411764705882311</v>
      </c>
      <c r="AS396" s="600"/>
      <c r="AT396" s="600">
        <v>1</v>
      </c>
      <c r="AU396" s="577" t="s">
        <v>778</v>
      </c>
      <c r="AV396" s="577">
        <v>2432</v>
      </c>
      <c r="AW396" s="562"/>
      <c r="AX396" s="562"/>
      <c r="AY396" s="562"/>
      <c r="AZ396" s="562"/>
      <c r="BA396" s="562"/>
      <c r="BB396" s="563"/>
      <c r="BH396" s="640">
        <f>SUM(BH362:BH395)</f>
        <v>1</v>
      </c>
      <c r="BI396" s="640">
        <f>SUM(BI362:BI395)</f>
        <v>31</v>
      </c>
      <c r="BJ396" s="641"/>
      <c r="BK396" s="642">
        <f>SUM(BK362:BK395)</f>
        <v>2</v>
      </c>
      <c r="BM396" s="643">
        <f>SUM(BM364:BM395)</f>
        <v>148.89999999999995</v>
      </c>
      <c r="BN396" s="576"/>
      <c r="BO396" s="644">
        <f>SUM(BO364:BO395)</f>
        <v>133.6</v>
      </c>
      <c r="BP396" s="644">
        <f>SUM(BP364:BP395)</f>
        <v>15.3</v>
      </c>
      <c r="BQ396" s="661"/>
      <c r="BR396" s="645">
        <f>SUM(BR364:BR395)</f>
        <v>32</v>
      </c>
      <c r="DD396" s="561"/>
      <c r="DE396" s="562"/>
      <c r="DF396" s="577"/>
      <c r="DG396" s="577"/>
      <c r="DH396" s="577"/>
      <c r="DI396" s="577"/>
      <c r="DJ396" s="577"/>
      <c r="DK396" s="577"/>
      <c r="DL396" s="577"/>
      <c r="DM396" s="577"/>
      <c r="DN396" s="577"/>
      <c r="DO396" s="577"/>
      <c r="DP396" s="577"/>
      <c r="DQ396" s="600"/>
      <c r="DR396" s="600"/>
      <c r="DS396" s="577"/>
      <c r="DT396" s="577"/>
      <c r="DU396" s="577"/>
      <c r="DV396" s="577"/>
      <c r="DW396" s="577"/>
      <c r="DX396" s="577"/>
    </row>
    <row r="397" spans="16:128" s="560" customFormat="1">
      <c r="P397" s="561" t="s">
        <v>584</v>
      </c>
      <c r="Q397" s="583" t="s">
        <v>1089</v>
      </c>
      <c r="R397" s="578"/>
      <c r="S397" s="569"/>
      <c r="T397" s="568"/>
      <c r="U397" s="568"/>
      <c r="V397" s="569"/>
      <c r="W397" s="569"/>
      <c r="X397" s="569"/>
      <c r="Y397" s="569"/>
      <c r="Z397" s="562"/>
      <c r="AA397" s="562"/>
      <c r="AB397" s="562"/>
      <c r="AC397" s="562"/>
      <c r="AD397" s="563"/>
      <c r="AE397" s="561"/>
      <c r="AF397" s="568">
        <v>18</v>
      </c>
      <c r="AG397" s="562"/>
      <c r="AH397" s="577"/>
      <c r="AI397" s="577"/>
      <c r="AJ397" s="577"/>
      <c r="AK397" s="577">
        <v>1</v>
      </c>
      <c r="AL397" s="577"/>
      <c r="AM397" s="577"/>
      <c r="AN397" s="562">
        <v>2.1</v>
      </c>
      <c r="AO397" s="562">
        <f>AN397+AN397</f>
        <v>4.2</v>
      </c>
      <c r="AP397" s="598">
        <v>0.140625</v>
      </c>
      <c r="AQ397" s="599">
        <v>3.7367647058823534</v>
      </c>
      <c r="AR397" s="599">
        <f>AO397-AQ397</f>
        <v>0.46323529411764675</v>
      </c>
      <c r="AS397" s="600"/>
      <c r="AT397" s="600">
        <v>1</v>
      </c>
      <c r="AU397" s="577" t="s">
        <v>778</v>
      </c>
      <c r="AV397" s="577"/>
      <c r="AW397" s="562"/>
      <c r="AX397" s="562"/>
      <c r="AY397" s="562"/>
      <c r="AZ397" s="562"/>
      <c r="BA397" s="562"/>
      <c r="BB397" s="563"/>
      <c r="BC397" s="682">
        <v>41114</v>
      </c>
      <c r="BD397" s="565" t="s">
        <v>725</v>
      </c>
      <c r="BE397" s="565"/>
      <c r="BF397" s="565" t="s">
        <v>726</v>
      </c>
      <c r="BG397" s="566" t="s">
        <v>727</v>
      </c>
      <c r="BH397" s="566"/>
      <c r="BI397" s="566"/>
      <c r="BJ397" s="566"/>
      <c r="BK397" s="566"/>
      <c r="BL397" s="566" t="s">
        <v>728</v>
      </c>
      <c r="BN397" s="566" t="s">
        <v>729</v>
      </c>
      <c r="BO397" s="603"/>
      <c r="BP397" s="646">
        <f>+BP396/BO396</f>
        <v>0.11452095808383235</v>
      </c>
      <c r="BQ397" s="604"/>
      <c r="BR397" s="604"/>
      <c r="BS397" s="566" t="s">
        <v>730</v>
      </c>
      <c r="BT397" s="566" t="s">
        <v>731</v>
      </c>
      <c r="DD397" s="561"/>
      <c r="DE397" s="562"/>
      <c r="DF397" s="577"/>
      <c r="DG397" s="577"/>
      <c r="DH397" s="577"/>
      <c r="DI397" s="577"/>
      <c r="DJ397" s="577"/>
      <c r="DK397" s="577"/>
      <c r="DL397" s="577"/>
      <c r="DM397" s="577"/>
      <c r="DN397" s="577"/>
      <c r="DO397" s="577"/>
      <c r="DP397" s="577"/>
      <c r="DQ397" s="600"/>
      <c r="DR397" s="600"/>
      <c r="DS397" s="577"/>
      <c r="DT397" s="577"/>
      <c r="DU397" s="577"/>
      <c r="DV397" s="577"/>
      <c r="DW397" s="577"/>
      <c r="DX397" s="577"/>
    </row>
    <row r="398" spans="16:128" s="560" customFormat="1">
      <c r="P398" s="587"/>
      <c r="Q398" s="588" t="s">
        <v>755</v>
      </c>
      <c r="R398" s="588" t="s">
        <v>756</v>
      </c>
      <c r="S398" s="588" t="s">
        <v>757</v>
      </c>
      <c r="T398" s="588" t="s">
        <v>758</v>
      </c>
      <c r="U398" s="588" t="s">
        <v>759</v>
      </c>
      <c r="V398" s="588" t="s">
        <v>760</v>
      </c>
      <c r="W398" s="588" t="s">
        <v>761</v>
      </c>
      <c r="X398" s="588" t="s">
        <v>762</v>
      </c>
      <c r="Y398" s="588" t="s">
        <v>763</v>
      </c>
      <c r="Z398" s="562"/>
      <c r="AA398" s="562"/>
      <c r="AB398" s="562"/>
      <c r="AC398" s="588" t="s">
        <v>764</v>
      </c>
      <c r="AD398" s="589"/>
      <c r="AE398" s="561"/>
      <c r="AF398" s="568">
        <v>19</v>
      </c>
      <c r="AG398" s="562"/>
      <c r="AH398" s="577">
        <v>0.5</v>
      </c>
      <c r="AI398" s="577" t="s">
        <v>793</v>
      </c>
      <c r="AJ398" s="577"/>
      <c r="AK398" s="577">
        <v>1</v>
      </c>
      <c r="AL398" s="577"/>
      <c r="AM398" s="577">
        <v>1</v>
      </c>
      <c r="AN398" s="562">
        <v>2</v>
      </c>
      <c r="AO398" s="562">
        <f>AN398+AN398</f>
        <v>4</v>
      </c>
      <c r="AP398" s="598">
        <v>0.140625</v>
      </c>
      <c r="AQ398" s="599">
        <v>3.7176470588235295</v>
      </c>
      <c r="AR398" s="599">
        <f>AO398-AQ398</f>
        <v>0.28235294117647047</v>
      </c>
      <c r="AS398" s="600"/>
      <c r="AT398" s="600">
        <v>1</v>
      </c>
      <c r="AU398" s="577" t="s">
        <v>778</v>
      </c>
      <c r="AV398" s="577">
        <v>2434</v>
      </c>
      <c r="AW398" s="562"/>
      <c r="AX398" s="562"/>
      <c r="AY398" s="562"/>
      <c r="AZ398" s="562"/>
      <c r="BA398" s="562"/>
      <c r="BB398" s="563"/>
      <c r="BD398" s="565"/>
      <c r="BE398" s="565"/>
      <c r="BF398" s="565"/>
      <c r="BG398" s="576" t="s">
        <v>1090</v>
      </c>
      <c r="BH398" s="576"/>
      <c r="BI398" s="576"/>
      <c r="BJ398" s="576"/>
      <c r="BK398" s="576"/>
      <c r="BL398" s="576" t="s">
        <v>1091</v>
      </c>
      <c r="BN398" s="576">
        <v>43</v>
      </c>
      <c r="BO398" s="611"/>
      <c r="BP398" s="695"/>
      <c r="BQ398" s="612"/>
      <c r="BR398" s="612"/>
      <c r="BS398" s="576">
        <v>52</v>
      </c>
      <c r="BT398" s="622"/>
      <c r="DD398" s="561"/>
      <c r="DE398" s="562"/>
      <c r="DF398" s="577"/>
      <c r="DG398" s="577"/>
      <c r="DH398" s="577"/>
      <c r="DI398" s="577"/>
      <c r="DJ398" s="577"/>
      <c r="DK398" s="577"/>
      <c r="DL398" s="577"/>
      <c r="DM398" s="577"/>
      <c r="DN398" s="577"/>
      <c r="DO398" s="577"/>
      <c r="DP398" s="577"/>
      <c r="DQ398" s="600"/>
      <c r="DR398" s="600"/>
      <c r="DS398" s="577"/>
      <c r="DT398" s="577"/>
      <c r="DU398" s="577"/>
      <c r="DV398" s="577"/>
      <c r="DW398" s="577"/>
      <c r="DX398" s="577"/>
    </row>
    <row r="399" spans="16:128" s="560" customFormat="1">
      <c r="P399" s="561"/>
      <c r="Q399" s="568" t="s">
        <v>1092</v>
      </c>
      <c r="R399" s="562"/>
      <c r="S399" s="562">
        <v>1.2</v>
      </c>
      <c r="T399" s="562" t="s">
        <v>802</v>
      </c>
      <c r="U399" s="562"/>
      <c r="V399" s="562"/>
      <c r="W399" s="562"/>
      <c r="X399" s="629">
        <v>2477</v>
      </c>
      <c r="Y399" s="562"/>
      <c r="Z399" s="562"/>
      <c r="AA399" s="562"/>
      <c r="AB399" s="562"/>
      <c r="AC399" s="577"/>
      <c r="AD399" s="589"/>
      <c r="AE399" s="561"/>
      <c r="AF399" s="562" t="s">
        <v>778</v>
      </c>
      <c r="AG399" s="562"/>
      <c r="AH399" s="577">
        <v>1.4</v>
      </c>
      <c r="AI399" s="577" t="s">
        <v>793</v>
      </c>
      <c r="AJ399" s="577"/>
      <c r="AK399" s="577"/>
      <c r="AL399" s="577"/>
      <c r="AM399" s="577">
        <v>1</v>
      </c>
      <c r="AN399" s="562"/>
      <c r="AO399" s="562"/>
      <c r="AP399" s="598"/>
      <c r="AQ399" s="599"/>
      <c r="AR399" s="599"/>
      <c r="AS399" s="600"/>
      <c r="AT399" s="600"/>
      <c r="AU399" s="577"/>
      <c r="AV399" s="577">
        <v>2433</v>
      </c>
      <c r="AW399" s="562"/>
      <c r="AX399" s="562"/>
      <c r="AY399" s="562"/>
      <c r="AZ399" s="562"/>
      <c r="BA399" s="562"/>
      <c r="BB399" s="563"/>
      <c r="BC399" s="560" t="s">
        <v>506</v>
      </c>
      <c r="BD399" s="581" t="s">
        <v>1077</v>
      </c>
      <c r="BE399" s="582"/>
      <c r="BF399" s="566"/>
      <c r="BG399" s="565"/>
      <c r="BH399" s="565"/>
      <c r="BI399" s="565"/>
      <c r="BJ399" s="565"/>
      <c r="BK399" s="565"/>
      <c r="BL399" s="565"/>
      <c r="BN399" s="566"/>
      <c r="BO399" s="603"/>
      <c r="BP399" s="581" t="s">
        <v>1093</v>
      </c>
      <c r="BQ399" s="604"/>
      <c r="BR399" s="604"/>
      <c r="BS399" s="566"/>
      <c r="BT399" s="576"/>
      <c r="DD399" s="561"/>
      <c r="DE399" s="562"/>
      <c r="DF399" s="577"/>
      <c r="DG399" s="577"/>
      <c r="DH399" s="577"/>
      <c r="DI399" s="577"/>
      <c r="DJ399" s="577"/>
      <c r="DK399" s="577"/>
      <c r="DL399" s="577"/>
      <c r="DM399" s="577"/>
      <c r="DN399" s="577"/>
      <c r="DO399" s="577"/>
      <c r="DP399" s="577"/>
      <c r="DQ399" s="600"/>
      <c r="DR399" s="600"/>
      <c r="DS399" s="577"/>
      <c r="DT399" s="577"/>
      <c r="DU399" s="577"/>
      <c r="DV399" s="577"/>
      <c r="DW399" s="577"/>
      <c r="DX399" s="577"/>
    </row>
    <row r="400" spans="16:128" s="560" customFormat="1">
      <c r="P400" s="561"/>
      <c r="Q400" s="562"/>
      <c r="R400" s="562"/>
      <c r="S400" s="562">
        <v>0.3</v>
      </c>
      <c r="T400" s="562" t="s">
        <v>988</v>
      </c>
      <c r="U400" s="562"/>
      <c r="V400" s="562"/>
      <c r="W400" s="562"/>
      <c r="X400" s="629">
        <v>2476</v>
      </c>
      <c r="Y400" s="562"/>
      <c r="Z400" s="562"/>
      <c r="AA400" s="562"/>
      <c r="AB400" s="562"/>
      <c r="AC400" s="607" t="s">
        <v>780</v>
      </c>
      <c r="AD400" s="608" t="s">
        <v>616</v>
      </c>
      <c r="AE400" s="561"/>
      <c r="AF400" s="568">
        <v>20</v>
      </c>
      <c r="AG400" s="562"/>
      <c r="AH400" s="577"/>
      <c r="AI400" s="577"/>
      <c r="AJ400" s="577"/>
      <c r="AK400" s="577">
        <v>1</v>
      </c>
      <c r="AL400" s="577"/>
      <c r="AM400" s="577"/>
      <c r="AN400" s="562">
        <v>2</v>
      </c>
      <c r="AO400" s="562">
        <f t="shared" ref="AO400:AO412" si="67">AN400+AN400</f>
        <v>4</v>
      </c>
      <c r="AP400" s="598">
        <v>0.140625</v>
      </c>
      <c r="AQ400" s="599">
        <v>3.6794117647058826</v>
      </c>
      <c r="AR400" s="599">
        <f t="shared" ref="AR400:AR412" si="68">AO400-AQ400</f>
        <v>0.3205882352941174</v>
      </c>
      <c r="AS400" s="600"/>
      <c r="AT400" s="600">
        <v>1</v>
      </c>
      <c r="AU400" s="577" t="s">
        <v>778</v>
      </c>
      <c r="AV400" s="577"/>
      <c r="AW400" s="562"/>
      <c r="AX400" s="562"/>
      <c r="AY400" s="562"/>
      <c r="AZ400" s="562"/>
      <c r="BA400" s="562"/>
      <c r="BB400" s="563"/>
      <c r="BD400" s="586" t="s">
        <v>755</v>
      </c>
      <c r="BE400" s="586" t="s">
        <v>756</v>
      </c>
      <c r="BF400" s="615" t="s">
        <v>757</v>
      </c>
      <c r="BG400" s="615" t="s">
        <v>758</v>
      </c>
      <c r="BH400" s="615" t="s">
        <v>765</v>
      </c>
      <c r="BI400" s="615" t="s">
        <v>766</v>
      </c>
      <c r="BJ400" s="616" t="s">
        <v>767</v>
      </c>
      <c r="BK400" s="617" t="s">
        <v>768</v>
      </c>
      <c r="BL400" s="586" t="s">
        <v>759</v>
      </c>
      <c r="BM400" s="618" t="s">
        <v>769</v>
      </c>
      <c r="BN400" s="586" t="s">
        <v>760</v>
      </c>
      <c r="BO400" s="619" t="s">
        <v>770</v>
      </c>
      <c r="BP400" s="619" t="s">
        <v>771</v>
      </c>
      <c r="BQ400" s="620" t="s">
        <v>772</v>
      </c>
      <c r="BR400" s="620" t="s">
        <v>773</v>
      </c>
      <c r="BS400" s="586" t="s">
        <v>761</v>
      </c>
      <c r="BT400" s="586" t="s">
        <v>762</v>
      </c>
      <c r="BU400" s="586" t="s">
        <v>763</v>
      </c>
      <c r="DD400" s="561"/>
      <c r="DE400" s="562"/>
      <c r="DF400" s="577"/>
      <c r="DG400" s="577"/>
      <c r="DH400" s="577"/>
      <c r="DI400" s="577"/>
      <c r="DJ400" s="577"/>
      <c r="DK400" s="577"/>
      <c r="DL400" s="577"/>
      <c r="DM400" s="577"/>
      <c r="DN400" s="577"/>
      <c r="DO400" s="577"/>
      <c r="DP400" s="577"/>
      <c r="DQ400" s="600"/>
      <c r="DR400" s="600"/>
      <c r="DS400" s="577"/>
      <c r="DT400" s="577"/>
      <c r="DU400" s="577"/>
      <c r="DV400" s="577"/>
      <c r="DW400" s="577"/>
      <c r="DX400" s="577"/>
    </row>
    <row r="401" spans="16:128" s="560" customFormat="1">
      <c r="P401" s="561"/>
      <c r="Q401" s="562" t="s">
        <v>1094</v>
      </c>
      <c r="R401" s="562"/>
      <c r="S401" s="562">
        <v>0.25</v>
      </c>
      <c r="T401" s="562" t="s">
        <v>988</v>
      </c>
      <c r="U401" s="562"/>
      <c r="V401" s="562"/>
      <c r="W401" s="562"/>
      <c r="X401" s="629">
        <v>2475</v>
      </c>
      <c r="Y401" s="562"/>
      <c r="Z401" s="562"/>
      <c r="AA401" s="562"/>
      <c r="AB401" s="562"/>
      <c r="AC401" s="607" t="s">
        <v>785</v>
      </c>
      <c r="AD401" s="608" t="s">
        <v>542</v>
      </c>
      <c r="AE401" s="561"/>
      <c r="AF401" s="568">
        <v>21</v>
      </c>
      <c r="AG401" s="562"/>
      <c r="AH401" s="577"/>
      <c r="AI401" s="577"/>
      <c r="AJ401" s="577"/>
      <c r="AK401" s="577">
        <v>1</v>
      </c>
      <c r="AL401" s="577"/>
      <c r="AM401" s="577"/>
      <c r="AN401" s="562">
        <v>2.2000000000000002</v>
      </c>
      <c r="AO401" s="562">
        <f t="shared" si="67"/>
        <v>4.4000000000000004</v>
      </c>
      <c r="AP401" s="598">
        <v>0.140625</v>
      </c>
      <c r="AQ401" s="599">
        <v>3.6602941176470591</v>
      </c>
      <c r="AR401" s="599">
        <f t="shared" si="68"/>
        <v>0.73970588235294121</v>
      </c>
      <c r="AS401" s="600"/>
      <c r="AT401" s="600">
        <v>1</v>
      </c>
      <c r="AU401" s="577" t="s">
        <v>778</v>
      </c>
      <c r="AV401" s="577"/>
      <c r="AW401" s="562"/>
      <c r="AX401" s="562"/>
      <c r="AY401" s="562"/>
      <c r="AZ401" s="562"/>
      <c r="BA401" s="562"/>
      <c r="BB401" s="563"/>
      <c r="BD401" s="576">
        <v>1</v>
      </c>
      <c r="BF401" s="576">
        <v>0.1</v>
      </c>
      <c r="BG401" s="576" t="s">
        <v>777</v>
      </c>
      <c r="BH401" s="576">
        <v>1</v>
      </c>
      <c r="BI401" s="576"/>
      <c r="BJ401" s="576"/>
      <c r="BK401" s="576"/>
      <c r="BL401" s="576">
        <v>1.7</v>
      </c>
      <c r="BM401" s="576">
        <f t="shared" ref="BM401:BM432" si="69">BL401+BL401</f>
        <v>3.4</v>
      </c>
      <c r="BN401" s="576" t="s">
        <v>1009</v>
      </c>
      <c r="BO401" s="611">
        <v>3.75</v>
      </c>
      <c r="BP401" s="611">
        <f t="shared" ref="BP401:BP432" si="70">BM401-BO401</f>
        <v>-0.35000000000000009</v>
      </c>
      <c r="BQ401" s="612"/>
      <c r="BR401" s="612">
        <v>1</v>
      </c>
      <c r="BS401" s="576" t="s">
        <v>1095</v>
      </c>
      <c r="BT401" s="576">
        <v>1554</v>
      </c>
      <c r="DD401" s="561"/>
      <c r="DE401" s="562"/>
      <c r="DF401" s="577"/>
      <c r="DG401" s="577"/>
      <c r="DH401" s="577"/>
      <c r="DI401" s="577"/>
      <c r="DJ401" s="577"/>
      <c r="DK401" s="577"/>
      <c r="DL401" s="577"/>
      <c r="DM401" s="577"/>
      <c r="DN401" s="577"/>
      <c r="DO401" s="577"/>
      <c r="DP401" s="577"/>
      <c r="DQ401" s="600"/>
      <c r="DR401" s="600"/>
      <c r="DS401" s="577"/>
      <c r="DT401" s="577"/>
      <c r="DU401" s="577"/>
      <c r="DV401" s="577"/>
      <c r="DW401" s="577"/>
      <c r="DX401" s="577"/>
    </row>
    <row r="402" spans="16:128" s="560" customFormat="1">
      <c r="P402" s="561"/>
      <c r="Q402" s="562" t="s">
        <v>1096</v>
      </c>
      <c r="R402" s="562"/>
      <c r="S402" s="562">
        <v>1</v>
      </c>
      <c r="T402" s="562" t="s">
        <v>988</v>
      </c>
      <c r="U402" s="562"/>
      <c r="V402" s="562"/>
      <c r="W402" s="562"/>
      <c r="X402" s="629">
        <v>2474</v>
      </c>
      <c r="Y402" s="562"/>
      <c r="Z402" s="562"/>
      <c r="AA402" s="562"/>
      <c r="AB402" s="562"/>
      <c r="AC402" s="607" t="s">
        <v>789</v>
      </c>
      <c r="AD402" s="608" t="s">
        <v>790</v>
      </c>
      <c r="AE402" s="561"/>
      <c r="AF402" s="568">
        <v>22</v>
      </c>
      <c r="AG402" s="562"/>
      <c r="AH402" s="577"/>
      <c r="AI402" s="577"/>
      <c r="AJ402" s="577"/>
      <c r="AK402" s="577">
        <v>1</v>
      </c>
      <c r="AL402" s="577"/>
      <c r="AM402" s="577"/>
      <c r="AN402" s="562">
        <v>2</v>
      </c>
      <c r="AO402" s="562">
        <f t="shared" si="67"/>
        <v>4</v>
      </c>
      <c r="AP402" s="598">
        <v>0.140625</v>
      </c>
      <c r="AQ402" s="599">
        <v>3.6411764705882357</v>
      </c>
      <c r="AR402" s="599">
        <f t="shared" si="68"/>
        <v>0.35882352941176432</v>
      </c>
      <c r="AS402" s="600"/>
      <c r="AT402" s="600">
        <v>1</v>
      </c>
      <c r="AU402" s="577" t="s">
        <v>778</v>
      </c>
      <c r="AV402" s="577"/>
      <c r="AW402" s="562"/>
      <c r="AX402" s="562"/>
      <c r="AY402" s="562"/>
      <c r="AZ402" s="562"/>
      <c r="BA402" s="562"/>
      <c r="BB402" s="563"/>
      <c r="BD402" s="576">
        <v>2</v>
      </c>
      <c r="BF402" s="576"/>
      <c r="BG402" s="576"/>
      <c r="BH402" s="576"/>
      <c r="BI402" s="576">
        <v>1</v>
      </c>
      <c r="BJ402" s="576"/>
      <c r="BK402" s="576"/>
      <c r="BL402" s="576">
        <v>2.5</v>
      </c>
      <c r="BM402" s="576">
        <f t="shared" si="69"/>
        <v>5</v>
      </c>
      <c r="BN402" s="576"/>
      <c r="BO402" s="611">
        <v>3.7612903225806451</v>
      </c>
      <c r="BP402" s="611">
        <f t="shared" si="70"/>
        <v>1.2387096774193549</v>
      </c>
      <c r="BQ402" s="612"/>
      <c r="BR402" s="612">
        <v>1</v>
      </c>
      <c r="BT402" s="576"/>
      <c r="DD402" s="561"/>
      <c r="DE402" s="562"/>
      <c r="DF402" s="577"/>
      <c r="DG402" s="577"/>
      <c r="DH402" s="577"/>
      <c r="DI402" s="577"/>
      <c r="DJ402" s="577"/>
      <c r="DK402" s="577"/>
      <c r="DL402" s="577"/>
      <c r="DM402" s="577"/>
      <c r="DN402" s="577"/>
      <c r="DO402" s="577"/>
      <c r="DP402" s="577"/>
      <c r="DQ402" s="600"/>
      <c r="DR402" s="600"/>
      <c r="DS402" s="577"/>
      <c r="DT402" s="577"/>
      <c r="DU402" s="577"/>
      <c r="DV402" s="577"/>
      <c r="DW402" s="577"/>
      <c r="DX402" s="577"/>
    </row>
    <row r="403" spans="16:128" s="560" customFormat="1">
      <c r="P403" s="561"/>
      <c r="Q403" s="562" t="s">
        <v>1097</v>
      </c>
      <c r="R403" s="562"/>
      <c r="S403" s="562">
        <v>2.2000000000000002</v>
      </c>
      <c r="T403" s="562" t="s">
        <v>802</v>
      </c>
      <c r="U403" s="562"/>
      <c r="V403" s="562"/>
      <c r="W403" s="562"/>
      <c r="X403" s="629">
        <v>2473</v>
      </c>
      <c r="Y403" s="562"/>
      <c r="Z403" s="562"/>
      <c r="AA403" s="562"/>
      <c r="AB403" s="562"/>
      <c r="AC403" s="607" t="s">
        <v>791</v>
      </c>
      <c r="AD403" s="608" t="s">
        <v>792</v>
      </c>
      <c r="AE403" s="561"/>
      <c r="AF403" s="568">
        <v>23</v>
      </c>
      <c r="AG403" s="562"/>
      <c r="AH403" s="577"/>
      <c r="AI403" s="577"/>
      <c r="AJ403" s="577"/>
      <c r="AK403" s="577">
        <v>1</v>
      </c>
      <c r="AL403" s="577"/>
      <c r="AM403" s="577"/>
      <c r="AN403" s="562">
        <v>2.1</v>
      </c>
      <c r="AO403" s="562">
        <f t="shared" si="67"/>
        <v>4.2</v>
      </c>
      <c r="AP403" s="598">
        <v>0.140625</v>
      </c>
      <c r="AQ403" s="599">
        <v>3.6220588235294122</v>
      </c>
      <c r="AR403" s="599">
        <f t="shared" si="68"/>
        <v>0.57794117647058796</v>
      </c>
      <c r="AS403" s="600"/>
      <c r="AT403" s="600">
        <v>1</v>
      </c>
      <c r="AU403" s="577" t="s">
        <v>778</v>
      </c>
      <c r="AV403" s="577"/>
      <c r="AW403" s="562"/>
      <c r="AX403" s="562"/>
      <c r="AY403" s="562"/>
      <c r="AZ403" s="562"/>
      <c r="BA403" s="562"/>
      <c r="BB403" s="563"/>
      <c r="BD403" s="576">
        <v>3</v>
      </c>
      <c r="BF403" s="576"/>
      <c r="BG403" s="576"/>
      <c r="BH403" s="576"/>
      <c r="BI403" s="576">
        <v>1</v>
      </c>
      <c r="BJ403" s="576"/>
      <c r="BK403" s="576"/>
      <c r="BL403" s="576">
        <v>2.5</v>
      </c>
      <c r="BM403" s="576">
        <f t="shared" si="69"/>
        <v>5</v>
      </c>
      <c r="BN403" s="576"/>
      <c r="BO403" s="611">
        <v>3.7725806451612902</v>
      </c>
      <c r="BP403" s="611">
        <f t="shared" si="70"/>
        <v>1.2274193548387098</v>
      </c>
      <c r="BQ403" s="612"/>
      <c r="BR403" s="612">
        <v>1</v>
      </c>
      <c r="BT403" s="576"/>
      <c r="DD403" s="561"/>
      <c r="DE403" s="562"/>
      <c r="DF403" s="577"/>
      <c r="DG403" s="577"/>
      <c r="DH403" s="577"/>
      <c r="DI403" s="577"/>
      <c r="DJ403" s="577"/>
      <c r="DK403" s="577"/>
      <c r="DL403" s="577"/>
      <c r="DM403" s="577"/>
      <c r="DN403" s="577"/>
      <c r="DO403" s="577"/>
      <c r="DP403" s="577"/>
      <c r="DQ403" s="600"/>
      <c r="DR403" s="600"/>
      <c r="DS403" s="577"/>
      <c r="DT403" s="577"/>
      <c r="DU403" s="577"/>
      <c r="DV403" s="577"/>
      <c r="DW403" s="577"/>
      <c r="DX403" s="577"/>
    </row>
    <row r="404" spans="16:128" s="560" customFormat="1">
      <c r="P404" s="561"/>
      <c r="Q404" s="562"/>
      <c r="R404" s="562"/>
      <c r="S404" s="562"/>
      <c r="T404" s="562"/>
      <c r="U404" s="562"/>
      <c r="V404" s="562"/>
      <c r="W404" s="562"/>
      <c r="X404" s="562"/>
      <c r="Y404" s="562"/>
      <c r="Z404" s="562"/>
      <c r="AA404" s="562"/>
      <c r="AB404" s="562"/>
      <c r="AC404" s="607" t="s">
        <v>794</v>
      </c>
      <c r="AD404" s="608" t="s">
        <v>795</v>
      </c>
      <c r="AE404" s="561"/>
      <c r="AF404" s="568">
        <v>24</v>
      </c>
      <c r="AG404" s="562"/>
      <c r="AH404" s="577"/>
      <c r="AI404" s="577"/>
      <c r="AJ404" s="577"/>
      <c r="AK404" s="577">
        <v>1</v>
      </c>
      <c r="AL404" s="577"/>
      <c r="AM404" s="577"/>
      <c r="AN404" s="562">
        <v>2.9</v>
      </c>
      <c r="AO404" s="562">
        <f t="shared" si="67"/>
        <v>5.8</v>
      </c>
      <c r="AP404" s="598">
        <v>0.140625</v>
      </c>
      <c r="AQ404" s="599">
        <v>3.6029411764705888</v>
      </c>
      <c r="AR404" s="599">
        <f t="shared" si="68"/>
        <v>2.1970588235294111</v>
      </c>
      <c r="AS404" s="600"/>
      <c r="AT404" s="600">
        <v>1</v>
      </c>
      <c r="AU404" s="577" t="s">
        <v>778</v>
      </c>
      <c r="AV404" s="577"/>
      <c r="AW404" s="562"/>
      <c r="AX404" s="562"/>
      <c r="AY404" s="562"/>
      <c r="AZ404" s="562"/>
      <c r="BA404" s="562"/>
      <c r="BB404" s="563"/>
      <c r="BD404" s="576">
        <v>4</v>
      </c>
      <c r="BF404" s="576"/>
      <c r="BG404" s="576"/>
      <c r="BH404" s="576"/>
      <c r="BI404" s="576">
        <v>1</v>
      </c>
      <c r="BJ404" s="576"/>
      <c r="BK404" s="576"/>
      <c r="BL404" s="576">
        <v>2.2999999999999998</v>
      </c>
      <c r="BM404" s="576">
        <f t="shared" si="69"/>
        <v>4.5999999999999996</v>
      </c>
      <c r="BN404" s="576" t="s">
        <v>797</v>
      </c>
      <c r="BO404" s="611">
        <v>2.9</v>
      </c>
      <c r="BP404" s="611">
        <f t="shared" si="70"/>
        <v>1.6999999999999997</v>
      </c>
      <c r="BQ404" s="612">
        <v>1</v>
      </c>
      <c r="BR404" s="612"/>
      <c r="BT404" s="576"/>
      <c r="DD404" s="561"/>
      <c r="DE404" s="562"/>
      <c r="DF404" s="577"/>
      <c r="DG404" s="577"/>
      <c r="DH404" s="577"/>
      <c r="DI404" s="577"/>
      <c r="DJ404" s="577"/>
      <c r="DK404" s="577"/>
      <c r="DL404" s="577"/>
      <c r="DM404" s="577"/>
      <c r="DN404" s="577"/>
      <c r="DO404" s="577"/>
      <c r="DP404" s="577"/>
      <c r="DQ404" s="600"/>
      <c r="DR404" s="600"/>
      <c r="DS404" s="577"/>
      <c r="DT404" s="577"/>
      <c r="DU404" s="577"/>
      <c r="DV404" s="577"/>
      <c r="DW404" s="577"/>
      <c r="DX404" s="577"/>
    </row>
    <row r="405" spans="16:128" s="560" customFormat="1">
      <c r="P405" s="561"/>
      <c r="Q405" s="562"/>
      <c r="R405" s="562"/>
      <c r="S405" s="562">
        <f>SUM(S399:S404)</f>
        <v>4.95</v>
      </c>
      <c r="T405" s="562"/>
      <c r="U405" s="562"/>
      <c r="V405" s="562"/>
      <c r="W405" s="562"/>
      <c r="X405" s="562"/>
      <c r="Y405" s="562"/>
      <c r="Z405" s="562"/>
      <c r="AA405" s="562"/>
      <c r="AB405" s="562"/>
      <c r="AC405" s="607" t="s">
        <v>798</v>
      </c>
      <c r="AD405" s="608" t="s">
        <v>546</v>
      </c>
      <c r="AE405" s="561"/>
      <c r="AF405" s="568">
        <v>25</v>
      </c>
      <c r="AG405" s="562"/>
      <c r="AH405" s="577">
        <v>0.1</v>
      </c>
      <c r="AI405" s="577" t="s">
        <v>793</v>
      </c>
      <c r="AJ405" s="577"/>
      <c r="AK405" s="577">
        <v>1</v>
      </c>
      <c r="AL405" s="577"/>
      <c r="AM405" s="577">
        <v>1</v>
      </c>
      <c r="AN405" s="562">
        <v>2.2000000000000002</v>
      </c>
      <c r="AO405" s="562">
        <f t="shared" si="67"/>
        <v>4.4000000000000004</v>
      </c>
      <c r="AP405" s="598">
        <v>0.140625</v>
      </c>
      <c r="AQ405" s="599">
        <v>3.5838235294117649</v>
      </c>
      <c r="AR405" s="599">
        <f t="shared" si="68"/>
        <v>0.8161764705882355</v>
      </c>
      <c r="AS405" s="600"/>
      <c r="AT405" s="600">
        <v>1</v>
      </c>
      <c r="AU405" s="577" t="s">
        <v>778</v>
      </c>
      <c r="AV405" s="577"/>
      <c r="AW405" s="562"/>
      <c r="AX405" s="562"/>
      <c r="AY405" s="562"/>
      <c r="AZ405" s="562"/>
      <c r="BA405" s="562"/>
      <c r="BB405" s="563"/>
      <c r="BD405" s="576">
        <v>5</v>
      </c>
      <c r="BF405" s="576"/>
      <c r="BG405" s="576"/>
      <c r="BH405" s="576"/>
      <c r="BI405" s="576">
        <v>1</v>
      </c>
      <c r="BJ405" s="576"/>
      <c r="BK405" s="576"/>
      <c r="BL405" s="576">
        <v>2.5</v>
      </c>
      <c r="BM405" s="576">
        <f t="shared" si="69"/>
        <v>5</v>
      </c>
      <c r="BN405" s="576"/>
      <c r="BO405" s="611">
        <v>3.7951612903225804</v>
      </c>
      <c r="BP405" s="611">
        <f t="shared" si="70"/>
        <v>1.2048387096774196</v>
      </c>
      <c r="BQ405" s="612"/>
      <c r="BR405" s="612">
        <v>1</v>
      </c>
      <c r="BT405" s="576"/>
      <c r="DD405" s="561"/>
      <c r="DE405" s="562"/>
      <c r="DF405" s="577"/>
      <c r="DG405" s="577"/>
      <c r="DH405" s="577"/>
      <c r="DI405" s="577"/>
      <c r="DJ405" s="577"/>
      <c r="DK405" s="577"/>
      <c r="DL405" s="577"/>
      <c r="DM405" s="577"/>
      <c r="DN405" s="577"/>
      <c r="DO405" s="577"/>
      <c r="DP405" s="577"/>
      <c r="DQ405" s="600"/>
      <c r="DR405" s="600"/>
      <c r="DS405" s="577"/>
      <c r="DT405" s="577"/>
      <c r="DU405" s="577"/>
      <c r="DV405" s="577"/>
      <c r="DW405" s="577"/>
      <c r="DX405" s="577"/>
    </row>
    <row r="406" spans="16:128" s="560" customFormat="1">
      <c r="P406" s="561"/>
      <c r="Q406" s="562"/>
      <c r="R406" s="562"/>
      <c r="S406" s="562"/>
      <c r="T406" s="562"/>
      <c r="U406" s="562"/>
      <c r="V406" s="562"/>
      <c r="W406" s="562"/>
      <c r="X406" s="562"/>
      <c r="Y406" s="562"/>
      <c r="Z406" s="562"/>
      <c r="AA406" s="562"/>
      <c r="AB406" s="562"/>
      <c r="AC406" s="607" t="s">
        <v>800</v>
      </c>
      <c r="AD406" s="608" t="s">
        <v>801</v>
      </c>
      <c r="AE406" s="561"/>
      <c r="AF406" s="568">
        <v>26</v>
      </c>
      <c r="AG406" s="562"/>
      <c r="AH406" s="577">
        <v>0.2</v>
      </c>
      <c r="AI406" s="577" t="s">
        <v>777</v>
      </c>
      <c r="AJ406" s="577">
        <v>1</v>
      </c>
      <c r="AK406" s="577"/>
      <c r="AL406" s="577"/>
      <c r="AM406" s="577"/>
      <c r="AN406" s="562">
        <v>2.2000000000000002</v>
      </c>
      <c r="AO406" s="562">
        <f t="shared" si="67"/>
        <v>4.4000000000000004</v>
      </c>
      <c r="AP406" s="598">
        <v>0.140625</v>
      </c>
      <c r="AQ406" s="599">
        <v>3.5647058823529418</v>
      </c>
      <c r="AR406" s="599">
        <f t="shared" si="68"/>
        <v>0.83529411764705852</v>
      </c>
      <c r="AS406" s="600"/>
      <c r="AT406" s="600">
        <v>1</v>
      </c>
      <c r="AU406" s="577" t="s">
        <v>778</v>
      </c>
      <c r="AV406" s="577"/>
      <c r="AW406" s="562"/>
      <c r="AX406" s="562"/>
      <c r="AY406" s="562"/>
      <c r="AZ406" s="562"/>
      <c r="BA406" s="562"/>
      <c r="BB406" s="563"/>
      <c r="BD406" s="576">
        <v>6</v>
      </c>
      <c r="BF406" s="576"/>
      <c r="BG406" s="576"/>
      <c r="BH406" s="576"/>
      <c r="BI406" s="576">
        <v>1</v>
      </c>
      <c r="BJ406" s="576"/>
      <c r="BK406" s="576"/>
      <c r="BL406" s="576">
        <v>2.1</v>
      </c>
      <c r="BM406" s="576">
        <f t="shared" si="69"/>
        <v>4.2</v>
      </c>
      <c r="BN406" s="576"/>
      <c r="BO406" s="611">
        <v>3.806451612903226</v>
      </c>
      <c r="BP406" s="611">
        <f t="shared" si="70"/>
        <v>0.3935483870967742</v>
      </c>
      <c r="BQ406" s="612"/>
      <c r="BR406" s="612">
        <v>1</v>
      </c>
      <c r="BT406" s="576"/>
      <c r="DD406" s="561"/>
      <c r="DE406" s="562"/>
      <c r="DF406" s="577"/>
      <c r="DG406" s="577"/>
      <c r="DH406" s="577"/>
      <c r="DI406" s="577"/>
      <c r="DJ406" s="577"/>
      <c r="DK406" s="577"/>
      <c r="DL406" s="577"/>
      <c r="DM406" s="577"/>
      <c r="DN406" s="577"/>
      <c r="DO406" s="577"/>
      <c r="DP406" s="577"/>
      <c r="DQ406" s="600"/>
      <c r="DR406" s="600"/>
      <c r="DS406" s="577"/>
      <c r="DT406" s="577"/>
      <c r="DU406" s="577"/>
      <c r="DV406" s="577"/>
      <c r="DW406" s="577"/>
      <c r="DX406" s="577"/>
    </row>
    <row r="407" spans="16:128" s="560" customFormat="1">
      <c r="P407" s="561"/>
      <c r="Q407" s="562"/>
      <c r="R407" s="562"/>
      <c r="S407" s="562"/>
      <c r="T407" s="562"/>
      <c r="U407" s="562"/>
      <c r="V407" s="562"/>
      <c r="W407" s="562"/>
      <c r="X407" s="562"/>
      <c r="Y407" s="562"/>
      <c r="Z407" s="562"/>
      <c r="AA407" s="562"/>
      <c r="AB407" s="562"/>
      <c r="AC407" s="607" t="s">
        <v>804</v>
      </c>
      <c r="AD407" s="608" t="s">
        <v>805</v>
      </c>
      <c r="AE407" s="561"/>
      <c r="AF407" s="568">
        <v>27</v>
      </c>
      <c r="AG407" s="562"/>
      <c r="AH407" s="577"/>
      <c r="AI407" s="577"/>
      <c r="AJ407" s="577"/>
      <c r="AK407" s="577">
        <v>1</v>
      </c>
      <c r="AL407" s="577"/>
      <c r="AM407" s="577"/>
      <c r="AN407" s="562">
        <v>2.1</v>
      </c>
      <c r="AO407" s="562">
        <f t="shared" si="67"/>
        <v>4.2</v>
      </c>
      <c r="AP407" s="598">
        <v>0.140625</v>
      </c>
      <c r="AQ407" s="599">
        <v>3.5455882352941179</v>
      </c>
      <c r="AR407" s="599">
        <f t="shared" si="68"/>
        <v>0.65441176470588225</v>
      </c>
      <c r="AS407" s="600"/>
      <c r="AT407" s="600">
        <v>1</v>
      </c>
      <c r="AU407" s="577" t="s">
        <v>778</v>
      </c>
      <c r="AV407" s="577"/>
      <c r="AW407" s="562"/>
      <c r="AX407" s="562"/>
      <c r="AY407" s="562"/>
      <c r="AZ407" s="562"/>
      <c r="BA407" s="562"/>
      <c r="BB407" s="563"/>
      <c r="BD407" s="576">
        <v>7</v>
      </c>
      <c r="BF407" s="576"/>
      <c r="BG407" s="576"/>
      <c r="BH407" s="576"/>
      <c r="BI407" s="576">
        <v>1</v>
      </c>
      <c r="BJ407" s="576"/>
      <c r="BK407" s="576"/>
      <c r="BL407" s="576">
        <v>2.5</v>
      </c>
      <c r="BM407" s="576">
        <f t="shared" si="69"/>
        <v>5</v>
      </c>
      <c r="BN407" s="576"/>
      <c r="BO407" s="611">
        <v>3.8177419354838711</v>
      </c>
      <c r="BP407" s="611">
        <f t="shared" si="70"/>
        <v>1.1822580645161289</v>
      </c>
      <c r="BQ407" s="612"/>
      <c r="BR407" s="612">
        <v>1</v>
      </c>
      <c r="BT407" s="576"/>
      <c r="DD407" s="561"/>
      <c r="DE407" s="562"/>
      <c r="DF407" s="577"/>
      <c r="DG407" s="577"/>
      <c r="DH407" s="577"/>
      <c r="DI407" s="577"/>
      <c r="DJ407" s="577"/>
      <c r="DK407" s="577"/>
      <c r="DL407" s="577"/>
      <c r="DM407" s="577"/>
      <c r="DN407" s="577"/>
      <c r="DO407" s="577"/>
      <c r="DP407" s="577"/>
      <c r="DQ407" s="600"/>
      <c r="DR407" s="600"/>
      <c r="DS407" s="577"/>
      <c r="DT407" s="577"/>
      <c r="DU407" s="577"/>
      <c r="DV407" s="577"/>
      <c r="DW407" s="577"/>
      <c r="DX407" s="577"/>
    </row>
    <row r="408" spans="16:128" s="560" customFormat="1">
      <c r="P408" s="561"/>
      <c r="Q408" s="562"/>
      <c r="R408" s="562"/>
      <c r="S408" s="562"/>
      <c r="T408" s="562"/>
      <c r="U408" s="562"/>
      <c r="V408" s="562"/>
      <c r="W408" s="562"/>
      <c r="X408" s="562"/>
      <c r="Y408" s="562"/>
      <c r="Z408" s="562"/>
      <c r="AA408" s="562"/>
      <c r="AB408" s="562"/>
      <c r="AC408" s="607" t="s">
        <v>807</v>
      </c>
      <c r="AD408" s="608" t="s">
        <v>808</v>
      </c>
      <c r="AE408" s="561"/>
      <c r="AF408" s="568">
        <v>28</v>
      </c>
      <c r="AG408" s="562"/>
      <c r="AH408" s="577"/>
      <c r="AI408" s="577"/>
      <c r="AJ408" s="577"/>
      <c r="AK408" s="577">
        <v>1</v>
      </c>
      <c r="AL408" s="577"/>
      <c r="AM408" s="577"/>
      <c r="AN408" s="562">
        <v>2.2000000000000002</v>
      </c>
      <c r="AO408" s="562">
        <f t="shared" si="67"/>
        <v>4.4000000000000004</v>
      </c>
      <c r="AP408" s="598">
        <v>0.140625</v>
      </c>
      <c r="AQ408" s="599">
        <v>3.5264705882352945</v>
      </c>
      <c r="AR408" s="599">
        <f t="shared" si="68"/>
        <v>0.87352941176470589</v>
      </c>
      <c r="AS408" s="600"/>
      <c r="AT408" s="600">
        <v>1</v>
      </c>
      <c r="AU408" s="577" t="s">
        <v>778</v>
      </c>
      <c r="AV408" s="577"/>
      <c r="AW408" s="562"/>
      <c r="AX408" s="562"/>
      <c r="AY408" s="562"/>
      <c r="AZ408" s="562"/>
      <c r="BA408" s="562"/>
      <c r="BB408" s="563"/>
      <c r="BD408" s="576">
        <v>8</v>
      </c>
      <c r="BF408" s="576"/>
      <c r="BG408" s="576"/>
      <c r="BH408" s="576"/>
      <c r="BI408" s="576">
        <v>1</v>
      </c>
      <c r="BJ408" s="576"/>
      <c r="BK408" s="576"/>
      <c r="BL408" s="576">
        <v>2.2999999999999998</v>
      </c>
      <c r="BM408" s="576">
        <f t="shared" si="69"/>
        <v>4.5999999999999996</v>
      </c>
      <c r="BN408" s="576"/>
      <c r="BO408" s="611">
        <v>3.8290322580645162</v>
      </c>
      <c r="BP408" s="611">
        <f t="shared" si="70"/>
        <v>0.77096774193548345</v>
      </c>
      <c r="BQ408" s="612"/>
      <c r="BR408" s="612">
        <v>1</v>
      </c>
      <c r="BT408" s="576"/>
      <c r="DD408" s="561"/>
      <c r="DE408" s="562"/>
      <c r="DF408" s="577"/>
      <c r="DG408" s="577"/>
      <c r="DH408" s="577"/>
      <c r="DI408" s="577"/>
      <c r="DJ408" s="577"/>
      <c r="DK408" s="577"/>
      <c r="DL408" s="577"/>
      <c r="DM408" s="577"/>
      <c r="DN408" s="577"/>
      <c r="DO408" s="577"/>
      <c r="DP408" s="577"/>
      <c r="DQ408" s="600"/>
      <c r="DR408" s="600"/>
      <c r="DS408" s="577"/>
      <c r="DT408" s="577"/>
      <c r="DU408" s="577"/>
      <c r="DV408" s="577"/>
      <c r="DW408" s="577"/>
      <c r="DX408" s="577"/>
    </row>
    <row r="409" spans="16:128" s="560" customFormat="1">
      <c r="P409" s="561"/>
      <c r="Q409" s="562"/>
      <c r="R409" s="562"/>
      <c r="S409" s="562"/>
      <c r="T409" s="562"/>
      <c r="U409" s="562"/>
      <c r="V409" s="562"/>
      <c r="W409" s="562"/>
      <c r="X409" s="562"/>
      <c r="Y409" s="562"/>
      <c r="Z409" s="562"/>
      <c r="AA409" s="562"/>
      <c r="AB409" s="562"/>
      <c r="AC409" s="607" t="s">
        <v>810</v>
      </c>
      <c r="AD409" s="608" t="s">
        <v>550</v>
      </c>
      <c r="AE409" s="561"/>
      <c r="AF409" s="568">
        <v>29</v>
      </c>
      <c r="AG409" s="562"/>
      <c r="AH409" s="577">
        <v>0.25</v>
      </c>
      <c r="AI409" s="577" t="s">
        <v>793</v>
      </c>
      <c r="AJ409" s="577"/>
      <c r="AK409" s="577">
        <v>1</v>
      </c>
      <c r="AL409" s="577"/>
      <c r="AM409" s="577">
        <v>1</v>
      </c>
      <c r="AN409" s="562">
        <v>2.2000000000000002</v>
      </c>
      <c r="AO409" s="562">
        <f t="shared" si="67"/>
        <v>4.4000000000000004</v>
      </c>
      <c r="AP409" s="598">
        <v>0.140625</v>
      </c>
      <c r="AQ409" s="599">
        <v>3.507352941176471</v>
      </c>
      <c r="AR409" s="599">
        <f t="shared" si="68"/>
        <v>0.89264705882352935</v>
      </c>
      <c r="AS409" s="600"/>
      <c r="AT409" s="600">
        <v>1</v>
      </c>
      <c r="AU409" s="577" t="s">
        <v>778</v>
      </c>
      <c r="AV409" s="577">
        <v>2438</v>
      </c>
      <c r="AW409" s="562"/>
      <c r="AX409" s="562"/>
      <c r="AY409" s="562"/>
      <c r="AZ409" s="562"/>
      <c r="BA409" s="562"/>
      <c r="BB409" s="563"/>
      <c r="BD409" s="576">
        <v>9</v>
      </c>
      <c r="BF409" s="576"/>
      <c r="BG409" s="576"/>
      <c r="BH409" s="576"/>
      <c r="BI409" s="576">
        <v>1</v>
      </c>
      <c r="BJ409" s="576"/>
      <c r="BK409" s="576"/>
      <c r="BL409" s="576">
        <v>2.2000000000000002</v>
      </c>
      <c r="BM409" s="576">
        <f t="shared" si="69"/>
        <v>4.4000000000000004</v>
      </c>
      <c r="BN409" s="576"/>
      <c r="BO409" s="611">
        <v>3.8403225806451613</v>
      </c>
      <c r="BP409" s="611">
        <f t="shared" si="70"/>
        <v>0.55967741935483906</v>
      </c>
      <c r="BQ409" s="612"/>
      <c r="BR409" s="612">
        <v>1</v>
      </c>
      <c r="BT409" s="576"/>
      <c r="BV409" s="627" t="s">
        <v>806</v>
      </c>
      <c r="BW409" s="627">
        <f>COUNT(BP401:BP432)</f>
        <v>32</v>
      </c>
      <c r="DD409" s="561"/>
      <c r="DE409" s="562"/>
      <c r="DF409" s="577"/>
      <c r="DG409" s="577"/>
      <c r="DH409" s="577"/>
      <c r="DI409" s="577"/>
      <c r="DJ409" s="577"/>
      <c r="DK409" s="577"/>
      <c r="DL409" s="577"/>
      <c r="DM409" s="577"/>
      <c r="DN409" s="577"/>
      <c r="DO409" s="577"/>
      <c r="DP409" s="577"/>
      <c r="DQ409" s="600"/>
      <c r="DR409" s="600"/>
      <c r="DS409" s="577"/>
      <c r="DT409" s="577"/>
      <c r="DU409" s="577"/>
      <c r="DV409" s="577"/>
      <c r="DW409" s="577"/>
      <c r="DX409" s="577"/>
    </row>
    <row r="410" spans="16:128" s="560" customFormat="1">
      <c r="P410" s="561"/>
      <c r="Q410" s="562"/>
      <c r="R410" s="562"/>
      <c r="S410" s="562"/>
      <c r="T410" s="562"/>
      <c r="U410" s="562"/>
      <c r="V410" s="562"/>
      <c r="W410" s="562"/>
      <c r="X410" s="562"/>
      <c r="Y410" s="562"/>
      <c r="Z410" s="562"/>
      <c r="AA410" s="562"/>
      <c r="AB410" s="562"/>
      <c r="AC410" s="607" t="s">
        <v>813</v>
      </c>
      <c r="AD410" s="608" t="s">
        <v>552</v>
      </c>
      <c r="AE410" s="561"/>
      <c r="AF410" s="568">
        <v>30</v>
      </c>
      <c r="AG410" s="562"/>
      <c r="AH410" s="577">
        <v>1.6</v>
      </c>
      <c r="AI410" s="577" t="s">
        <v>793</v>
      </c>
      <c r="AJ410" s="577"/>
      <c r="AK410" s="577">
        <v>1</v>
      </c>
      <c r="AL410" s="577"/>
      <c r="AM410" s="577">
        <v>1</v>
      </c>
      <c r="AN410" s="562">
        <v>2.25</v>
      </c>
      <c r="AO410" s="562">
        <f t="shared" si="67"/>
        <v>4.5</v>
      </c>
      <c r="AP410" s="598">
        <v>0.140625</v>
      </c>
      <c r="AQ410" s="599">
        <v>3.4882352941176475</v>
      </c>
      <c r="AR410" s="599">
        <f t="shared" si="68"/>
        <v>1.0117647058823525</v>
      </c>
      <c r="AS410" s="600"/>
      <c r="AT410" s="600">
        <v>1</v>
      </c>
      <c r="AU410" s="577" t="s">
        <v>778</v>
      </c>
      <c r="AV410" s="577">
        <v>2439</v>
      </c>
      <c r="AW410" s="562"/>
      <c r="AX410" s="562"/>
      <c r="AY410" s="562"/>
      <c r="AZ410" s="562"/>
      <c r="BA410" s="562"/>
      <c r="BB410" s="563"/>
      <c r="BD410" s="576">
        <v>10</v>
      </c>
      <c r="BF410" s="576">
        <v>0.45</v>
      </c>
      <c r="BG410" s="576" t="s">
        <v>859</v>
      </c>
      <c r="BH410" s="576">
        <v>1</v>
      </c>
      <c r="BI410" s="576"/>
      <c r="BJ410" s="576"/>
      <c r="BK410" s="576"/>
      <c r="BL410" s="576">
        <v>2.4</v>
      </c>
      <c r="BM410" s="576">
        <f t="shared" si="69"/>
        <v>4.8</v>
      </c>
      <c r="BN410" s="576"/>
      <c r="BO410" s="611">
        <v>3.8516129032258064</v>
      </c>
      <c r="BP410" s="611">
        <f t="shared" si="70"/>
        <v>0.94838709677419342</v>
      </c>
      <c r="BQ410" s="612"/>
      <c r="BR410" s="612">
        <v>1</v>
      </c>
      <c r="BT410" s="576">
        <v>1553</v>
      </c>
      <c r="BV410" s="627" t="s">
        <v>812</v>
      </c>
      <c r="BW410" s="628">
        <f>SUM(BP401:BP432)</f>
        <v>30.179032258064517</v>
      </c>
      <c r="DD410" s="561"/>
      <c r="DE410" s="562"/>
      <c r="DF410" s="577"/>
      <c r="DG410" s="577"/>
      <c r="DH410" s="577"/>
      <c r="DI410" s="577"/>
      <c r="DJ410" s="577"/>
      <c r="DK410" s="577"/>
      <c r="DL410" s="577"/>
      <c r="DM410" s="577"/>
      <c r="DN410" s="577"/>
      <c r="DO410" s="577"/>
      <c r="DP410" s="577"/>
      <c r="DQ410" s="600"/>
      <c r="DR410" s="600"/>
      <c r="DS410" s="577"/>
      <c r="DT410" s="577"/>
      <c r="DU410" s="577"/>
      <c r="DV410" s="577"/>
      <c r="DW410" s="577"/>
      <c r="DX410" s="577"/>
    </row>
    <row r="411" spans="16:128" s="560" customFormat="1">
      <c r="P411" s="561"/>
      <c r="Q411" s="562"/>
      <c r="R411" s="562"/>
      <c r="S411" s="562"/>
      <c r="T411" s="562"/>
      <c r="U411" s="562"/>
      <c r="V411" s="562"/>
      <c r="W411" s="562"/>
      <c r="X411" s="562"/>
      <c r="Y411" s="562"/>
      <c r="Z411" s="562"/>
      <c r="AA411" s="562"/>
      <c r="AB411" s="562"/>
      <c r="AC411" s="607" t="s">
        <v>815</v>
      </c>
      <c r="AD411" s="608" t="s">
        <v>816</v>
      </c>
      <c r="AE411" s="561"/>
      <c r="AF411" s="568">
        <v>31</v>
      </c>
      <c r="AG411" s="562"/>
      <c r="AH411" s="577"/>
      <c r="AI411" s="577"/>
      <c r="AJ411" s="577"/>
      <c r="AK411" s="577">
        <v>1</v>
      </c>
      <c r="AL411" s="577"/>
      <c r="AM411" s="577"/>
      <c r="AN411" s="562">
        <v>1.9</v>
      </c>
      <c r="AO411" s="562">
        <f t="shared" si="67"/>
        <v>3.8</v>
      </c>
      <c r="AP411" s="598">
        <v>0.140625</v>
      </c>
      <c r="AQ411" s="599">
        <v>3.4691176470588241</v>
      </c>
      <c r="AR411" s="599">
        <f t="shared" si="68"/>
        <v>0.33088235294117574</v>
      </c>
      <c r="AS411" s="600"/>
      <c r="AT411" s="600">
        <v>1</v>
      </c>
      <c r="AU411" s="577" t="s">
        <v>778</v>
      </c>
      <c r="AV411" s="577"/>
      <c r="AW411" s="562"/>
      <c r="AX411" s="562"/>
      <c r="AY411" s="562"/>
      <c r="AZ411" s="562"/>
      <c r="BA411" s="562"/>
      <c r="BB411" s="563"/>
      <c r="BD411" s="576">
        <v>11</v>
      </c>
      <c r="BF411" s="576">
        <v>0.3</v>
      </c>
      <c r="BG411" s="576" t="s">
        <v>859</v>
      </c>
      <c r="BH411" s="576">
        <v>1</v>
      </c>
      <c r="BI411" s="576"/>
      <c r="BJ411" s="576"/>
      <c r="BK411" s="576"/>
      <c r="BL411" s="576">
        <v>2.4</v>
      </c>
      <c r="BM411" s="576">
        <f t="shared" si="69"/>
        <v>4.8</v>
      </c>
      <c r="BN411" s="576"/>
      <c r="BO411" s="611">
        <v>3.8629032258064515</v>
      </c>
      <c r="BP411" s="611">
        <f t="shared" si="70"/>
        <v>0.93709677419354831</v>
      </c>
      <c r="BQ411" s="612"/>
      <c r="BR411" s="612">
        <v>1</v>
      </c>
      <c r="BT411" s="576">
        <v>1552</v>
      </c>
      <c r="BV411" s="627" t="s">
        <v>811</v>
      </c>
      <c r="BW411" s="628">
        <f>MAX(BP401:BP432)</f>
        <v>2.024193548387097</v>
      </c>
      <c r="DD411" s="561"/>
      <c r="DE411" s="562"/>
      <c r="DF411" s="577"/>
      <c r="DG411" s="577"/>
      <c r="DH411" s="577"/>
      <c r="DI411" s="577"/>
      <c r="DJ411" s="577"/>
      <c r="DK411" s="577"/>
      <c r="DL411" s="577"/>
      <c r="DM411" s="577"/>
      <c r="DN411" s="577"/>
      <c r="DO411" s="577"/>
      <c r="DP411" s="577"/>
      <c r="DQ411" s="600"/>
      <c r="DR411" s="600"/>
      <c r="DS411" s="577"/>
      <c r="DT411" s="577"/>
      <c r="DU411" s="577"/>
      <c r="DV411" s="577"/>
      <c r="DW411" s="577"/>
      <c r="DX411" s="577"/>
    </row>
    <row r="412" spans="16:128" s="560" customFormat="1">
      <c r="P412" s="561"/>
      <c r="Q412" s="562"/>
      <c r="R412" s="562"/>
      <c r="S412" s="562"/>
      <c r="T412" s="562"/>
      <c r="U412" s="562"/>
      <c r="V412" s="562"/>
      <c r="W412" s="562"/>
      <c r="X412" s="562"/>
      <c r="Y412" s="562"/>
      <c r="Z412" s="562"/>
      <c r="AA412" s="562"/>
      <c r="AB412" s="562"/>
      <c r="AC412" s="562"/>
      <c r="AD412" s="563"/>
      <c r="AE412" s="561"/>
      <c r="AF412" s="568">
        <v>32</v>
      </c>
      <c r="AG412" s="562"/>
      <c r="AH412" s="577">
        <v>0.6</v>
      </c>
      <c r="AI412" s="577" t="s">
        <v>793</v>
      </c>
      <c r="AJ412" s="577"/>
      <c r="AK412" s="577">
        <v>1</v>
      </c>
      <c r="AL412" s="577"/>
      <c r="AM412" s="577">
        <v>1</v>
      </c>
      <c r="AN412" s="562">
        <v>2.1</v>
      </c>
      <c r="AO412" s="562">
        <f t="shared" si="67"/>
        <v>4.2</v>
      </c>
      <c r="AP412" s="598">
        <v>0.140625</v>
      </c>
      <c r="AQ412" s="599">
        <v>3.45</v>
      </c>
      <c r="AR412" s="599">
        <f t="shared" si="68"/>
        <v>0.75</v>
      </c>
      <c r="AS412" s="600"/>
      <c r="AT412" s="600">
        <v>1</v>
      </c>
      <c r="AU412" s="577" t="s">
        <v>778</v>
      </c>
      <c r="AV412" s="577">
        <v>2440</v>
      </c>
      <c r="AW412" s="562"/>
      <c r="AX412" s="562"/>
      <c r="AY412" s="562"/>
      <c r="AZ412" s="562"/>
      <c r="BA412" s="562"/>
      <c r="BB412" s="563"/>
      <c r="BD412" s="576">
        <v>12</v>
      </c>
      <c r="BF412" s="576"/>
      <c r="BG412" s="576"/>
      <c r="BH412" s="576"/>
      <c r="BI412" s="576">
        <v>1</v>
      </c>
      <c r="BJ412" s="576"/>
      <c r="BK412" s="576"/>
      <c r="BL412" s="576">
        <v>2.5</v>
      </c>
      <c r="BM412" s="576">
        <f t="shared" si="69"/>
        <v>5</v>
      </c>
      <c r="BN412" s="576"/>
      <c r="BO412" s="611">
        <v>3.8741935483870966</v>
      </c>
      <c r="BP412" s="611">
        <f t="shared" si="70"/>
        <v>1.1258064516129034</v>
      </c>
      <c r="BQ412" s="612"/>
      <c r="BR412" s="612">
        <v>1</v>
      </c>
      <c r="BT412" s="576"/>
      <c r="BV412" s="627" t="s">
        <v>814</v>
      </c>
      <c r="BW412" s="628">
        <f>MIN(BP401:BP432)</f>
        <v>-0.35000000000000009</v>
      </c>
      <c r="DD412" s="561"/>
      <c r="DE412" s="562"/>
      <c r="DF412" s="577"/>
      <c r="DG412" s="577"/>
      <c r="DH412" s="577"/>
      <c r="DI412" s="577"/>
      <c r="DJ412" s="577"/>
      <c r="DK412" s="577"/>
      <c r="DL412" s="577"/>
      <c r="DM412" s="577"/>
      <c r="DN412" s="577"/>
      <c r="DO412" s="577"/>
      <c r="DP412" s="577"/>
      <c r="DQ412" s="600"/>
      <c r="DR412" s="600"/>
      <c r="DS412" s="577"/>
      <c r="DT412" s="577"/>
      <c r="DU412" s="577"/>
      <c r="DV412" s="577"/>
      <c r="DW412" s="577"/>
      <c r="DX412" s="577"/>
    </row>
    <row r="413" spans="16:128" s="560" customFormat="1">
      <c r="P413" s="567">
        <v>41148</v>
      </c>
      <c r="Q413" s="568" t="s">
        <v>725</v>
      </c>
      <c r="R413" s="568"/>
      <c r="S413" s="568" t="s">
        <v>891</v>
      </c>
      <c r="T413" s="569" t="s">
        <v>727</v>
      </c>
      <c r="U413" s="569" t="s">
        <v>728</v>
      </c>
      <c r="V413" s="569" t="s">
        <v>729</v>
      </c>
      <c r="W413" s="569" t="s">
        <v>730</v>
      </c>
      <c r="X413" s="569" t="s">
        <v>731</v>
      </c>
      <c r="Y413" s="568"/>
      <c r="Z413" s="562"/>
      <c r="AA413" s="562"/>
      <c r="AB413" s="562"/>
      <c r="AC413" s="562"/>
      <c r="AD413" s="563"/>
      <c r="AE413" s="561"/>
      <c r="AF413" s="562"/>
      <c r="AG413" s="562"/>
      <c r="AH413" s="562"/>
      <c r="AI413" s="577"/>
      <c r="AJ413" s="632">
        <f>SUM(AJ377:AJ412)</f>
        <v>3</v>
      </c>
      <c r="AK413" s="632">
        <f>SUM(AK377:AK412)</f>
        <v>29</v>
      </c>
      <c r="AL413" s="633"/>
      <c r="AM413" s="634">
        <f>SUM(AM377:AM412)</f>
        <v>16</v>
      </c>
      <c r="AN413" s="562"/>
      <c r="AO413" s="635">
        <f>SUM(AO377:AO412)</f>
        <v>139.90000000000003</v>
      </c>
      <c r="AP413" s="606"/>
      <c r="AQ413" s="636">
        <f>SUM(AQ377:AQ412)</f>
        <v>120.76088235294117</v>
      </c>
      <c r="AR413" s="636">
        <f>SUM(AR377:AR412)</f>
        <v>19.139117647058825</v>
      </c>
      <c r="AS413" s="637">
        <f>SUM(AS377:AS412)</f>
        <v>2</v>
      </c>
      <c r="AT413" s="637">
        <f>SUM(AT377:AT412)</f>
        <v>30</v>
      </c>
      <c r="AU413" s="577"/>
      <c r="AV413" s="562"/>
      <c r="AW413" s="562"/>
      <c r="AX413" s="562"/>
      <c r="AY413" s="562"/>
      <c r="AZ413" s="562"/>
      <c r="BA413" s="562"/>
      <c r="BB413" s="563"/>
      <c r="BD413" s="576">
        <v>13</v>
      </c>
      <c r="BF413" s="576">
        <v>0.2</v>
      </c>
      <c r="BG413" s="576" t="s">
        <v>859</v>
      </c>
      <c r="BH413" s="576">
        <v>1</v>
      </c>
      <c r="BI413" s="576"/>
      <c r="BJ413" s="576"/>
      <c r="BK413" s="576"/>
      <c r="BL413" s="576">
        <v>2.6</v>
      </c>
      <c r="BM413" s="576">
        <f t="shared" si="69"/>
        <v>5.2</v>
      </c>
      <c r="BN413" s="576"/>
      <c r="BO413" s="611">
        <v>3.8854838709677417</v>
      </c>
      <c r="BP413" s="611">
        <f t="shared" si="70"/>
        <v>1.3145161290322585</v>
      </c>
      <c r="BQ413" s="612"/>
      <c r="BR413" s="612">
        <v>1</v>
      </c>
      <c r="BT413" s="576">
        <v>1551</v>
      </c>
      <c r="BV413" s="627" t="s">
        <v>817</v>
      </c>
      <c r="BW413" s="628">
        <f>AVERAGE(BP401:BP432)</f>
        <v>0.94309475806451615</v>
      </c>
      <c r="DD413" s="561"/>
      <c r="DE413" s="562"/>
      <c r="DF413" s="577"/>
      <c r="DG413" s="577"/>
      <c r="DH413" s="577"/>
      <c r="DI413" s="577"/>
      <c r="DJ413" s="577"/>
      <c r="DK413" s="577"/>
      <c r="DL413" s="577"/>
      <c r="DM413" s="577"/>
      <c r="DN413" s="577"/>
      <c r="DO413" s="577"/>
      <c r="DP413" s="577"/>
      <c r="DQ413" s="600"/>
      <c r="DR413" s="600"/>
      <c r="DS413" s="577"/>
      <c r="DT413" s="577"/>
      <c r="DU413" s="577"/>
      <c r="DV413" s="577"/>
      <c r="DW413" s="577"/>
      <c r="DX413" s="577"/>
    </row>
    <row r="414" spans="16:128" s="560" customFormat="1">
      <c r="P414" s="561"/>
      <c r="Q414" s="568"/>
      <c r="R414" s="568"/>
      <c r="S414" s="568"/>
      <c r="T414" s="569" t="s">
        <v>1086</v>
      </c>
      <c r="U414" s="569" t="s">
        <v>1087</v>
      </c>
      <c r="V414" s="577"/>
      <c r="W414" s="577"/>
      <c r="X414" s="569">
        <v>2483</v>
      </c>
      <c r="Y414" s="578" t="s">
        <v>1098</v>
      </c>
      <c r="Z414" s="562"/>
      <c r="AA414" s="562"/>
      <c r="AB414" s="562"/>
      <c r="AC414" s="562"/>
      <c r="AD414" s="563"/>
      <c r="AE414" s="567">
        <v>41162</v>
      </c>
      <c r="AF414" s="568" t="s">
        <v>725</v>
      </c>
      <c r="AG414" s="568"/>
      <c r="AH414" s="568" t="s">
        <v>726</v>
      </c>
      <c r="AI414" s="569" t="s">
        <v>727</v>
      </c>
      <c r="AJ414" s="569"/>
      <c r="AK414" s="569"/>
      <c r="AL414" s="569"/>
      <c r="AM414" s="569"/>
      <c r="AN414" s="569" t="s">
        <v>728</v>
      </c>
      <c r="AO414" s="569"/>
      <c r="AP414" s="569" t="s">
        <v>729</v>
      </c>
      <c r="AQ414" s="651"/>
      <c r="AR414" s="638">
        <f>+AR413/AO413</f>
        <v>0.13680570155152838</v>
      </c>
      <c r="AS414" s="639"/>
      <c r="AT414" s="639"/>
      <c r="AU414" s="569" t="s">
        <v>730</v>
      </c>
      <c r="AV414" s="569" t="s">
        <v>731</v>
      </c>
      <c r="AW414" s="568"/>
      <c r="AX414" s="562"/>
      <c r="AY414" s="562"/>
      <c r="AZ414" s="562"/>
      <c r="BA414" s="562"/>
      <c r="BB414" s="563"/>
      <c r="BD414" s="576">
        <v>14</v>
      </c>
      <c r="BF414" s="576"/>
      <c r="BG414" s="576"/>
      <c r="BH414" s="576"/>
      <c r="BI414" s="576">
        <v>1</v>
      </c>
      <c r="BJ414" s="576"/>
      <c r="BK414" s="576"/>
      <c r="BL414" s="576">
        <v>2.2999999999999998</v>
      </c>
      <c r="BM414" s="576">
        <f t="shared" si="69"/>
        <v>4.5999999999999996</v>
      </c>
      <c r="BN414" s="576"/>
      <c r="BO414" s="611">
        <v>3.8967741935483868</v>
      </c>
      <c r="BP414" s="611">
        <f t="shared" si="70"/>
        <v>0.70322580645161281</v>
      </c>
      <c r="BQ414" s="612"/>
      <c r="BR414" s="612">
        <v>1</v>
      </c>
      <c r="BT414" s="576"/>
      <c r="BV414" s="627" t="s">
        <v>818</v>
      </c>
      <c r="BW414" s="627" t="e">
        <f ca="1">_xlfn.STDEV.S(BP401:BP432)</f>
        <v>#NAME?</v>
      </c>
      <c r="DD414" s="561"/>
      <c r="DE414" s="562"/>
      <c r="DF414" s="577"/>
      <c r="DG414" s="577"/>
      <c r="DH414" s="577"/>
      <c r="DI414" s="577"/>
      <c r="DJ414" s="577"/>
      <c r="DK414" s="577"/>
      <c r="DL414" s="577"/>
      <c r="DM414" s="577"/>
      <c r="DN414" s="577"/>
      <c r="DO414" s="577"/>
      <c r="DP414" s="577"/>
      <c r="DQ414" s="600"/>
      <c r="DR414" s="600"/>
      <c r="DS414" s="577"/>
      <c r="DT414" s="577"/>
      <c r="DU414" s="577"/>
      <c r="DV414" s="577"/>
      <c r="DW414" s="577"/>
      <c r="DX414" s="577"/>
    </row>
    <row r="415" spans="16:128" s="560" customFormat="1">
      <c r="P415" s="561" t="s">
        <v>584</v>
      </c>
      <c r="Q415" s="583" t="s">
        <v>1089</v>
      </c>
      <c r="R415" s="578"/>
      <c r="S415" s="569"/>
      <c r="T415" s="568"/>
      <c r="U415" s="568"/>
      <c r="V415" s="569"/>
      <c r="W415" s="569"/>
      <c r="X415" s="569"/>
      <c r="Y415" s="569"/>
      <c r="Z415" s="562"/>
      <c r="AA415" s="562"/>
      <c r="AB415" s="562"/>
      <c r="AC415" s="562"/>
      <c r="AD415" s="563"/>
      <c r="AE415" s="561"/>
      <c r="AF415" s="568"/>
      <c r="AG415" s="568"/>
      <c r="AH415" s="568"/>
      <c r="AI415" s="577" t="s">
        <v>742</v>
      </c>
      <c r="AJ415" s="577"/>
      <c r="AK415" s="577"/>
      <c r="AL415" s="577"/>
      <c r="AM415" s="577"/>
      <c r="AN415" s="577" t="s">
        <v>1099</v>
      </c>
      <c r="AO415" s="577"/>
      <c r="AP415" s="577">
        <v>56</v>
      </c>
      <c r="AQ415" s="599"/>
      <c r="AR415" s="599"/>
      <c r="AS415" s="600"/>
      <c r="AT415" s="600"/>
      <c r="AU415" s="577">
        <v>48</v>
      </c>
      <c r="AV415" s="577"/>
      <c r="AW415" s="568"/>
      <c r="AX415" s="562"/>
      <c r="AY415" s="562"/>
      <c r="AZ415" s="562"/>
      <c r="BA415" s="562"/>
      <c r="BB415" s="563"/>
      <c r="BD415" s="576">
        <v>15</v>
      </c>
      <c r="BF415" s="576"/>
      <c r="BG415" s="576"/>
      <c r="BH415" s="576"/>
      <c r="BI415" s="576">
        <v>1</v>
      </c>
      <c r="BJ415" s="576"/>
      <c r="BK415" s="576"/>
      <c r="BL415" s="576">
        <v>2.35</v>
      </c>
      <c r="BM415" s="576">
        <f t="shared" si="69"/>
        <v>4.7</v>
      </c>
      <c r="BN415" s="576"/>
      <c r="BO415" s="611">
        <v>3.9080645161290319</v>
      </c>
      <c r="BP415" s="611">
        <f t="shared" si="70"/>
        <v>0.79193548387096824</v>
      </c>
      <c r="BQ415" s="612"/>
      <c r="BR415" s="612">
        <v>1</v>
      </c>
      <c r="BT415" s="576"/>
      <c r="DD415" s="561"/>
      <c r="DE415" s="562"/>
      <c r="DF415" s="577"/>
      <c r="DG415" s="577"/>
      <c r="DH415" s="577"/>
      <c r="DI415" s="577"/>
      <c r="DJ415" s="577"/>
      <c r="DK415" s="577"/>
      <c r="DL415" s="577"/>
      <c r="DM415" s="577"/>
      <c r="DN415" s="577"/>
      <c r="DO415" s="577"/>
      <c r="DP415" s="577"/>
      <c r="DQ415" s="600"/>
      <c r="DR415" s="600"/>
      <c r="DS415" s="577"/>
      <c r="DT415" s="577"/>
      <c r="DU415" s="577"/>
      <c r="DV415" s="577"/>
      <c r="DW415" s="577"/>
      <c r="DX415" s="577"/>
    </row>
    <row r="416" spans="16:128" s="560" customFormat="1">
      <c r="P416" s="587"/>
      <c r="Q416" s="588" t="s">
        <v>755</v>
      </c>
      <c r="R416" s="588" t="s">
        <v>756</v>
      </c>
      <c r="S416" s="588" t="s">
        <v>757</v>
      </c>
      <c r="T416" s="588" t="s">
        <v>758</v>
      </c>
      <c r="U416" s="588" t="s">
        <v>759</v>
      </c>
      <c r="V416" s="588" t="s">
        <v>760</v>
      </c>
      <c r="W416" s="588" t="s">
        <v>761</v>
      </c>
      <c r="X416" s="588" t="s">
        <v>762</v>
      </c>
      <c r="Y416" s="588" t="s">
        <v>763</v>
      </c>
      <c r="Z416" s="562"/>
      <c r="AA416" s="562"/>
      <c r="AB416" s="562"/>
      <c r="AC416" s="588" t="s">
        <v>764</v>
      </c>
      <c r="AD416" s="589"/>
      <c r="AE416" s="561" t="s">
        <v>1100</v>
      </c>
      <c r="AF416" s="583" t="s">
        <v>1101</v>
      </c>
      <c r="AG416" s="578"/>
      <c r="AH416" s="569"/>
      <c r="AI416" s="568"/>
      <c r="AJ416" s="568"/>
      <c r="AK416" s="568"/>
      <c r="AL416" s="568"/>
      <c r="AM416" s="568"/>
      <c r="AN416" s="568"/>
      <c r="AO416" s="568"/>
      <c r="AP416" s="569"/>
      <c r="AQ416" s="583" t="s">
        <v>1102</v>
      </c>
      <c r="AR416" s="651"/>
      <c r="AS416" s="639"/>
      <c r="AT416" s="639"/>
      <c r="AU416" s="569"/>
      <c r="AV416" s="577"/>
      <c r="AW416" s="569"/>
      <c r="AX416" s="562"/>
      <c r="AY416" s="562"/>
      <c r="AZ416" s="562"/>
      <c r="BA416" s="562"/>
      <c r="BB416" s="563"/>
      <c r="BD416" s="576">
        <v>16</v>
      </c>
      <c r="BF416" s="576"/>
      <c r="BG416" s="576"/>
      <c r="BH416" s="576"/>
      <c r="BI416" s="576">
        <v>1</v>
      </c>
      <c r="BJ416" s="576"/>
      <c r="BK416" s="576"/>
      <c r="BL416" s="576">
        <v>2.5</v>
      </c>
      <c r="BM416" s="576">
        <f t="shared" si="69"/>
        <v>5</v>
      </c>
      <c r="BN416" s="576"/>
      <c r="BO416" s="611">
        <v>3.9193548387096775</v>
      </c>
      <c r="BP416" s="611">
        <f t="shared" si="70"/>
        <v>1.0806451612903225</v>
      </c>
      <c r="BQ416" s="612"/>
      <c r="BR416" s="612">
        <v>1</v>
      </c>
      <c r="BT416" s="576"/>
      <c r="DD416" s="561"/>
      <c r="DE416" s="562"/>
      <c r="DF416" s="577"/>
      <c r="DG416" s="577"/>
      <c r="DH416" s="577"/>
      <c r="DI416" s="577"/>
      <c r="DJ416" s="577"/>
      <c r="DK416" s="577"/>
      <c r="DL416" s="577"/>
      <c r="DM416" s="577"/>
      <c r="DN416" s="577"/>
      <c r="DO416" s="577"/>
      <c r="DP416" s="577"/>
      <c r="DQ416" s="600"/>
      <c r="DR416" s="600"/>
      <c r="DS416" s="577"/>
      <c r="DT416" s="577"/>
      <c r="DU416" s="577"/>
      <c r="DV416" s="577"/>
      <c r="DW416" s="577"/>
      <c r="DX416" s="577"/>
    </row>
    <row r="417" spans="17:128" s="560" customFormat="1">
      <c r="Q417" s="562"/>
      <c r="R417" s="568">
        <v>0.65</v>
      </c>
      <c r="S417" s="562"/>
      <c r="T417" s="562"/>
      <c r="U417" s="562"/>
      <c r="V417" s="562"/>
      <c r="W417" s="562"/>
      <c r="X417" s="629"/>
      <c r="Y417" s="562"/>
      <c r="Z417" s="562"/>
      <c r="AA417" s="562"/>
      <c r="AB417" s="562"/>
      <c r="AC417" s="577"/>
      <c r="AD417" s="589"/>
      <c r="AE417" s="587"/>
      <c r="AF417" s="588" t="s">
        <v>755</v>
      </c>
      <c r="AG417" s="588" t="s">
        <v>756</v>
      </c>
      <c r="AH417" s="590" t="s">
        <v>757</v>
      </c>
      <c r="AI417" s="590" t="s">
        <v>758</v>
      </c>
      <c r="AJ417" s="590" t="s">
        <v>765</v>
      </c>
      <c r="AK417" s="590" t="s">
        <v>766</v>
      </c>
      <c r="AL417" s="591" t="s">
        <v>767</v>
      </c>
      <c r="AM417" s="592" t="s">
        <v>768</v>
      </c>
      <c r="AN417" s="588" t="s">
        <v>759</v>
      </c>
      <c r="AO417" s="593" t="s">
        <v>769</v>
      </c>
      <c r="AP417" s="588" t="s">
        <v>760</v>
      </c>
      <c r="AQ417" s="663" t="s">
        <v>770</v>
      </c>
      <c r="AR417" s="663" t="s">
        <v>771</v>
      </c>
      <c r="AS417" s="595" t="s">
        <v>772</v>
      </c>
      <c r="AT417" s="595" t="s">
        <v>773</v>
      </c>
      <c r="AU417" s="588" t="s">
        <v>761</v>
      </c>
      <c r="AV417" s="588" t="s">
        <v>762</v>
      </c>
      <c r="AW417" s="588" t="s">
        <v>763</v>
      </c>
      <c r="AX417" s="562"/>
      <c r="AY417" s="562"/>
      <c r="AZ417" s="562"/>
      <c r="BA417" s="588" t="s">
        <v>764</v>
      </c>
      <c r="BB417" s="589"/>
      <c r="BD417" s="576">
        <v>17</v>
      </c>
      <c r="BF417" s="576"/>
      <c r="BG417" s="576"/>
      <c r="BH417" s="576"/>
      <c r="BI417" s="576">
        <v>1</v>
      </c>
      <c r="BJ417" s="576"/>
      <c r="BK417" s="576"/>
      <c r="BL417" s="576">
        <v>2.5</v>
      </c>
      <c r="BM417" s="576">
        <f t="shared" si="69"/>
        <v>5</v>
      </c>
      <c r="BN417" s="576"/>
      <c r="BO417" s="611">
        <v>3.9306451612903226</v>
      </c>
      <c r="BP417" s="611">
        <f t="shared" si="70"/>
        <v>1.0693548387096774</v>
      </c>
      <c r="BQ417" s="612"/>
      <c r="BR417" s="612">
        <v>1</v>
      </c>
      <c r="BT417" s="576"/>
      <c r="DD417" s="561"/>
      <c r="DE417" s="562"/>
      <c r="DF417" s="577"/>
      <c r="DG417" s="577"/>
      <c r="DH417" s="577"/>
      <c r="DI417" s="577"/>
      <c r="DJ417" s="577"/>
      <c r="DK417" s="577"/>
      <c r="DL417" s="577"/>
      <c r="DM417" s="577"/>
      <c r="DN417" s="577"/>
      <c r="DO417" s="577"/>
      <c r="DP417" s="577"/>
      <c r="DQ417" s="600"/>
      <c r="DR417" s="600"/>
      <c r="DS417" s="577"/>
      <c r="DT417" s="577"/>
      <c r="DU417" s="577"/>
      <c r="DV417" s="577"/>
      <c r="DW417" s="577"/>
      <c r="DX417" s="577"/>
    </row>
    <row r="418" spans="17:128" s="560" customFormat="1">
      <c r="Q418" s="562"/>
      <c r="R418" s="562">
        <v>0.7</v>
      </c>
      <c r="S418" s="562"/>
      <c r="T418" s="562"/>
      <c r="U418" s="562"/>
      <c r="V418" s="562"/>
      <c r="W418" s="562"/>
      <c r="X418" s="629"/>
      <c r="Y418" s="562"/>
      <c r="Z418" s="562"/>
      <c r="AA418" s="562"/>
      <c r="AB418" s="562"/>
      <c r="AC418" s="607" t="s">
        <v>780</v>
      </c>
      <c r="AD418" s="608" t="s">
        <v>616</v>
      </c>
      <c r="AE418" s="561"/>
      <c r="AF418" s="568">
        <v>1</v>
      </c>
      <c r="AG418" s="562"/>
      <c r="AH418" s="577">
        <v>0.5</v>
      </c>
      <c r="AI418" s="577" t="s">
        <v>127</v>
      </c>
      <c r="AJ418" s="577">
        <v>1</v>
      </c>
      <c r="AK418" s="577"/>
      <c r="AL418" s="577"/>
      <c r="AM418" s="577"/>
      <c r="AN418" s="562">
        <v>2.5</v>
      </c>
      <c r="AO418" s="562">
        <f>AN418+AN418</f>
        <v>5</v>
      </c>
      <c r="AP418" s="598">
        <v>0.140625</v>
      </c>
      <c r="AQ418" s="599">
        <v>4.34</v>
      </c>
      <c r="AR418" s="599">
        <f>AO418-AQ418</f>
        <v>0.66000000000000014</v>
      </c>
      <c r="AS418" s="600"/>
      <c r="AT418" s="600">
        <v>1</v>
      </c>
      <c r="AU418" s="577" t="s">
        <v>778</v>
      </c>
      <c r="AV418" s="584">
        <v>2540</v>
      </c>
      <c r="AW418" s="562"/>
      <c r="AX418" s="562"/>
      <c r="AY418" s="562"/>
      <c r="AZ418" s="562"/>
      <c r="BA418" s="577"/>
      <c r="BB418" s="589"/>
      <c r="BD418" s="576">
        <v>18</v>
      </c>
      <c r="BF418" s="576"/>
      <c r="BG418" s="576"/>
      <c r="BH418" s="576"/>
      <c r="BI418" s="576">
        <v>1</v>
      </c>
      <c r="BJ418" s="576"/>
      <c r="BK418" s="576"/>
      <c r="BL418" s="576">
        <v>2.2999999999999998</v>
      </c>
      <c r="BM418" s="576">
        <f t="shared" si="69"/>
        <v>4.5999999999999996</v>
      </c>
      <c r="BN418" s="576"/>
      <c r="BO418" s="611">
        <v>3.9419354838709677</v>
      </c>
      <c r="BP418" s="611">
        <f t="shared" si="70"/>
        <v>0.65806451612903194</v>
      </c>
      <c r="BQ418" s="612"/>
      <c r="BR418" s="612">
        <v>1</v>
      </c>
      <c r="BT418" s="576"/>
      <c r="DD418" s="561"/>
      <c r="DE418" s="562"/>
      <c r="DF418" s="577"/>
      <c r="DG418" s="577"/>
      <c r="DH418" s="577"/>
      <c r="DI418" s="577"/>
      <c r="DJ418" s="577"/>
      <c r="DK418" s="577"/>
      <c r="DL418" s="577"/>
      <c r="DM418" s="577"/>
      <c r="DN418" s="577"/>
      <c r="DO418" s="577"/>
      <c r="DP418" s="577"/>
      <c r="DQ418" s="600"/>
      <c r="DR418" s="600"/>
      <c r="DS418" s="577"/>
      <c r="DT418" s="577"/>
      <c r="DU418" s="577"/>
      <c r="DV418" s="577"/>
      <c r="DW418" s="577"/>
      <c r="DX418" s="577"/>
    </row>
    <row r="419" spans="17:128" s="560" customFormat="1">
      <c r="Q419" s="562"/>
      <c r="R419" s="562">
        <v>0.6</v>
      </c>
      <c r="S419" s="562"/>
      <c r="T419" s="562"/>
      <c r="U419" s="562"/>
      <c r="V419" s="562"/>
      <c r="W419" s="562"/>
      <c r="X419" s="629"/>
      <c r="Y419" s="562"/>
      <c r="Z419" s="562"/>
      <c r="AA419" s="562"/>
      <c r="AB419" s="562"/>
      <c r="AC419" s="607" t="s">
        <v>785</v>
      </c>
      <c r="AD419" s="608" t="s">
        <v>542</v>
      </c>
      <c r="AE419" s="561"/>
      <c r="AF419" s="568" t="s">
        <v>1033</v>
      </c>
      <c r="AG419" s="562"/>
      <c r="AH419" s="577">
        <v>0.15</v>
      </c>
      <c r="AI419" s="577" t="s">
        <v>777</v>
      </c>
      <c r="AJ419" s="577"/>
      <c r="AK419" s="577"/>
      <c r="AL419" s="577"/>
      <c r="AM419" s="577"/>
      <c r="AN419" s="562"/>
      <c r="AO419" s="562"/>
      <c r="AP419" s="598"/>
      <c r="AQ419" s="599"/>
      <c r="AR419" s="599"/>
      <c r="AS419" s="600"/>
      <c r="AT419" s="600"/>
      <c r="AU419" s="577"/>
      <c r="AV419" s="609">
        <v>2542</v>
      </c>
      <c r="AW419" s="562"/>
      <c r="AX419" s="562"/>
      <c r="AY419" s="562"/>
      <c r="AZ419" s="562"/>
      <c r="BA419" s="607" t="s">
        <v>780</v>
      </c>
      <c r="BB419" s="608" t="s">
        <v>616</v>
      </c>
      <c r="BD419" s="576">
        <v>19</v>
      </c>
      <c r="BF419" s="576"/>
      <c r="BG419" s="576"/>
      <c r="BH419" s="576"/>
      <c r="BI419" s="576">
        <v>1</v>
      </c>
      <c r="BJ419" s="576"/>
      <c r="BK419" s="576"/>
      <c r="BL419" s="576">
        <v>2.5</v>
      </c>
      <c r="BM419" s="576">
        <f t="shared" si="69"/>
        <v>5</v>
      </c>
      <c r="BN419" s="576"/>
      <c r="BO419" s="611">
        <v>3.9532258064516128</v>
      </c>
      <c r="BP419" s="611">
        <f t="shared" si="70"/>
        <v>1.0467741935483872</v>
      </c>
      <c r="BQ419" s="612"/>
      <c r="BR419" s="612">
        <v>1</v>
      </c>
      <c r="BT419" s="576"/>
      <c r="DD419" s="561"/>
      <c r="DE419" s="562"/>
      <c r="DF419" s="577"/>
      <c r="DG419" s="577"/>
      <c r="DH419" s="577"/>
      <c r="DI419" s="577"/>
      <c r="DJ419" s="577"/>
      <c r="DK419" s="577"/>
      <c r="DL419" s="577"/>
      <c r="DM419" s="577"/>
      <c r="DN419" s="577"/>
      <c r="DO419" s="577"/>
      <c r="DP419" s="577"/>
      <c r="DQ419" s="600"/>
      <c r="DR419" s="600"/>
      <c r="DS419" s="577"/>
      <c r="DT419" s="577"/>
      <c r="DU419" s="577"/>
      <c r="DV419" s="577"/>
      <c r="DW419" s="577"/>
      <c r="DX419" s="577"/>
    </row>
    <row r="420" spans="17:128" s="560" customFormat="1">
      <c r="Q420" s="562"/>
      <c r="R420" s="562">
        <v>0.6</v>
      </c>
      <c r="S420" s="562"/>
      <c r="T420" s="562"/>
      <c r="U420" s="562"/>
      <c r="V420" s="562"/>
      <c r="W420" s="562"/>
      <c r="X420" s="629"/>
      <c r="Y420" s="562"/>
      <c r="Z420" s="562"/>
      <c r="AA420" s="562"/>
      <c r="AB420" s="562"/>
      <c r="AC420" s="607" t="s">
        <v>789</v>
      </c>
      <c r="AD420" s="608" t="s">
        <v>790</v>
      </c>
      <c r="AE420" s="561"/>
      <c r="AF420" s="568" t="s">
        <v>778</v>
      </c>
      <c r="AG420" s="562"/>
      <c r="AH420" s="577">
        <v>0.15</v>
      </c>
      <c r="AI420" s="577" t="s">
        <v>778</v>
      </c>
      <c r="AJ420" s="577"/>
      <c r="AK420" s="577"/>
      <c r="AL420" s="577"/>
      <c r="AM420" s="577"/>
      <c r="AN420" s="562"/>
      <c r="AO420" s="562"/>
      <c r="AP420" s="598"/>
      <c r="AQ420" s="599"/>
      <c r="AR420" s="599"/>
      <c r="AS420" s="600"/>
      <c r="AT420" s="600"/>
      <c r="AU420" s="577"/>
      <c r="AV420" s="584">
        <v>2543</v>
      </c>
      <c r="AW420" s="562"/>
      <c r="AX420" s="562"/>
      <c r="AY420" s="562"/>
      <c r="AZ420" s="562"/>
      <c r="BA420" s="607" t="s">
        <v>785</v>
      </c>
      <c r="BB420" s="608" t="s">
        <v>542</v>
      </c>
      <c r="BD420" s="576">
        <v>20</v>
      </c>
      <c r="BF420" s="576"/>
      <c r="BG420" s="576"/>
      <c r="BH420" s="576"/>
      <c r="BI420" s="576">
        <v>1</v>
      </c>
      <c r="BJ420" s="576"/>
      <c r="BK420" s="576"/>
      <c r="BL420" s="576">
        <v>2.6</v>
      </c>
      <c r="BM420" s="576">
        <f t="shared" si="69"/>
        <v>5.2</v>
      </c>
      <c r="BN420" s="576"/>
      <c r="BO420" s="611">
        <v>3.9645161290322579</v>
      </c>
      <c r="BP420" s="611">
        <f t="shared" si="70"/>
        <v>1.2354838709677423</v>
      </c>
      <c r="BQ420" s="612"/>
      <c r="BR420" s="612">
        <v>1</v>
      </c>
      <c r="BT420" s="576"/>
      <c r="DD420" s="561"/>
      <c r="DE420" s="562"/>
      <c r="DF420" s="577"/>
      <c r="DG420" s="577"/>
      <c r="DH420" s="577"/>
      <c r="DI420" s="577"/>
      <c r="DJ420" s="577"/>
      <c r="DK420" s="577"/>
      <c r="DL420" s="577"/>
      <c r="DM420" s="577"/>
      <c r="DN420" s="577"/>
      <c r="DO420" s="577"/>
      <c r="DP420" s="577"/>
      <c r="DQ420" s="600"/>
      <c r="DR420" s="600"/>
      <c r="DS420" s="577"/>
      <c r="DT420" s="577"/>
      <c r="DU420" s="577"/>
      <c r="DV420" s="577"/>
      <c r="DW420" s="577"/>
      <c r="DX420" s="577"/>
    </row>
    <row r="421" spans="17:128" s="560" customFormat="1">
      <c r="Q421" s="562"/>
      <c r="R421" s="562">
        <v>0.5</v>
      </c>
      <c r="S421" s="562"/>
      <c r="T421" s="562"/>
      <c r="U421" s="562"/>
      <c r="V421" s="562"/>
      <c r="W421" s="562"/>
      <c r="X421" s="629"/>
      <c r="Y421" s="562"/>
      <c r="Z421" s="562"/>
      <c r="AA421" s="562"/>
      <c r="AB421" s="562"/>
      <c r="AC421" s="607" t="s">
        <v>791</v>
      </c>
      <c r="AD421" s="608" t="s">
        <v>792</v>
      </c>
      <c r="AE421" s="561"/>
      <c r="AF421" s="568">
        <v>1.5</v>
      </c>
      <c r="AG421" s="562"/>
      <c r="AH421" s="577">
        <v>5.2</v>
      </c>
      <c r="AI421" s="577" t="s">
        <v>793</v>
      </c>
      <c r="AJ421" s="577"/>
      <c r="AK421" s="577"/>
      <c r="AL421" s="577"/>
      <c r="AM421" s="577">
        <v>1</v>
      </c>
      <c r="AN421" s="562"/>
      <c r="AO421" s="562"/>
      <c r="AP421" s="598"/>
      <c r="AQ421" s="599"/>
      <c r="AR421" s="599"/>
      <c r="AS421" s="600"/>
      <c r="AT421" s="600"/>
      <c r="AU421" s="577"/>
      <c r="AV421" s="584">
        <v>2544</v>
      </c>
      <c r="AW421" s="562"/>
      <c r="AX421" s="562"/>
      <c r="AY421" s="562"/>
      <c r="AZ421" s="562"/>
      <c r="BA421" s="607" t="s">
        <v>789</v>
      </c>
      <c r="BB421" s="608" t="s">
        <v>790</v>
      </c>
      <c r="BD421" s="576">
        <v>21</v>
      </c>
      <c r="BF421" s="576"/>
      <c r="BG421" s="576"/>
      <c r="BH421" s="576"/>
      <c r="BI421" s="576">
        <v>1</v>
      </c>
      <c r="BJ421" s="576"/>
      <c r="BK421" s="576"/>
      <c r="BL421" s="576">
        <v>3</v>
      </c>
      <c r="BM421" s="576">
        <f t="shared" si="69"/>
        <v>6</v>
      </c>
      <c r="BN421" s="576"/>
      <c r="BO421" s="611">
        <v>3.975806451612903</v>
      </c>
      <c r="BP421" s="611">
        <f t="shared" si="70"/>
        <v>2.024193548387097</v>
      </c>
      <c r="BQ421" s="612"/>
      <c r="BR421" s="612">
        <v>1</v>
      </c>
      <c r="BT421" s="576"/>
      <c r="DD421" s="561"/>
      <c r="DE421" s="562"/>
      <c r="DF421" s="577"/>
      <c r="DG421" s="577"/>
      <c r="DH421" s="577"/>
      <c r="DI421" s="577"/>
      <c r="DJ421" s="577"/>
      <c r="DK421" s="577"/>
      <c r="DL421" s="577"/>
      <c r="DM421" s="577"/>
      <c r="DN421" s="577"/>
      <c r="DO421" s="577"/>
      <c r="DP421" s="577"/>
      <c r="DQ421" s="600"/>
      <c r="DR421" s="600"/>
      <c r="DS421" s="577"/>
      <c r="DT421" s="577"/>
      <c r="DU421" s="577"/>
      <c r="DV421" s="577"/>
      <c r="DW421" s="577"/>
      <c r="DX421" s="577"/>
    </row>
    <row r="422" spans="17:128" s="560" customFormat="1">
      <c r="Q422" s="562"/>
      <c r="R422" s="562">
        <v>0.5</v>
      </c>
      <c r="S422" s="562"/>
      <c r="T422" s="562"/>
      <c r="U422" s="562"/>
      <c r="V422" s="562"/>
      <c r="W422" s="562"/>
      <c r="X422" s="562"/>
      <c r="Y422" s="562"/>
      <c r="Z422" s="562"/>
      <c r="AA422" s="562"/>
      <c r="AB422" s="562"/>
      <c r="AC422" s="607" t="s">
        <v>794</v>
      </c>
      <c r="AD422" s="608" t="s">
        <v>795</v>
      </c>
      <c r="AE422" s="561"/>
      <c r="AF422" s="562">
        <v>2</v>
      </c>
      <c r="AG422" s="562"/>
      <c r="AH422" s="577"/>
      <c r="AI422" s="577"/>
      <c r="AJ422" s="577"/>
      <c r="AK422" s="577">
        <v>1</v>
      </c>
      <c r="AL422" s="577"/>
      <c r="AM422" s="577"/>
      <c r="AN422" s="562">
        <v>2.4</v>
      </c>
      <c r="AO422" s="562">
        <f>AN422+AN422</f>
        <v>4.8</v>
      </c>
      <c r="AP422" s="598">
        <v>0.140625</v>
      </c>
      <c r="AQ422" s="599">
        <v>4.3083720930232561</v>
      </c>
      <c r="AR422" s="599">
        <f>AO422-AQ422</f>
        <v>0.49162790697674374</v>
      </c>
      <c r="AS422" s="600"/>
      <c r="AT422" s="600">
        <v>1</v>
      </c>
      <c r="AU422" s="577" t="s">
        <v>778</v>
      </c>
      <c r="AV422" s="584"/>
      <c r="AW422" s="562"/>
      <c r="AX422" s="562"/>
      <c r="AY422" s="562"/>
      <c r="AZ422" s="562"/>
      <c r="BA422" s="607" t="s">
        <v>791</v>
      </c>
      <c r="BB422" s="608" t="s">
        <v>792</v>
      </c>
      <c r="BD422" s="576">
        <v>22</v>
      </c>
      <c r="BF422" s="576"/>
      <c r="BG422" s="576"/>
      <c r="BH422" s="576"/>
      <c r="BI422" s="576">
        <v>1</v>
      </c>
      <c r="BJ422" s="576"/>
      <c r="BK422" s="576"/>
      <c r="BL422" s="576">
        <v>2.5</v>
      </c>
      <c r="BM422" s="576">
        <f t="shared" si="69"/>
        <v>5</v>
      </c>
      <c r="BN422" s="576"/>
      <c r="BO422" s="611">
        <v>3.9870967741935481</v>
      </c>
      <c r="BP422" s="611">
        <f t="shared" si="70"/>
        <v>1.0129032258064519</v>
      </c>
      <c r="BQ422" s="612"/>
      <c r="BR422" s="612">
        <v>1</v>
      </c>
      <c r="BT422" s="576"/>
      <c r="DD422" s="561"/>
      <c r="DE422" s="562"/>
      <c r="DF422" s="577"/>
      <c r="DG422" s="577"/>
      <c r="DH422" s="577"/>
      <c r="DI422" s="577"/>
      <c r="DJ422" s="577"/>
      <c r="DK422" s="577"/>
      <c r="DL422" s="577"/>
      <c r="DM422" s="577"/>
      <c r="DN422" s="577"/>
      <c r="DO422" s="577"/>
      <c r="DP422" s="577"/>
      <c r="DQ422" s="600"/>
      <c r="DR422" s="600"/>
      <c r="DS422" s="577"/>
      <c r="DT422" s="577"/>
      <c r="DU422" s="577"/>
      <c r="DV422" s="577"/>
      <c r="DW422" s="577"/>
      <c r="DX422" s="577"/>
    </row>
    <row r="423" spans="17:128" s="560" customFormat="1">
      <c r="Q423" s="562" t="s">
        <v>821</v>
      </c>
      <c r="R423" s="562"/>
      <c r="S423" s="562"/>
      <c r="T423" s="562"/>
      <c r="U423" s="562"/>
      <c r="V423" s="562"/>
      <c r="W423" s="562"/>
      <c r="X423" s="562"/>
      <c r="Y423" s="562"/>
      <c r="Z423" s="562"/>
      <c r="AA423" s="562"/>
      <c r="AB423" s="562"/>
      <c r="AC423" s="607" t="s">
        <v>798</v>
      </c>
      <c r="AD423" s="608" t="s">
        <v>546</v>
      </c>
      <c r="AE423" s="561"/>
      <c r="AF423" s="568">
        <v>3</v>
      </c>
      <c r="AG423" s="562"/>
      <c r="AH423" s="577"/>
      <c r="AI423" s="577"/>
      <c r="AJ423" s="577"/>
      <c r="AK423" s="577">
        <v>1</v>
      </c>
      <c r="AL423" s="577"/>
      <c r="AM423" s="577"/>
      <c r="AN423" s="562">
        <v>2.5</v>
      </c>
      <c r="AO423" s="562">
        <f>AN423+AN423</f>
        <v>5</v>
      </c>
      <c r="AP423" s="598">
        <v>0.140625</v>
      </c>
      <c r="AQ423" s="599">
        <v>4.3004651162790699</v>
      </c>
      <c r="AR423" s="599">
        <f>AO423-AQ423</f>
        <v>0.69953488372093009</v>
      </c>
      <c r="AS423" s="600"/>
      <c r="AT423" s="600">
        <v>1</v>
      </c>
      <c r="AU423" s="577" t="s">
        <v>778</v>
      </c>
      <c r="AV423" s="577"/>
      <c r="AW423" s="562"/>
      <c r="AX423" s="562"/>
      <c r="AY423" s="562"/>
      <c r="AZ423" s="562"/>
      <c r="BA423" s="607" t="s">
        <v>794</v>
      </c>
      <c r="BB423" s="608" t="s">
        <v>795</v>
      </c>
      <c r="BD423" s="576">
        <v>23</v>
      </c>
      <c r="BF423" s="576"/>
      <c r="BG423" s="576"/>
      <c r="BH423" s="576"/>
      <c r="BI423" s="576">
        <v>1</v>
      </c>
      <c r="BJ423" s="576"/>
      <c r="BK423" s="576"/>
      <c r="BL423" s="576">
        <v>2.2999999999999998</v>
      </c>
      <c r="BM423" s="576">
        <f t="shared" si="69"/>
        <v>4.5999999999999996</v>
      </c>
      <c r="BN423" s="576"/>
      <c r="BO423" s="611">
        <v>3.9983870967741932</v>
      </c>
      <c r="BP423" s="611">
        <f t="shared" si="70"/>
        <v>0.60161290322580641</v>
      </c>
      <c r="BQ423" s="612"/>
      <c r="BR423" s="612">
        <v>1</v>
      </c>
      <c r="BT423" s="576"/>
      <c r="DD423" s="561"/>
      <c r="DE423" s="562"/>
      <c r="DF423" s="577"/>
      <c r="DG423" s="577"/>
      <c r="DH423" s="577"/>
      <c r="DI423" s="577"/>
      <c r="DJ423" s="577"/>
      <c r="DK423" s="577"/>
      <c r="DL423" s="577"/>
      <c r="DM423" s="577"/>
      <c r="DN423" s="577"/>
      <c r="DO423" s="577"/>
      <c r="DP423" s="577"/>
      <c r="DQ423" s="600"/>
      <c r="DR423" s="600"/>
      <c r="DS423" s="577"/>
      <c r="DT423" s="577"/>
      <c r="DU423" s="577"/>
      <c r="DV423" s="577"/>
      <c r="DW423" s="577"/>
      <c r="DX423" s="577"/>
    </row>
    <row r="424" spans="17:128" s="560" customFormat="1">
      <c r="Q424" s="562"/>
      <c r="R424" s="562">
        <v>0.6</v>
      </c>
      <c r="S424" s="562"/>
      <c r="T424" s="562"/>
      <c r="U424" s="562"/>
      <c r="V424" s="562"/>
      <c r="W424" s="562"/>
      <c r="X424" s="562"/>
      <c r="Y424" s="562"/>
      <c r="Z424" s="562"/>
      <c r="AA424" s="562"/>
      <c r="AB424" s="562"/>
      <c r="AC424" s="607" t="s">
        <v>800</v>
      </c>
      <c r="AD424" s="608" t="s">
        <v>801</v>
      </c>
      <c r="AE424" s="561"/>
      <c r="AF424" s="568">
        <v>4</v>
      </c>
      <c r="AG424" s="562"/>
      <c r="AH424" s="577">
        <v>0.2</v>
      </c>
      <c r="AI424" s="577" t="s">
        <v>802</v>
      </c>
      <c r="AJ424" s="577"/>
      <c r="AK424" s="577">
        <v>1</v>
      </c>
      <c r="AL424" s="577">
        <v>1</v>
      </c>
      <c r="AM424" s="577"/>
      <c r="AN424" s="562">
        <v>2.25</v>
      </c>
      <c r="AO424" s="562">
        <f>AN424+AN424</f>
        <v>4.5</v>
      </c>
      <c r="AP424" s="598">
        <v>0.140625</v>
      </c>
      <c r="AQ424" s="599">
        <v>4.2925581395348837</v>
      </c>
      <c r="AR424" s="599">
        <f>AO424-AQ424</f>
        <v>0.20744186046511626</v>
      </c>
      <c r="AS424" s="600"/>
      <c r="AT424" s="600">
        <v>1</v>
      </c>
      <c r="AU424" s="577" t="s">
        <v>778</v>
      </c>
      <c r="AV424" s="577">
        <v>2545</v>
      </c>
      <c r="AW424" s="562"/>
      <c r="AX424" s="562"/>
      <c r="AY424" s="562"/>
      <c r="AZ424" s="562"/>
      <c r="BA424" s="607" t="s">
        <v>798</v>
      </c>
      <c r="BB424" s="608" t="s">
        <v>546</v>
      </c>
      <c r="BD424" s="576">
        <v>24</v>
      </c>
      <c r="BF424" s="576"/>
      <c r="BG424" s="576"/>
      <c r="BH424" s="576"/>
      <c r="BI424" s="576">
        <v>1</v>
      </c>
      <c r="BJ424" s="576"/>
      <c r="BK424" s="576"/>
      <c r="BL424" s="576">
        <v>2.2999999999999998</v>
      </c>
      <c r="BM424" s="576">
        <f t="shared" si="69"/>
        <v>4.5999999999999996</v>
      </c>
      <c r="BN424" s="576"/>
      <c r="BO424" s="611">
        <v>4.0096774193548388</v>
      </c>
      <c r="BP424" s="611">
        <f t="shared" si="70"/>
        <v>0.59032258064516085</v>
      </c>
      <c r="BQ424" s="612"/>
      <c r="BR424" s="612">
        <v>1</v>
      </c>
      <c r="BT424" s="576"/>
      <c r="DD424" s="561"/>
      <c r="DE424" s="562"/>
      <c r="DF424" s="577"/>
      <c r="DG424" s="577"/>
      <c r="DH424" s="577"/>
      <c r="DI424" s="577"/>
      <c r="DJ424" s="577"/>
      <c r="DK424" s="577"/>
      <c r="DL424" s="577"/>
      <c r="DM424" s="577"/>
      <c r="DN424" s="577"/>
      <c r="DO424" s="577"/>
      <c r="DP424" s="577"/>
      <c r="DQ424" s="600"/>
      <c r="DR424" s="600"/>
      <c r="DS424" s="577"/>
      <c r="DT424" s="577"/>
      <c r="DU424" s="577"/>
      <c r="DV424" s="577"/>
      <c r="DW424" s="577"/>
      <c r="DX424" s="577"/>
    </row>
    <row r="425" spans="17:128" s="560" customFormat="1">
      <c r="Q425" s="562"/>
      <c r="R425" s="562">
        <v>0.55000000000000004</v>
      </c>
      <c r="S425" s="562"/>
      <c r="T425" s="562"/>
      <c r="U425" s="562"/>
      <c r="V425" s="562"/>
      <c r="W425" s="562"/>
      <c r="X425" s="562"/>
      <c r="Y425" s="562"/>
      <c r="Z425" s="562"/>
      <c r="AA425" s="562"/>
      <c r="AB425" s="562"/>
      <c r="AC425" s="607" t="s">
        <v>804</v>
      </c>
      <c r="AD425" s="608" t="s">
        <v>805</v>
      </c>
      <c r="AE425" s="561"/>
      <c r="AF425" s="568">
        <v>5</v>
      </c>
      <c r="AG425" s="562"/>
      <c r="AH425" s="577"/>
      <c r="AI425" s="577"/>
      <c r="AJ425" s="577"/>
      <c r="AK425" s="577">
        <v>1</v>
      </c>
      <c r="AL425" s="577"/>
      <c r="AM425" s="577"/>
      <c r="AN425" s="562">
        <v>2.25</v>
      </c>
      <c r="AO425" s="562">
        <f>AN425+AN425</f>
        <v>4.5</v>
      </c>
      <c r="AP425" s="598">
        <v>0.140625</v>
      </c>
      <c r="AQ425" s="599">
        <v>4.2846511627906976</v>
      </c>
      <c r="AR425" s="599">
        <f>AO425-AQ425</f>
        <v>0.21534883720930242</v>
      </c>
      <c r="AS425" s="600"/>
      <c r="AT425" s="600">
        <v>1</v>
      </c>
      <c r="AU425" s="577" t="s">
        <v>778</v>
      </c>
      <c r="AV425" s="577"/>
      <c r="AW425" s="562"/>
      <c r="AX425" s="562"/>
      <c r="AY425" s="562"/>
      <c r="AZ425" s="562"/>
      <c r="BA425" s="607" t="s">
        <v>800</v>
      </c>
      <c r="BB425" s="608" t="s">
        <v>801</v>
      </c>
      <c r="BD425" s="576">
        <v>25</v>
      </c>
      <c r="BF425" s="576">
        <v>0.7</v>
      </c>
      <c r="BG425" s="576" t="s">
        <v>859</v>
      </c>
      <c r="BH425" s="576">
        <v>1</v>
      </c>
      <c r="BI425" s="576"/>
      <c r="BJ425" s="576"/>
      <c r="BK425" s="576"/>
      <c r="BL425" s="576">
        <v>2.2000000000000002</v>
      </c>
      <c r="BM425" s="576">
        <f t="shared" si="69"/>
        <v>4.4000000000000004</v>
      </c>
      <c r="BN425" s="576" t="s">
        <v>797</v>
      </c>
      <c r="BO425" s="611">
        <v>3.2</v>
      </c>
      <c r="BP425" s="611">
        <f t="shared" si="70"/>
        <v>1.2000000000000002</v>
      </c>
      <c r="BQ425" s="612">
        <v>1</v>
      </c>
      <c r="BR425" s="612"/>
      <c r="BT425" s="576">
        <v>1550</v>
      </c>
      <c r="DD425" s="561"/>
      <c r="DE425" s="562"/>
      <c r="DF425" s="577"/>
      <c r="DG425" s="577"/>
      <c r="DH425" s="577"/>
      <c r="DI425" s="577"/>
      <c r="DJ425" s="577"/>
      <c r="DK425" s="577"/>
      <c r="DL425" s="577"/>
      <c r="DM425" s="577"/>
      <c r="DN425" s="577"/>
      <c r="DO425" s="577"/>
      <c r="DP425" s="577"/>
      <c r="DQ425" s="600"/>
      <c r="DR425" s="600"/>
      <c r="DS425" s="577"/>
      <c r="DT425" s="577"/>
      <c r="DU425" s="577"/>
      <c r="DV425" s="577"/>
      <c r="DW425" s="577"/>
      <c r="DX425" s="577"/>
    </row>
    <row r="426" spans="17:128" s="560" customFormat="1">
      <c r="Q426" s="562"/>
      <c r="R426" s="562">
        <v>0.6</v>
      </c>
      <c r="S426" s="562"/>
      <c r="T426" s="562"/>
      <c r="U426" s="562"/>
      <c r="V426" s="562"/>
      <c r="W426" s="562"/>
      <c r="X426" s="562"/>
      <c r="Y426" s="562"/>
      <c r="Z426" s="562"/>
      <c r="AA426" s="562"/>
      <c r="AB426" s="562"/>
      <c r="AC426" s="607" t="s">
        <v>807</v>
      </c>
      <c r="AD426" s="608" t="s">
        <v>808</v>
      </c>
      <c r="AE426" s="561"/>
      <c r="AF426" s="568">
        <v>5.0999999999999996</v>
      </c>
      <c r="AG426" s="562"/>
      <c r="AH426" s="577">
        <v>1.2</v>
      </c>
      <c r="AI426" s="577" t="s">
        <v>793</v>
      </c>
      <c r="AJ426" s="577"/>
      <c r="AK426" s="577"/>
      <c r="AL426" s="577"/>
      <c r="AM426" s="577">
        <v>1</v>
      </c>
      <c r="AN426" s="562"/>
      <c r="AO426" s="562"/>
      <c r="AP426" s="598"/>
      <c r="AQ426" s="599"/>
      <c r="AR426" s="599"/>
      <c r="AS426" s="600"/>
      <c r="AT426" s="600"/>
      <c r="AU426" s="577"/>
      <c r="AV426" s="577">
        <v>2546</v>
      </c>
      <c r="AW426" s="562"/>
      <c r="AX426" s="562"/>
      <c r="AY426" s="562"/>
      <c r="AZ426" s="562"/>
      <c r="BA426" s="607" t="s">
        <v>804</v>
      </c>
      <c r="BB426" s="608" t="s">
        <v>805</v>
      </c>
      <c r="BD426" s="576">
        <v>26</v>
      </c>
      <c r="BF426" s="576">
        <v>0.1</v>
      </c>
      <c r="BG426" s="576" t="s">
        <v>859</v>
      </c>
      <c r="BH426" s="576">
        <v>1</v>
      </c>
      <c r="BI426" s="576"/>
      <c r="BJ426" s="576"/>
      <c r="BK426" s="576"/>
      <c r="BL426" s="576">
        <v>2</v>
      </c>
      <c r="BM426" s="576">
        <f t="shared" si="69"/>
        <v>4</v>
      </c>
      <c r="BN426" s="576" t="s">
        <v>797</v>
      </c>
      <c r="BO426" s="611">
        <v>3.22</v>
      </c>
      <c r="BP426" s="611">
        <f t="shared" si="70"/>
        <v>0.7799999999999998</v>
      </c>
      <c r="BQ426" s="612">
        <v>1</v>
      </c>
      <c r="BR426" s="612"/>
      <c r="BT426" s="576">
        <v>1549</v>
      </c>
      <c r="DD426" s="561"/>
      <c r="DE426" s="562"/>
      <c r="DF426" s="577"/>
      <c r="DG426" s="577"/>
      <c r="DH426" s="577"/>
      <c r="DI426" s="577"/>
      <c r="DJ426" s="577"/>
      <c r="DK426" s="577"/>
      <c r="DL426" s="577"/>
      <c r="DM426" s="577"/>
      <c r="DN426" s="577"/>
      <c r="DO426" s="577"/>
      <c r="DP426" s="577"/>
      <c r="DQ426" s="600"/>
      <c r="DR426" s="600"/>
      <c r="DS426" s="577"/>
      <c r="DT426" s="577"/>
      <c r="DU426" s="577"/>
      <c r="DV426" s="577"/>
      <c r="DW426" s="577"/>
      <c r="DX426" s="577"/>
    </row>
    <row r="427" spans="17:128" s="560" customFormat="1">
      <c r="Q427" s="562"/>
      <c r="R427" s="562">
        <v>0.5</v>
      </c>
      <c r="S427" s="562"/>
      <c r="T427" s="562"/>
      <c r="U427" s="562"/>
      <c r="V427" s="562"/>
      <c r="W427" s="562"/>
      <c r="X427" s="562"/>
      <c r="Y427" s="562"/>
      <c r="Z427" s="562"/>
      <c r="AA427" s="562"/>
      <c r="AB427" s="562"/>
      <c r="AC427" s="607" t="s">
        <v>810</v>
      </c>
      <c r="AD427" s="608" t="s">
        <v>550</v>
      </c>
      <c r="AE427" s="561"/>
      <c r="AF427" s="568">
        <v>5.2</v>
      </c>
      <c r="AG427" s="562"/>
      <c r="AH427" s="577">
        <v>0.1</v>
      </c>
      <c r="AI427" s="577" t="s">
        <v>793</v>
      </c>
      <c r="AJ427" s="577"/>
      <c r="AK427" s="577"/>
      <c r="AL427" s="577"/>
      <c r="AM427" s="577">
        <v>1</v>
      </c>
      <c r="AN427" s="562"/>
      <c r="AO427" s="562"/>
      <c r="AP427" s="598"/>
      <c r="AQ427" s="599"/>
      <c r="AR427" s="599"/>
      <c r="AS427" s="600"/>
      <c r="AT427" s="600"/>
      <c r="AU427" s="577"/>
      <c r="AV427" s="577">
        <v>2547</v>
      </c>
      <c r="AW427" s="562"/>
      <c r="AX427" s="562"/>
      <c r="AY427" s="562"/>
      <c r="AZ427" s="562"/>
      <c r="BA427" s="607" t="s">
        <v>807</v>
      </c>
      <c r="BB427" s="608" t="s">
        <v>808</v>
      </c>
      <c r="BD427" s="576">
        <v>27</v>
      </c>
      <c r="BF427" s="576">
        <v>0.3</v>
      </c>
      <c r="BG427" s="576" t="s">
        <v>859</v>
      </c>
      <c r="BH427" s="576">
        <v>1</v>
      </c>
      <c r="BI427" s="576"/>
      <c r="BJ427" s="576"/>
      <c r="BK427" s="576"/>
      <c r="BL427" s="576">
        <v>2</v>
      </c>
      <c r="BM427" s="576">
        <f t="shared" si="69"/>
        <v>4</v>
      </c>
      <c r="BN427" s="576" t="s">
        <v>797</v>
      </c>
      <c r="BO427" s="611">
        <v>3.2399999999999998</v>
      </c>
      <c r="BP427" s="611">
        <f t="shared" si="70"/>
        <v>0.76000000000000023</v>
      </c>
      <c r="BQ427" s="612">
        <v>1</v>
      </c>
      <c r="BR427" s="612"/>
      <c r="BT427" s="576">
        <v>1548</v>
      </c>
      <c r="DD427" s="561"/>
      <c r="DE427" s="562"/>
      <c r="DF427" s="577"/>
      <c r="DG427" s="577"/>
      <c r="DH427" s="577"/>
      <c r="DI427" s="577"/>
      <c r="DJ427" s="577"/>
      <c r="DK427" s="577"/>
      <c r="DL427" s="577"/>
      <c r="DM427" s="577"/>
      <c r="DN427" s="577"/>
      <c r="DO427" s="577"/>
      <c r="DP427" s="577"/>
      <c r="DQ427" s="600"/>
      <c r="DR427" s="600"/>
      <c r="DS427" s="577"/>
      <c r="DT427" s="577"/>
      <c r="DU427" s="577"/>
      <c r="DV427" s="577"/>
      <c r="DW427" s="577"/>
      <c r="DX427" s="577"/>
    </row>
    <row r="428" spans="17:128" s="560" customFormat="1">
      <c r="Q428" s="562"/>
      <c r="R428" s="562">
        <v>0.6</v>
      </c>
      <c r="S428" s="562"/>
      <c r="T428" s="562"/>
      <c r="U428" s="562"/>
      <c r="V428" s="562"/>
      <c r="W428" s="562"/>
      <c r="X428" s="562"/>
      <c r="Y428" s="562"/>
      <c r="Z428" s="562"/>
      <c r="AA428" s="562"/>
      <c r="AB428" s="562"/>
      <c r="AC428" s="607" t="s">
        <v>813</v>
      </c>
      <c r="AD428" s="608" t="s">
        <v>552</v>
      </c>
      <c r="AE428" s="561"/>
      <c r="AF428" s="568">
        <v>6</v>
      </c>
      <c r="AG428" s="562"/>
      <c r="AH428" s="577">
        <v>0.1</v>
      </c>
      <c r="AI428" s="577" t="s">
        <v>777</v>
      </c>
      <c r="AJ428" s="577">
        <v>1</v>
      </c>
      <c r="AK428" s="577"/>
      <c r="AL428" s="577"/>
      <c r="AM428" s="577"/>
      <c r="AN428" s="562">
        <v>2.4</v>
      </c>
      <c r="AO428" s="562">
        <f>AN428+AN428</f>
        <v>4.8</v>
      </c>
      <c r="AP428" s="598">
        <v>0.140625</v>
      </c>
      <c r="AQ428" s="599">
        <v>4.26093023255814</v>
      </c>
      <c r="AR428" s="599">
        <f>AO428-AQ428</f>
        <v>0.53906976744185986</v>
      </c>
      <c r="AS428" s="600"/>
      <c r="AT428" s="600">
        <v>1</v>
      </c>
      <c r="AU428" s="577" t="s">
        <v>778</v>
      </c>
      <c r="AV428" s="577">
        <v>2548</v>
      </c>
      <c r="AW428" s="562"/>
      <c r="AX428" s="562"/>
      <c r="AY428" s="562"/>
      <c r="AZ428" s="562"/>
      <c r="BA428" s="607" t="s">
        <v>810</v>
      </c>
      <c r="BB428" s="608" t="s">
        <v>550</v>
      </c>
      <c r="BD428" s="576">
        <v>28</v>
      </c>
      <c r="BF428" s="576">
        <v>0.1</v>
      </c>
      <c r="BG428" s="576" t="s">
        <v>777</v>
      </c>
      <c r="BH428" s="576">
        <v>1</v>
      </c>
      <c r="BI428" s="576"/>
      <c r="BJ428" s="576"/>
      <c r="BK428" s="576"/>
      <c r="BL428" s="576">
        <v>2.4</v>
      </c>
      <c r="BM428" s="576">
        <f t="shared" si="69"/>
        <v>4.8</v>
      </c>
      <c r="BN428" s="576" t="s">
        <v>797</v>
      </c>
      <c r="BO428" s="611">
        <v>3.26</v>
      </c>
      <c r="BP428" s="611">
        <f t="shared" si="70"/>
        <v>1.54</v>
      </c>
      <c r="BQ428" s="612">
        <v>1</v>
      </c>
      <c r="BR428" s="612"/>
      <c r="BT428" s="576">
        <v>1547</v>
      </c>
      <c r="DD428" s="561"/>
      <c r="DE428" s="562"/>
      <c r="DF428" s="577"/>
      <c r="DG428" s="577"/>
      <c r="DH428" s="577"/>
      <c r="DI428" s="577"/>
      <c r="DJ428" s="577"/>
      <c r="DK428" s="577"/>
      <c r="DL428" s="577"/>
      <c r="DM428" s="577"/>
      <c r="DN428" s="577"/>
      <c r="DO428" s="577"/>
      <c r="DP428" s="577"/>
      <c r="DQ428" s="600"/>
      <c r="DR428" s="600"/>
      <c r="DS428" s="577"/>
      <c r="DT428" s="577"/>
      <c r="DU428" s="577"/>
      <c r="DV428" s="577"/>
      <c r="DW428" s="577"/>
      <c r="DX428" s="577"/>
    </row>
    <row r="429" spans="17:128" s="560" customFormat="1">
      <c r="Q429" s="562"/>
      <c r="R429" s="562">
        <v>0.65</v>
      </c>
      <c r="S429" s="562"/>
      <c r="T429" s="562"/>
      <c r="U429" s="562"/>
      <c r="V429" s="562"/>
      <c r="W429" s="562"/>
      <c r="X429" s="562"/>
      <c r="Y429" s="562"/>
      <c r="Z429" s="562"/>
      <c r="AA429" s="562"/>
      <c r="AB429" s="562"/>
      <c r="AC429" s="607" t="s">
        <v>815</v>
      </c>
      <c r="AD429" s="608" t="s">
        <v>816</v>
      </c>
      <c r="AE429" s="561"/>
      <c r="AF429" s="568">
        <v>6.1</v>
      </c>
      <c r="AG429" s="562"/>
      <c r="AH429" s="577" t="s">
        <v>1103</v>
      </c>
      <c r="AI429" s="577" t="s">
        <v>793</v>
      </c>
      <c r="AJ429" s="577"/>
      <c r="AK429" s="577"/>
      <c r="AL429" s="577"/>
      <c r="AM429" s="577"/>
      <c r="AN429" s="562"/>
      <c r="AO429" s="562"/>
      <c r="AP429" s="598"/>
      <c r="AQ429" s="599"/>
      <c r="AR429" s="599"/>
      <c r="AS429" s="600"/>
      <c r="AT429" s="600"/>
      <c r="AU429" s="577"/>
      <c r="AV429" s="577">
        <v>2549</v>
      </c>
      <c r="AW429" s="562"/>
      <c r="AX429" s="562"/>
      <c r="AY429" s="562"/>
      <c r="AZ429" s="562"/>
      <c r="BA429" s="607" t="s">
        <v>813</v>
      </c>
      <c r="BB429" s="608" t="s">
        <v>552</v>
      </c>
      <c r="BD429" s="576">
        <v>29</v>
      </c>
      <c r="BF429" s="576">
        <v>0.2</v>
      </c>
      <c r="BG429" s="576" t="s">
        <v>859</v>
      </c>
      <c r="BH429" s="576">
        <v>1</v>
      </c>
      <c r="BI429" s="576"/>
      <c r="BJ429" s="576"/>
      <c r="BK429" s="576"/>
      <c r="BL429" s="576">
        <v>2.2000000000000002</v>
      </c>
      <c r="BM429" s="576">
        <f t="shared" si="69"/>
        <v>4.4000000000000004</v>
      </c>
      <c r="BN429" s="576" t="s">
        <v>797</v>
      </c>
      <c r="BO429" s="611">
        <v>3.28</v>
      </c>
      <c r="BP429" s="611">
        <f t="shared" si="70"/>
        <v>1.1200000000000006</v>
      </c>
      <c r="BQ429" s="612">
        <v>1</v>
      </c>
      <c r="BR429" s="612"/>
      <c r="BT429" s="576">
        <v>1546</v>
      </c>
      <c r="DD429" s="561"/>
      <c r="DE429" s="562"/>
      <c r="DF429" s="577"/>
      <c r="DG429" s="577"/>
      <c r="DH429" s="577"/>
      <c r="DI429" s="577"/>
      <c r="DJ429" s="577"/>
      <c r="DK429" s="577"/>
      <c r="DL429" s="577"/>
      <c r="DM429" s="577"/>
      <c r="DN429" s="577"/>
      <c r="DO429" s="577"/>
      <c r="DP429" s="577"/>
      <c r="DQ429" s="600"/>
      <c r="DR429" s="600"/>
      <c r="DS429" s="577"/>
      <c r="DT429" s="577"/>
      <c r="DU429" s="577"/>
      <c r="DV429" s="577"/>
      <c r="DW429" s="577"/>
      <c r="DX429" s="577"/>
    </row>
    <row r="430" spans="17:128" s="560" customFormat="1">
      <c r="Q430" s="562"/>
      <c r="R430" s="562">
        <v>0.55000000000000004</v>
      </c>
      <c r="S430" s="562"/>
      <c r="T430" s="562"/>
      <c r="U430" s="562"/>
      <c r="V430" s="562"/>
      <c r="W430" s="562"/>
      <c r="X430" s="562"/>
      <c r="Y430" s="562"/>
      <c r="Z430" s="562"/>
      <c r="AA430" s="562"/>
      <c r="AB430" s="562"/>
      <c r="AC430" s="562"/>
      <c r="AD430" s="563"/>
      <c r="AE430" s="561"/>
      <c r="AF430" s="568">
        <v>7</v>
      </c>
      <c r="AG430" s="562"/>
      <c r="AH430" s="577">
        <v>0.2</v>
      </c>
      <c r="AI430" s="577" t="s">
        <v>778</v>
      </c>
      <c r="AJ430" s="577">
        <v>1</v>
      </c>
      <c r="AK430" s="577"/>
      <c r="AL430" s="577"/>
      <c r="AM430" s="577"/>
      <c r="AN430" s="562">
        <v>2.1</v>
      </c>
      <c r="AO430" s="562">
        <f>AN430+AN430</f>
        <v>4.2</v>
      </c>
      <c r="AP430" s="598">
        <v>0.140625</v>
      </c>
      <c r="AQ430" s="599">
        <v>4.2451162790697676</v>
      </c>
      <c r="AR430" s="599">
        <f>AO430-AQ430</f>
        <v>-4.5116279069767451E-2</v>
      </c>
      <c r="AS430" s="600"/>
      <c r="AT430" s="600">
        <v>1</v>
      </c>
      <c r="AU430" s="577" t="s">
        <v>778</v>
      </c>
      <c r="AV430" s="577">
        <v>2550</v>
      </c>
      <c r="AW430" s="562"/>
      <c r="AX430" s="562"/>
      <c r="AY430" s="562"/>
      <c r="AZ430" s="562"/>
      <c r="BA430" s="607" t="s">
        <v>815</v>
      </c>
      <c r="BB430" s="608" t="s">
        <v>816</v>
      </c>
      <c r="BD430" s="576">
        <v>30</v>
      </c>
      <c r="BF430" s="576">
        <v>0.3</v>
      </c>
      <c r="BG430" s="576" t="s">
        <v>859</v>
      </c>
      <c r="BH430" s="576">
        <v>1</v>
      </c>
      <c r="BI430" s="576"/>
      <c r="BJ430" s="576"/>
      <c r="BK430" s="576"/>
      <c r="BL430" s="576">
        <v>2.2999999999999998</v>
      </c>
      <c r="BM430" s="576">
        <f t="shared" si="69"/>
        <v>4.5999999999999996</v>
      </c>
      <c r="BN430" s="576" t="s">
        <v>797</v>
      </c>
      <c r="BO430" s="611">
        <v>3.3</v>
      </c>
      <c r="BP430" s="611">
        <f t="shared" si="70"/>
        <v>1.2999999999999998</v>
      </c>
      <c r="BQ430" s="612">
        <v>1</v>
      </c>
      <c r="BR430" s="612"/>
      <c r="BT430" s="576">
        <v>1545</v>
      </c>
      <c r="DD430" s="561"/>
      <c r="DE430" s="562"/>
      <c r="DF430" s="577"/>
      <c r="DG430" s="577"/>
      <c r="DH430" s="577"/>
      <c r="DI430" s="577"/>
      <c r="DJ430" s="577"/>
      <c r="DK430" s="577"/>
      <c r="DL430" s="577"/>
      <c r="DM430" s="577"/>
      <c r="DN430" s="577"/>
      <c r="DO430" s="577"/>
      <c r="DP430" s="577"/>
      <c r="DQ430" s="600"/>
      <c r="DR430" s="600"/>
      <c r="DS430" s="577"/>
      <c r="DT430" s="577"/>
      <c r="DU430" s="577"/>
      <c r="DV430" s="577"/>
      <c r="DW430" s="577"/>
      <c r="DX430" s="577"/>
    </row>
    <row r="431" spans="17:128" s="560" customFormat="1">
      <c r="Q431" s="562"/>
      <c r="R431" s="562">
        <v>0.65</v>
      </c>
      <c r="S431" s="562"/>
      <c r="T431" s="562"/>
      <c r="U431" s="562"/>
      <c r="V431" s="562"/>
      <c r="W431" s="562"/>
      <c r="X431" s="562"/>
      <c r="Y431" s="562"/>
      <c r="Z431" s="562"/>
      <c r="AA431" s="562"/>
      <c r="AB431" s="562"/>
      <c r="AC431" s="562"/>
      <c r="AD431" s="563"/>
      <c r="AE431" s="561"/>
      <c r="AF431" s="568">
        <v>7.5</v>
      </c>
      <c r="AG431" s="562"/>
      <c r="AH431" s="577">
        <v>0.3</v>
      </c>
      <c r="AI431" s="577" t="s">
        <v>793</v>
      </c>
      <c r="AJ431" s="577"/>
      <c r="AK431" s="577"/>
      <c r="AL431" s="577"/>
      <c r="AM431" s="577">
        <v>1</v>
      </c>
      <c r="AN431" s="562">
        <v>2.25</v>
      </c>
      <c r="AO431" s="562">
        <f>AN431+AN431</f>
        <v>4.5</v>
      </c>
      <c r="AP431" s="598">
        <v>0.140625</v>
      </c>
      <c r="AQ431" s="599">
        <v>4.2372093023255815</v>
      </c>
      <c r="AR431" s="599">
        <f>AO431-AQ431</f>
        <v>0.26279069767441854</v>
      </c>
      <c r="AS431" s="600"/>
      <c r="AT431" s="600">
        <v>1</v>
      </c>
      <c r="AU431" s="577" t="s">
        <v>778</v>
      </c>
      <c r="AV431" s="577">
        <v>2551</v>
      </c>
      <c r="AW431" s="562"/>
      <c r="AX431" s="562"/>
      <c r="AY431" s="562"/>
      <c r="AZ431" s="562"/>
      <c r="BA431" s="562"/>
      <c r="BB431" s="563"/>
      <c r="BD431" s="576">
        <v>31</v>
      </c>
      <c r="BF431" s="576"/>
      <c r="BG431" s="576"/>
      <c r="BH431" s="576"/>
      <c r="BI431" s="576">
        <v>1</v>
      </c>
      <c r="BJ431" s="576"/>
      <c r="BK431" s="576"/>
      <c r="BL431" s="576">
        <v>2.2999999999999998</v>
      </c>
      <c r="BM431" s="576">
        <f t="shared" si="69"/>
        <v>4.5999999999999996</v>
      </c>
      <c r="BN431" s="576"/>
      <c r="BO431" s="611">
        <v>4.0887096774193541</v>
      </c>
      <c r="BP431" s="611">
        <f t="shared" si="70"/>
        <v>0.51129032258064555</v>
      </c>
      <c r="BQ431" s="612"/>
      <c r="BR431" s="612">
        <v>1</v>
      </c>
      <c r="DD431" s="561"/>
      <c r="DE431" s="562"/>
      <c r="DF431" s="577"/>
      <c r="DG431" s="577"/>
      <c r="DH431" s="577"/>
      <c r="DI431" s="577"/>
      <c r="DJ431" s="577"/>
      <c r="DK431" s="577"/>
      <c r="DL431" s="577"/>
      <c r="DM431" s="577"/>
      <c r="DN431" s="577"/>
      <c r="DO431" s="577"/>
      <c r="DP431" s="577"/>
      <c r="DQ431" s="600"/>
      <c r="DR431" s="600"/>
      <c r="DS431" s="577"/>
      <c r="DT431" s="577"/>
      <c r="DU431" s="577"/>
      <c r="DV431" s="577"/>
      <c r="DW431" s="577"/>
      <c r="DX431" s="577"/>
    </row>
    <row r="432" spans="17:128" s="560" customFormat="1">
      <c r="Q432" s="562"/>
      <c r="R432" s="562">
        <v>0.6</v>
      </c>
      <c r="S432" s="562"/>
      <c r="T432" s="562"/>
      <c r="U432" s="562"/>
      <c r="V432" s="562"/>
      <c r="W432" s="562"/>
      <c r="X432" s="562"/>
      <c r="Y432" s="562"/>
      <c r="Z432" s="562"/>
      <c r="AA432" s="562"/>
      <c r="AB432" s="562"/>
      <c r="AC432" s="562"/>
      <c r="AD432" s="563"/>
      <c r="AE432" s="561"/>
      <c r="AF432" s="568">
        <v>7.6</v>
      </c>
      <c r="AG432" s="562"/>
      <c r="AH432" s="577">
        <v>0.1</v>
      </c>
      <c r="AI432" s="577" t="s">
        <v>793</v>
      </c>
      <c r="AJ432" s="577"/>
      <c r="AK432" s="577"/>
      <c r="AL432" s="577"/>
      <c r="AM432" s="577">
        <v>1</v>
      </c>
      <c r="AN432" s="562"/>
      <c r="AO432" s="562"/>
      <c r="AP432" s="659"/>
      <c r="AQ432" s="599"/>
      <c r="AR432" s="649"/>
      <c r="AS432" s="657"/>
      <c r="AT432" s="657"/>
      <c r="AU432" s="562"/>
      <c r="AV432" s="577">
        <v>2552</v>
      </c>
      <c r="AW432" s="562"/>
      <c r="AX432" s="625" t="s">
        <v>806</v>
      </c>
      <c r="AY432" s="562">
        <f>COUNT(AR418:AR461)</f>
        <v>32</v>
      </c>
      <c r="AZ432" s="562"/>
      <c r="BA432" s="562"/>
      <c r="BB432" s="563"/>
      <c r="BD432" s="576">
        <v>32</v>
      </c>
      <c r="BF432" s="576"/>
      <c r="BG432" s="576"/>
      <c r="BH432" s="576"/>
      <c r="BI432" s="576">
        <v>1</v>
      </c>
      <c r="BJ432" s="576"/>
      <c r="BK432" s="576"/>
      <c r="BL432" s="576">
        <v>2</v>
      </c>
      <c r="BM432" s="576">
        <f t="shared" si="69"/>
        <v>4</v>
      </c>
      <c r="BN432" s="576"/>
      <c r="BO432" s="611">
        <v>4.0999999999999996</v>
      </c>
      <c r="BP432" s="611">
        <f t="shared" si="70"/>
        <v>-9.9999999999999645E-2</v>
      </c>
      <c r="BQ432" s="612"/>
      <c r="BR432" s="612">
        <v>1</v>
      </c>
      <c r="DD432" s="561"/>
      <c r="DE432" s="562"/>
      <c r="DF432" s="577"/>
      <c r="DG432" s="577"/>
      <c r="DH432" s="577"/>
      <c r="DI432" s="577"/>
      <c r="DJ432" s="577"/>
      <c r="DK432" s="577"/>
      <c r="DL432" s="577"/>
      <c r="DM432" s="577"/>
      <c r="DN432" s="577"/>
      <c r="DO432" s="577"/>
      <c r="DP432" s="577"/>
      <c r="DQ432" s="600"/>
      <c r="DR432" s="600"/>
      <c r="DS432" s="577"/>
      <c r="DT432" s="577"/>
      <c r="DU432" s="577"/>
      <c r="DV432" s="577"/>
      <c r="DW432" s="577"/>
      <c r="DX432" s="577"/>
    </row>
    <row r="433" spans="17:128" s="560" customFormat="1">
      <c r="Q433" s="562"/>
      <c r="R433" s="562">
        <v>0.6</v>
      </c>
      <c r="S433" s="562"/>
      <c r="T433" s="562"/>
      <c r="U433" s="562"/>
      <c r="V433" s="562"/>
      <c r="W433" s="562"/>
      <c r="X433" s="562"/>
      <c r="Y433" s="562"/>
      <c r="Z433" s="562"/>
      <c r="AA433" s="562"/>
      <c r="AB433" s="562"/>
      <c r="AC433" s="562"/>
      <c r="AD433" s="563"/>
      <c r="AE433" s="561"/>
      <c r="AF433" s="568">
        <v>8</v>
      </c>
      <c r="AG433" s="562"/>
      <c r="AH433" s="562"/>
      <c r="AI433" s="562"/>
      <c r="AJ433" s="562"/>
      <c r="AK433" s="577">
        <v>1</v>
      </c>
      <c r="AL433" s="577"/>
      <c r="AM433" s="577"/>
      <c r="AN433" s="562">
        <v>2.7</v>
      </c>
      <c r="AO433" s="562">
        <f>AN433+AN433</f>
        <v>5.4</v>
      </c>
      <c r="AP433" s="598">
        <v>0.15625</v>
      </c>
      <c r="AQ433" s="599">
        <v>4.2213953488372091</v>
      </c>
      <c r="AR433" s="599">
        <f>AO433-AQ433</f>
        <v>1.1786046511627912</v>
      </c>
      <c r="AS433" s="600">
        <v>1</v>
      </c>
      <c r="AT433" s="600"/>
      <c r="AU433" s="577" t="s">
        <v>778</v>
      </c>
      <c r="AV433" s="562"/>
      <c r="AW433" s="562"/>
      <c r="AX433" s="625" t="s">
        <v>809</v>
      </c>
      <c r="AY433" s="649">
        <f>SUM(AR418:AR461)</f>
        <v>8.9739534883720911</v>
      </c>
      <c r="AZ433" s="562"/>
      <c r="BA433" s="562"/>
      <c r="BB433" s="563"/>
      <c r="BH433" s="640">
        <f>SUM(BH401:BH432)</f>
        <v>10</v>
      </c>
      <c r="BI433" s="640">
        <f>SUM(BI401:BI432)</f>
        <v>22</v>
      </c>
      <c r="BJ433" s="641"/>
      <c r="BK433" s="642"/>
      <c r="BM433" s="643">
        <f>SUM(BM401:BM432)</f>
        <v>150.1</v>
      </c>
      <c r="BN433" s="576"/>
      <c r="BO433" s="644">
        <f>SUM(BO401:BO432)</f>
        <v>119.92096774193548</v>
      </c>
      <c r="BP433" s="644">
        <f>SUM(BP401:BP432)</f>
        <v>30.179032258064517</v>
      </c>
      <c r="BQ433" s="645">
        <f>SUM(BQ401:BQ432)</f>
        <v>7</v>
      </c>
      <c r="BR433" s="645">
        <f>SUM(BR401:BR432)</f>
        <v>25</v>
      </c>
      <c r="DD433" s="561"/>
      <c r="DE433" s="562"/>
      <c r="DF433" s="577"/>
      <c r="DG433" s="577"/>
      <c r="DH433" s="577"/>
      <c r="DI433" s="577"/>
      <c r="DJ433" s="577"/>
      <c r="DK433" s="577"/>
      <c r="DL433" s="577"/>
      <c r="DM433" s="577"/>
      <c r="DN433" s="577"/>
      <c r="DO433" s="577"/>
      <c r="DP433" s="577"/>
      <c r="DQ433" s="600"/>
      <c r="DR433" s="600"/>
      <c r="DS433" s="577"/>
      <c r="DT433" s="577"/>
      <c r="DU433" s="577"/>
      <c r="DV433" s="577"/>
      <c r="DW433" s="577"/>
      <c r="DX433" s="577"/>
    </row>
    <row r="434" spans="17:128" s="560" customFormat="1">
      <c r="Q434" s="562"/>
      <c r="R434" s="562">
        <v>0.7</v>
      </c>
      <c r="S434" s="562"/>
      <c r="T434" s="562"/>
      <c r="U434" s="562"/>
      <c r="V434" s="562"/>
      <c r="W434" s="562"/>
      <c r="X434" s="562"/>
      <c r="Y434" s="562"/>
      <c r="Z434" s="562"/>
      <c r="AA434" s="562"/>
      <c r="AB434" s="562"/>
      <c r="AC434" s="562"/>
      <c r="AD434" s="563"/>
      <c r="AE434" s="561"/>
      <c r="AF434" s="568">
        <v>9</v>
      </c>
      <c r="AG434" s="562"/>
      <c r="AH434" s="562"/>
      <c r="AI434" s="562"/>
      <c r="AJ434" s="562"/>
      <c r="AK434" s="577">
        <v>1</v>
      </c>
      <c r="AL434" s="577"/>
      <c r="AM434" s="577"/>
      <c r="AN434" s="562">
        <v>2.25</v>
      </c>
      <c r="AO434" s="562">
        <f>AN434+AN434</f>
        <v>4.5</v>
      </c>
      <c r="AP434" s="598">
        <v>0.140625</v>
      </c>
      <c r="AQ434" s="599">
        <v>4.213488372093023</v>
      </c>
      <c r="AR434" s="599">
        <f>AO434-AQ434</f>
        <v>0.28651162790697704</v>
      </c>
      <c r="AS434" s="600"/>
      <c r="AT434" s="600">
        <v>1</v>
      </c>
      <c r="AU434" s="577" t="s">
        <v>778</v>
      </c>
      <c r="AV434" s="562"/>
      <c r="AW434" s="562"/>
      <c r="AX434" s="625" t="s">
        <v>811</v>
      </c>
      <c r="AY434" s="649">
        <f>MAX(AR418:AR461)</f>
        <v>1.1786046511627912</v>
      </c>
      <c r="AZ434" s="562"/>
      <c r="BA434" s="562"/>
      <c r="BB434" s="563"/>
      <c r="BC434" s="682">
        <v>41127</v>
      </c>
      <c r="BD434" s="565" t="s">
        <v>725</v>
      </c>
      <c r="BE434" s="565"/>
      <c r="BF434" s="565" t="s">
        <v>726</v>
      </c>
      <c r="BG434" s="566" t="s">
        <v>727</v>
      </c>
      <c r="BH434" s="566"/>
      <c r="BI434" s="566"/>
      <c r="BJ434" s="566"/>
      <c r="BK434" s="566"/>
      <c r="BL434" s="566" t="s">
        <v>728</v>
      </c>
      <c r="BN434" s="566" t="s">
        <v>729</v>
      </c>
      <c r="BO434" s="603"/>
      <c r="BP434" s="646">
        <f>+BP433/BO433</f>
        <v>0.25165767777165071</v>
      </c>
      <c r="BQ434" s="604"/>
      <c r="BR434" s="604"/>
      <c r="BS434" s="566" t="s">
        <v>730</v>
      </c>
      <c r="BT434" s="566" t="s">
        <v>731</v>
      </c>
      <c r="DD434" s="561"/>
      <c r="DE434" s="562"/>
      <c r="DF434" s="577"/>
      <c r="DG434" s="577"/>
      <c r="DH434" s="577"/>
      <c r="DI434" s="577"/>
      <c r="DJ434" s="577"/>
      <c r="DK434" s="577"/>
      <c r="DL434" s="577"/>
      <c r="DM434" s="577"/>
      <c r="DN434" s="577"/>
      <c r="DO434" s="577"/>
      <c r="DP434" s="577"/>
      <c r="DQ434" s="600"/>
      <c r="DR434" s="600"/>
      <c r="DS434" s="577"/>
      <c r="DT434" s="577"/>
      <c r="DU434" s="577"/>
      <c r="DV434" s="577"/>
      <c r="DW434" s="577"/>
      <c r="DX434" s="577"/>
    </row>
    <row r="435" spans="17:128" s="560" customFormat="1">
      <c r="Q435" s="562"/>
      <c r="R435" s="562">
        <v>0.65</v>
      </c>
      <c r="S435" s="562"/>
      <c r="T435" s="562"/>
      <c r="U435" s="562"/>
      <c r="V435" s="562"/>
      <c r="W435" s="562"/>
      <c r="X435" s="562"/>
      <c r="Y435" s="562"/>
      <c r="Z435" s="562"/>
      <c r="AA435" s="562"/>
      <c r="AB435" s="562"/>
      <c r="AC435" s="562"/>
      <c r="AD435" s="563"/>
      <c r="AE435" s="561"/>
      <c r="AF435" s="568">
        <v>10</v>
      </c>
      <c r="AG435" s="562"/>
      <c r="AH435" s="562"/>
      <c r="AI435" s="562"/>
      <c r="AJ435" s="562"/>
      <c r="AK435" s="577">
        <v>1</v>
      </c>
      <c r="AL435" s="577"/>
      <c r="AM435" s="577"/>
      <c r="AN435" s="562">
        <v>2.4500000000000002</v>
      </c>
      <c r="AO435" s="562">
        <f>AN435+AN435</f>
        <v>4.9000000000000004</v>
      </c>
      <c r="AP435" s="598">
        <v>0.140625</v>
      </c>
      <c r="AQ435" s="599">
        <v>4.2055813953488377</v>
      </c>
      <c r="AR435" s="599">
        <f>AO435-AQ435</f>
        <v>0.69441860465116267</v>
      </c>
      <c r="AS435" s="600"/>
      <c r="AT435" s="600">
        <v>1</v>
      </c>
      <c r="AU435" s="577" t="s">
        <v>778</v>
      </c>
      <c r="AV435" s="562"/>
      <c r="AW435" s="562"/>
      <c r="AX435" s="625" t="s">
        <v>814</v>
      </c>
      <c r="AY435" s="649">
        <f>MIN(AR418:AR461)</f>
        <v>-0.11860465116279073</v>
      </c>
      <c r="AZ435" s="562"/>
      <c r="BA435" s="562"/>
      <c r="BB435" s="563"/>
      <c r="BD435" s="565"/>
      <c r="BE435" s="565"/>
      <c r="BF435" s="565"/>
      <c r="BG435" s="576" t="s">
        <v>1104</v>
      </c>
      <c r="BH435" s="576"/>
      <c r="BI435" s="576"/>
      <c r="BJ435" s="576"/>
      <c r="BK435" s="576"/>
      <c r="BL435" s="576" t="s">
        <v>1105</v>
      </c>
      <c r="BN435" s="576">
        <v>41</v>
      </c>
      <c r="BO435" s="611"/>
      <c r="BP435" s="611"/>
      <c r="BQ435" s="612"/>
      <c r="BR435" s="612"/>
      <c r="BS435" s="576">
        <v>40</v>
      </c>
      <c r="BT435" s="622">
        <v>1686</v>
      </c>
      <c r="DD435" s="561"/>
      <c r="DE435" s="562"/>
      <c r="DF435" s="577"/>
      <c r="DG435" s="577"/>
      <c r="DH435" s="577"/>
      <c r="DI435" s="577"/>
      <c r="DJ435" s="577"/>
      <c r="DK435" s="577"/>
      <c r="DL435" s="577"/>
      <c r="DM435" s="577"/>
      <c r="DN435" s="577"/>
      <c r="DO435" s="577"/>
      <c r="DP435" s="577"/>
      <c r="DQ435" s="577"/>
      <c r="DR435" s="577"/>
      <c r="DS435" s="577"/>
      <c r="DT435" s="577"/>
      <c r="DU435" s="577"/>
      <c r="DV435" s="577"/>
      <c r="DW435" s="577"/>
      <c r="DX435" s="577"/>
    </row>
    <row r="436" spans="17:128" s="560" customFormat="1">
      <c r="Q436" s="562"/>
      <c r="R436" s="562">
        <v>0.65</v>
      </c>
      <c r="S436" s="562"/>
      <c r="T436" s="562"/>
      <c r="U436" s="562"/>
      <c r="V436" s="562"/>
      <c r="W436" s="562"/>
      <c r="X436" s="562"/>
      <c r="Y436" s="562"/>
      <c r="Z436" s="562"/>
      <c r="AA436" s="562"/>
      <c r="AB436" s="562"/>
      <c r="AC436" s="562"/>
      <c r="AD436" s="563"/>
      <c r="AE436" s="561"/>
      <c r="AF436" s="568">
        <v>10.1</v>
      </c>
      <c r="AG436" s="562"/>
      <c r="AH436" s="577">
        <v>0.6</v>
      </c>
      <c r="AI436" s="577" t="s">
        <v>793</v>
      </c>
      <c r="AJ436" s="577"/>
      <c r="AK436" s="577"/>
      <c r="AL436" s="577"/>
      <c r="AM436" s="577">
        <v>1</v>
      </c>
      <c r="AN436" s="562"/>
      <c r="AO436" s="562"/>
      <c r="AP436" s="659"/>
      <c r="AQ436" s="599"/>
      <c r="AR436" s="649"/>
      <c r="AS436" s="657"/>
      <c r="AT436" s="657"/>
      <c r="AU436" s="562"/>
      <c r="AV436" s="577">
        <v>2553</v>
      </c>
      <c r="AW436" s="562"/>
      <c r="AX436" s="625" t="s">
        <v>817</v>
      </c>
      <c r="AY436" s="649">
        <f>AVERAGE(AR418:AR461)</f>
        <v>0.28043604651162785</v>
      </c>
      <c r="AZ436" s="562"/>
      <c r="BA436" s="562"/>
      <c r="BB436" s="563"/>
      <c r="BC436" s="560" t="s">
        <v>507</v>
      </c>
      <c r="BD436" s="581" t="s">
        <v>1106</v>
      </c>
      <c r="BE436" s="582"/>
      <c r="BF436" s="566"/>
      <c r="BG436" s="565"/>
      <c r="BH436" s="565"/>
      <c r="BI436" s="565"/>
      <c r="BJ436" s="565"/>
      <c r="BK436" s="565"/>
      <c r="BL436" s="565"/>
      <c r="BN436" s="566" t="s">
        <v>1107</v>
      </c>
      <c r="BO436" s="603"/>
      <c r="BP436" s="581" t="s">
        <v>1108</v>
      </c>
      <c r="BQ436" s="604"/>
      <c r="BR436" s="604"/>
      <c r="BS436" s="566"/>
      <c r="BT436" s="576"/>
      <c r="DD436" s="561"/>
      <c r="DE436" s="562"/>
      <c r="DF436" s="577"/>
      <c r="DG436" s="577"/>
      <c r="DH436" s="577"/>
      <c r="DI436" s="577"/>
      <c r="DJ436" s="577"/>
      <c r="DK436" s="577"/>
      <c r="DL436" s="577"/>
      <c r="DM436" s="577"/>
      <c r="DN436" s="577"/>
      <c r="DO436" s="577"/>
      <c r="DP436" s="577"/>
      <c r="DQ436" s="577"/>
      <c r="DR436" s="577"/>
      <c r="DS436" s="577"/>
      <c r="DT436" s="577"/>
      <c r="DU436" s="577"/>
      <c r="DV436" s="577"/>
      <c r="DW436" s="577"/>
      <c r="DX436" s="577"/>
    </row>
    <row r="437" spans="17:128" s="560" customFormat="1">
      <c r="Q437" s="562"/>
      <c r="R437" s="562">
        <v>0.65</v>
      </c>
      <c r="S437" s="562"/>
      <c r="T437" s="562"/>
      <c r="U437" s="562"/>
      <c r="V437" s="562"/>
      <c r="W437" s="562"/>
      <c r="X437" s="562"/>
      <c r="Y437" s="562"/>
      <c r="Z437" s="562"/>
      <c r="AA437" s="562"/>
      <c r="AB437" s="562"/>
      <c r="AC437" s="562"/>
      <c r="AD437" s="563"/>
      <c r="AE437" s="561"/>
      <c r="AF437" s="568">
        <v>11</v>
      </c>
      <c r="AG437" s="562"/>
      <c r="AH437" s="577">
        <v>0.7</v>
      </c>
      <c r="AI437" s="577" t="s">
        <v>802</v>
      </c>
      <c r="AJ437" s="577"/>
      <c r="AK437" s="577">
        <v>1</v>
      </c>
      <c r="AL437" s="577">
        <v>1</v>
      </c>
      <c r="AM437" s="577"/>
      <c r="AN437" s="562">
        <v>2.2000000000000002</v>
      </c>
      <c r="AO437" s="562">
        <f t="shared" ref="AO437:AO442" si="71">AN437+AN437</f>
        <v>4.4000000000000004</v>
      </c>
      <c r="AP437" s="598">
        <v>0.140625</v>
      </c>
      <c r="AQ437" s="599">
        <v>4.1897674418604653</v>
      </c>
      <c r="AR437" s="599">
        <f t="shared" ref="AR437:AR442" si="72">AO437-AQ437</f>
        <v>0.21023255813953501</v>
      </c>
      <c r="AS437" s="600"/>
      <c r="AT437" s="600">
        <v>1</v>
      </c>
      <c r="AU437" s="577" t="s">
        <v>778</v>
      </c>
      <c r="AV437" s="577">
        <v>2554</v>
      </c>
      <c r="AW437" s="562"/>
      <c r="AX437" s="625" t="s">
        <v>818</v>
      </c>
      <c r="AY437" s="625">
        <f>STDEV(AR422:AR461)</f>
        <v>0.27799702546598826</v>
      </c>
      <c r="AZ437" s="562"/>
      <c r="BA437" s="562"/>
      <c r="BB437" s="563"/>
      <c r="BD437" s="586" t="s">
        <v>755</v>
      </c>
      <c r="BE437" s="586" t="s">
        <v>756</v>
      </c>
      <c r="BF437" s="615" t="s">
        <v>757</v>
      </c>
      <c r="BG437" s="615" t="s">
        <v>758</v>
      </c>
      <c r="BH437" s="615" t="s">
        <v>765</v>
      </c>
      <c r="BI437" s="615" t="s">
        <v>766</v>
      </c>
      <c r="BJ437" s="616" t="s">
        <v>767</v>
      </c>
      <c r="BK437" s="617" t="s">
        <v>768</v>
      </c>
      <c r="BL437" s="586" t="s">
        <v>759</v>
      </c>
      <c r="BM437" s="618" t="s">
        <v>769</v>
      </c>
      <c r="BN437" s="586" t="s">
        <v>760</v>
      </c>
      <c r="BO437" s="619" t="s">
        <v>770</v>
      </c>
      <c r="BP437" s="619" t="s">
        <v>771</v>
      </c>
      <c r="BQ437" s="620" t="s">
        <v>772</v>
      </c>
      <c r="BR437" s="620" t="s">
        <v>773</v>
      </c>
      <c r="BS437" s="586" t="s">
        <v>761</v>
      </c>
      <c r="BT437" s="586" t="s">
        <v>762</v>
      </c>
      <c r="BU437" s="586" t="s">
        <v>763</v>
      </c>
      <c r="DD437" s="561"/>
      <c r="DE437" s="562"/>
      <c r="DF437" s="577"/>
      <c r="DG437" s="577"/>
      <c r="DH437" s="577"/>
      <c r="DI437" s="577"/>
      <c r="DJ437" s="577"/>
      <c r="DK437" s="577"/>
      <c r="DL437" s="577"/>
      <c r="DM437" s="577"/>
      <c r="DN437" s="577"/>
      <c r="DO437" s="577"/>
      <c r="DP437" s="577"/>
      <c r="DQ437" s="577"/>
      <c r="DR437" s="577"/>
      <c r="DS437" s="577"/>
      <c r="DT437" s="577"/>
      <c r="DU437" s="577"/>
      <c r="DV437" s="577"/>
      <c r="DW437" s="577"/>
      <c r="DX437" s="577"/>
    </row>
    <row r="438" spans="17:128" s="560" customFormat="1">
      <c r="Q438" s="562"/>
      <c r="R438" s="562">
        <v>0.65</v>
      </c>
      <c r="S438" s="562"/>
      <c r="T438" s="562"/>
      <c r="U438" s="562"/>
      <c r="V438" s="562"/>
      <c r="W438" s="562"/>
      <c r="X438" s="562"/>
      <c r="Y438" s="562"/>
      <c r="Z438" s="562"/>
      <c r="AA438" s="562"/>
      <c r="AB438" s="562"/>
      <c r="AC438" s="562"/>
      <c r="AD438" s="563"/>
      <c r="AE438" s="561"/>
      <c r="AF438" s="568">
        <v>12</v>
      </c>
      <c r="AG438" s="562"/>
      <c r="AH438" s="577">
        <v>0.1</v>
      </c>
      <c r="AI438" s="577" t="s">
        <v>778</v>
      </c>
      <c r="AJ438" s="577">
        <v>1</v>
      </c>
      <c r="AK438" s="577"/>
      <c r="AL438" s="577"/>
      <c r="AM438" s="577"/>
      <c r="AN438" s="562">
        <v>2.2000000000000002</v>
      </c>
      <c r="AO438" s="562">
        <f t="shared" si="71"/>
        <v>4.4000000000000004</v>
      </c>
      <c r="AP438" s="598">
        <v>0.140625</v>
      </c>
      <c r="AQ438" s="599">
        <v>4.1818604651162792</v>
      </c>
      <c r="AR438" s="599">
        <f t="shared" si="72"/>
        <v>0.21813953488372118</v>
      </c>
      <c r="AS438" s="600"/>
      <c r="AT438" s="600">
        <v>1</v>
      </c>
      <c r="AU438" s="577" t="s">
        <v>778</v>
      </c>
      <c r="AV438" s="577">
        <v>2555</v>
      </c>
      <c r="AW438" s="562"/>
      <c r="AX438" s="562"/>
      <c r="AY438" s="562"/>
      <c r="AZ438" s="562"/>
      <c r="BA438" s="562"/>
      <c r="BB438" s="563"/>
      <c r="BD438" s="560">
        <v>1</v>
      </c>
      <c r="BI438" s="576">
        <v>1</v>
      </c>
      <c r="BJ438" s="576"/>
      <c r="BK438" s="576"/>
      <c r="BL438" s="560">
        <v>1.7</v>
      </c>
      <c r="BM438" s="576">
        <f t="shared" ref="BM438:BM461" si="73">BL438+BL438</f>
        <v>3.4</v>
      </c>
      <c r="BN438" s="576" t="s">
        <v>779</v>
      </c>
      <c r="BO438" s="611">
        <v>3</v>
      </c>
      <c r="BP438" s="611">
        <f t="shared" ref="BP438:BP461" si="74">BM438-BO438</f>
        <v>0.39999999999999991</v>
      </c>
      <c r="BQ438" s="612"/>
      <c r="BR438" s="612">
        <v>1</v>
      </c>
      <c r="BS438" s="576" t="s">
        <v>778</v>
      </c>
      <c r="BT438" s="576"/>
      <c r="BU438" s="560" t="s">
        <v>1109</v>
      </c>
      <c r="DD438" s="561"/>
      <c r="DE438" s="562"/>
      <c r="DF438" s="577"/>
      <c r="DG438" s="577"/>
      <c r="DH438" s="577"/>
      <c r="DI438" s="577"/>
      <c r="DJ438" s="577"/>
      <c r="DK438" s="577"/>
      <c r="DL438" s="577"/>
      <c r="DM438" s="577"/>
      <c r="DN438" s="577"/>
      <c r="DO438" s="577"/>
      <c r="DP438" s="577"/>
      <c r="DQ438" s="577"/>
      <c r="DR438" s="577"/>
      <c r="DS438" s="577"/>
      <c r="DT438" s="577"/>
      <c r="DU438" s="577"/>
      <c r="DV438" s="577"/>
      <c r="DW438" s="577"/>
      <c r="DX438" s="577"/>
    </row>
    <row r="439" spans="17:128" s="560" customFormat="1">
      <c r="Q439" s="562" t="s">
        <v>799</v>
      </c>
      <c r="R439" s="562"/>
      <c r="S439" s="562"/>
      <c r="T439" s="562"/>
      <c r="U439" s="562"/>
      <c r="V439" s="562"/>
      <c r="W439" s="562"/>
      <c r="X439" s="562"/>
      <c r="Y439" s="562"/>
      <c r="Z439" s="562"/>
      <c r="AA439" s="562"/>
      <c r="AB439" s="562"/>
      <c r="AC439" s="562"/>
      <c r="AD439" s="563"/>
      <c r="AE439" s="561"/>
      <c r="AF439" s="568">
        <v>13</v>
      </c>
      <c r="AG439" s="562"/>
      <c r="AH439" s="577"/>
      <c r="AI439" s="577"/>
      <c r="AJ439" s="577"/>
      <c r="AK439" s="577">
        <v>1</v>
      </c>
      <c r="AL439" s="577"/>
      <c r="AM439" s="577"/>
      <c r="AN439" s="562">
        <v>2.1</v>
      </c>
      <c r="AO439" s="562">
        <f t="shared" si="71"/>
        <v>4.2</v>
      </c>
      <c r="AP439" s="598">
        <v>0.140625</v>
      </c>
      <c r="AQ439" s="599">
        <v>4.173953488372093</v>
      </c>
      <c r="AR439" s="599">
        <f t="shared" si="72"/>
        <v>2.6046511627907165E-2</v>
      </c>
      <c r="AS439" s="600"/>
      <c r="AT439" s="600">
        <v>1</v>
      </c>
      <c r="AU439" s="577" t="s">
        <v>778</v>
      </c>
      <c r="AV439" s="577"/>
      <c r="AW439" s="562"/>
      <c r="AX439" s="562"/>
      <c r="AY439" s="562"/>
      <c r="AZ439" s="562"/>
      <c r="BA439" s="562"/>
      <c r="BB439" s="563"/>
      <c r="BD439" s="560">
        <v>2</v>
      </c>
      <c r="BF439" s="576"/>
      <c r="BG439" s="576"/>
      <c r="BH439" s="576"/>
      <c r="BI439" s="576">
        <v>1</v>
      </c>
      <c r="BJ439" s="576"/>
      <c r="BK439" s="576"/>
      <c r="BL439" s="560">
        <v>2.4500000000000002</v>
      </c>
      <c r="BM439" s="576">
        <f t="shared" si="73"/>
        <v>4.9000000000000004</v>
      </c>
      <c r="BN439" s="576" t="s">
        <v>779</v>
      </c>
      <c r="BO439" s="611">
        <v>3</v>
      </c>
      <c r="BP439" s="611">
        <f t="shared" si="74"/>
        <v>1.9000000000000004</v>
      </c>
      <c r="BQ439" s="612"/>
      <c r="BR439" s="612">
        <v>1</v>
      </c>
      <c r="BS439" s="576" t="s">
        <v>778</v>
      </c>
      <c r="BT439" s="576"/>
      <c r="DD439" s="561"/>
      <c r="DE439" s="562"/>
      <c r="DF439" s="562"/>
      <c r="DG439" s="562"/>
      <c r="DH439" s="562"/>
      <c r="DI439" s="562"/>
      <c r="DJ439" s="562"/>
      <c r="DK439" s="562"/>
      <c r="DL439" s="562"/>
      <c r="DM439" s="562"/>
      <c r="DN439" s="562"/>
      <c r="DO439" s="562"/>
      <c r="DP439" s="562"/>
      <c r="DQ439" s="562"/>
      <c r="DR439" s="562"/>
      <c r="DS439" s="562"/>
      <c r="DT439" s="562"/>
      <c r="DU439" s="562"/>
      <c r="DV439" s="562"/>
      <c r="DW439" s="562"/>
      <c r="DX439" s="562"/>
    </row>
    <row r="440" spans="17:128" s="560" customFormat="1">
      <c r="Q440" s="562"/>
      <c r="R440" s="562">
        <v>0.55000000000000004</v>
      </c>
      <c r="S440" s="562"/>
      <c r="T440" s="562"/>
      <c r="U440" s="562"/>
      <c r="V440" s="562"/>
      <c r="W440" s="562"/>
      <c r="X440" s="562"/>
      <c r="Y440" s="562"/>
      <c r="Z440" s="562"/>
      <c r="AA440" s="562"/>
      <c r="AB440" s="562"/>
      <c r="AC440" s="562"/>
      <c r="AD440" s="563"/>
      <c r="AE440" s="561"/>
      <c r="AF440" s="568">
        <v>14</v>
      </c>
      <c r="AG440" s="562"/>
      <c r="AH440" s="577"/>
      <c r="AI440" s="577"/>
      <c r="AJ440" s="577"/>
      <c r="AK440" s="577">
        <v>1</v>
      </c>
      <c r="AL440" s="577"/>
      <c r="AM440" s="577"/>
      <c r="AN440" s="562">
        <v>2.1</v>
      </c>
      <c r="AO440" s="562">
        <f t="shared" si="71"/>
        <v>4.2</v>
      </c>
      <c r="AP440" s="598">
        <v>0.140625</v>
      </c>
      <c r="AQ440" s="599">
        <v>4.1660465116279068</v>
      </c>
      <c r="AR440" s="599">
        <f t="shared" si="72"/>
        <v>3.3953488372093332E-2</v>
      </c>
      <c r="AS440" s="600"/>
      <c r="AT440" s="600">
        <v>1</v>
      </c>
      <c r="AU440" s="577" t="s">
        <v>778</v>
      </c>
      <c r="AV440" s="577"/>
      <c r="AW440" s="562"/>
      <c r="AX440" s="562"/>
      <c r="AY440" s="562"/>
      <c r="AZ440" s="562"/>
      <c r="BA440" s="562"/>
      <c r="BB440" s="563"/>
      <c r="BD440" s="560">
        <v>3</v>
      </c>
      <c r="BF440" s="576"/>
      <c r="BG440" s="576"/>
      <c r="BH440" s="576"/>
      <c r="BI440" s="576">
        <v>1</v>
      </c>
      <c r="BJ440" s="576"/>
      <c r="BK440" s="576"/>
      <c r="BL440" s="560">
        <v>1.7</v>
      </c>
      <c r="BM440" s="576">
        <f t="shared" si="73"/>
        <v>3.4</v>
      </c>
      <c r="BN440" s="576" t="s">
        <v>779</v>
      </c>
      <c r="BO440" s="611">
        <v>3</v>
      </c>
      <c r="BP440" s="611">
        <f t="shared" si="74"/>
        <v>0.39999999999999991</v>
      </c>
      <c r="BQ440" s="612"/>
      <c r="BR440" s="612">
        <v>1</v>
      </c>
      <c r="BS440" s="576" t="s">
        <v>778</v>
      </c>
      <c r="BT440" s="576"/>
      <c r="BU440" s="560" t="s">
        <v>1109</v>
      </c>
      <c r="DD440" s="561"/>
      <c r="DE440" s="562"/>
      <c r="DF440" s="562"/>
      <c r="DG440" s="562"/>
      <c r="DH440" s="562"/>
      <c r="DI440" s="562"/>
      <c r="DJ440" s="562"/>
      <c r="DK440" s="562"/>
      <c r="DL440" s="562"/>
      <c r="DM440" s="562"/>
      <c r="DN440" s="562"/>
      <c r="DO440" s="562"/>
      <c r="DP440" s="562"/>
      <c r="DQ440" s="562"/>
      <c r="DR440" s="562"/>
      <c r="DS440" s="562"/>
      <c r="DT440" s="562"/>
      <c r="DU440" s="562"/>
      <c r="DV440" s="562"/>
      <c r="DW440" s="562"/>
      <c r="DX440" s="562"/>
    </row>
    <row r="441" spans="17:128" s="560" customFormat="1">
      <c r="Q441" s="562"/>
      <c r="R441" s="562">
        <v>0.5</v>
      </c>
      <c r="S441" s="562"/>
      <c r="T441" s="562"/>
      <c r="U441" s="562"/>
      <c r="V441" s="562"/>
      <c r="W441" s="562"/>
      <c r="X441" s="562"/>
      <c r="Y441" s="562"/>
      <c r="Z441" s="562"/>
      <c r="AA441" s="562"/>
      <c r="AB441" s="562"/>
      <c r="AC441" s="562"/>
      <c r="AD441" s="563"/>
      <c r="AE441" s="561"/>
      <c r="AF441" s="568">
        <v>15</v>
      </c>
      <c r="AG441" s="562"/>
      <c r="AH441" s="577"/>
      <c r="AI441" s="577"/>
      <c r="AJ441" s="577"/>
      <c r="AK441" s="577">
        <v>1</v>
      </c>
      <c r="AL441" s="577"/>
      <c r="AM441" s="577"/>
      <c r="AN441" s="562">
        <v>2.4</v>
      </c>
      <c r="AO441" s="562">
        <f t="shared" si="71"/>
        <v>4.8</v>
      </c>
      <c r="AP441" s="598">
        <v>0.140625</v>
      </c>
      <c r="AQ441" s="599">
        <v>4.1581395348837207</v>
      </c>
      <c r="AR441" s="599">
        <f t="shared" si="72"/>
        <v>0.64186046511627914</v>
      </c>
      <c r="AS441" s="600"/>
      <c r="AT441" s="600">
        <v>1</v>
      </c>
      <c r="AU441" s="577" t="s">
        <v>778</v>
      </c>
      <c r="AV441" s="577"/>
      <c r="AW441" s="562"/>
      <c r="AX441" s="562"/>
      <c r="AY441" s="562"/>
      <c r="AZ441" s="562"/>
      <c r="BA441" s="562"/>
      <c r="BB441" s="563"/>
      <c r="BD441" s="560">
        <v>4</v>
      </c>
      <c r="BF441" s="576"/>
      <c r="BG441" s="576"/>
      <c r="BH441" s="576"/>
      <c r="BI441" s="576">
        <v>1</v>
      </c>
      <c r="BJ441" s="576"/>
      <c r="BK441" s="576"/>
      <c r="BL441" s="560">
        <v>1.7</v>
      </c>
      <c r="BM441" s="576">
        <f t="shared" si="73"/>
        <v>3.4</v>
      </c>
      <c r="BN441" s="576" t="s">
        <v>779</v>
      </c>
      <c r="BO441" s="611">
        <v>3</v>
      </c>
      <c r="BP441" s="611">
        <f t="shared" si="74"/>
        <v>0.39999999999999991</v>
      </c>
      <c r="BQ441" s="612"/>
      <c r="BR441" s="612">
        <v>1</v>
      </c>
      <c r="BS441" s="576" t="s">
        <v>778</v>
      </c>
      <c r="BT441" s="576"/>
      <c r="BU441" s="560" t="s">
        <v>1109</v>
      </c>
      <c r="DD441" s="561"/>
      <c r="DE441" s="562"/>
      <c r="DF441" s="562"/>
      <c r="DG441" s="562"/>
      <c r="DH441" s="562"/>
      <c r="DI441" s="562"/>
      <c r="DJ441" s="562"/>
      <c r="DK441" s="562"/>
      <c r="DL441" s="562"/>
      <c r="DM441" s="562"/>
      <c r="DN441" s="562"/>
      <c r="DO441" s="562"/>
      <c r="DP441" s="562"/>
      <c r="DQ441" s="562"/>
      <c r="DR441" s="562"/>
      <c r="DS441" s="562"/>
      <c r="DT441" s="562"/>
      <c r="DU441" s="562"/>
      <c r="DV441" s="562"/>
      <c r="DW441" s="562"/>
      <c r="DX441" s="562"/>
    </row>
    <row r="442" spans="17:128" s="560" customFormat="1">
      <c r="Q442" s="562"/>
      <c r="R442" s="562">
        <v>0.6</v>
      </c>
      <c r="S442" s="562"/>
      <c r="T442" s="562"/>
      <c r="U442" s="562"/>
      <c r="V442" s="562"/>
      <c r="W442" s="562"/>
      <c r="X442" s="562"/>
      <c r="Y442" s="562"/>
      <c r="Z442" s="562"/>
      <c r="AA442" s="562"/>
      <c r="AB442" s="562"/>
      <c r="AC442" s="562"/>
      <c r="AD442" s="563"/>
      <c r="AE442" s="561"/>
      <c r="AF442" s="568">
        <v>16</v>
      </c>
      <c r="AG442" s="562"/>
      <c r="AH442" s="577"/>
      <c r="AI442" s="577"/>
      <c r="AJ442" s="577"/>
      <c r="AK442" s="577">
        <v>1</v>
      </c>
      <c r="AL442" s="577"/>
      <c r="AM442" s="577"/>
      <c r="AN442" s="562">
        <v>2.1</v>
      </c>
      <c r="AO442" s="562">
        <f t="shared" si="71"/>
        <v>4.2</v>
      </c>
      <c r="AP442" s="598">
        <v>0.140625</v>
      </c>
      <c r="AQ442" s="599">
        <v>4.1502325581395354</v>
      </c>
      <c r="AR442" s="599">
        <f t="shared" si="72"/>
        <v>4.9767441860464778E-2</v>
      </c>
      <c r="AS442" s="600"/>
      <c r="AT442" s="600">
        <v>1</v>
      </c>
      <c r="AU442" s="577" t="s">
        <v>778</v>
      </c>
      <c r="AV442" s="577"/>
      <c r="AW442" s="562"/>
      <c r="AX442" s="562"/>
      <c r="AY442" s="562"/>
      <c r="AZ442" s="562"/>
      <c r="BA442" s="562"/>
      <c r="BB442" s="563"/>
      <c r="BD442" s="560">
        <v>5</v>
      </c>
      <c r="BF442" s="576">
        <v>0.25</v>
      </c>
      <c r="BG442" s="576" t="s">
        <v>793</v>
      </c>
      <c r="BH442" s="576"/>
      <c r="BI442" s="576">
        <v>1</v>
      </c>
      <c r="BJ442" s="576"/>
      <c r="BK442" s="576">
        <v>1</v>
      </c>
      <c r="BL442" s="560">
        <v>1.7</v>
      </c>
      <c r="BM442" s="576">
        <f t="shared" si="73"/>
        <v>3.4</v>
      </c>
      <c r="BN442" s="576" t="s">
        <v>779</v>
      </c>
      <c r="BO442" s="611">
        <v>3</v>
      </c>
      <c r="BP442" s="611">
        <f t="shared" si="74"/>
        <v>0.39999999999999991</v>
      </c>
      <c r="BQ442" s="612"/>
      <c r="BR442" s="612">
        <v>1</v>
      </c>
      <c r="BS442" s="576" t="s">
        <v>778</v>
      </c>
      <c r="BT442" s="576">
        <v>1684</v>
      </c>
      <c r="BU442" s="560" t="s">
        <v>1109</v>
      </c>
      <c r="DD442" s="561"/>
      <c r="DE442" s="562"/>
      <c r="DF442" s="562"/>
      <c r="DG442" s="562"/>
      <c r="DH442" s="562"/>
      <c r="DI442" s="562"/>
      <c r="DJ442" s="562"/>
      <c r="DK442" s="562"/>
      <c r="DL442" s="562"/>
      <c r="DM442" s="562"/>
      <c r="DN442" s="562"/>
      <c r="DO442" s="562"/>
      <c r="DP442" s="562"/>
      <c r="DQ442" s="562"/>
      <c r="DR442" s="562"/>
      <c r="DS442" s="562"/>
      <c r="DT442" s="562"/>
      <c r="DU442" s="562"/>
      <c r="DV442" s="562"/>
      <c r="DW442" s="562"/>
      <c r="DX442" s="562"/>
    </row>
    <row r="443" spans="17:128" s="560" customFormat="1">
      <c r="Q443" s="562"/>
      <c r="R443" s="562">
        <v>0.65</v>
      </c>
      <c r="S443" s="562"/>
      <c r="T443" s="562"/>
      <c r="U443" s="562"/>
      <c r="V443" s="562"/>
      <c r="W443" s="562"/>
      <c r="X443" s="562"/>
      <c r="Y443" s="562"/>
      <c r="Z443" s="562"/>
      <c r="AA443" s="562"/>
      <c r="AB443" s="562"/>
      <c r="AC443" s="562"/>
      <c r="AD443" s="563"/>
      <c r="AE443" s="561"/>
      <c r="AF443" s="568">
        <v>16.5</v>
      </c>
      <c r="AG443" s="562"/>
      <c r="AH443" s="577">
        <v>0.2</v>
      </c>
      <c r="AI443" s="577" t="s">
        <v>778</v>
      </c>
      <c r="AJ443" s="577">
        <v>1</v>
      </c>
      <c r="AK443" s="577"/>
      <c r="AL443" s="577"/>
      <c r="AM443" s="577"/>
      <c r="AN443" s="562"/>
      <c r="AO443" s="562"/>
      <c r="AP443" s="659"/>
      <c r="AQ443" s="599"/>
      <c r="AR443" s="649"/>
      <c r="AS443" s="657"/>
      <c r="AT443" s="657"/>
      <c r="AU443" s="562"/>
      <c r="AV443" s="577">
        <v>2556</v>
      </c>
      <c r="AW443" s="562"/>
      <c r="AX443" s="562"/>
      <c r="AY443" s="562"/>
      <c r="AZ443" s="562"/>
      <c r="BA443" s="562"/>
      <c r="BB443" s="563"/>
      <c r="BD443" s="560">
        <v>6</v>
      </c>
      <c r="BF443" s="576"/>
      <c r="BG443" s="576"/>
      <c r="BH443" s="576"/>
      <c r="BI443" s="576">
        <v>1</v>
      </c>
      <c r="BJ443" s="576"/>
      <c r="BK443" s="576"/>
      <c r="BL443" s="560">
        <v>1.5</v>
      </c>
      <c r="BM443" s="576">
        <f t="shared" si="73"/>
        <v>3</v>
      </c>
      <c r="BN443" s="576" t="s">
        <v>779</v>
      </c>
      <c r="BO443" s="611">
        <v>3</v>
      </c>
      <c r="BP443" s="611">
        <f t="shared" si="74"/>
        <v>0</v>
      </c>
      <c r="BQ443" s="612"/>
      <c r="BR443" s="612">
        <v>1</v>
      </c>
      <c r="BS443" s="576" t="s">
        <v>778</v>
      </c>
      <c r="BT443" s="576"/>
      <c r="BU443" s="560" t="s">
        <v>1109</v>
      </c>
      <c r="DD443" s="561"/>
      <c r="DE443" s="562"/>
      <c r="DF443" s="562"/>
      <c r="DG443" s="562"/>
      <c r="DH443" s="562"/>
      <c r="DI443" s="562"/>
      <c r="DJ443" s="562"/>
      <c r="DK443" s="562"/>
      <c r="DL443" s="562"/>
      <c r="DM443" s="562"/>
      <c r="DN443" s="562"/>
      <c r="DO443" s="562"/>
      <c r="DP443" s="562"/>
      <c r="DQ443" s="562"/>
      <c r="DR443" s="562"/>
      <c r="DS443" s="562"/>
      <c r="DT443" s="562"/>
      <c r="DU443" s="562"/>
      <c r="DV443" s="562"/>
      <c r="DW443" s="562"/>
      <c r="DX443" s="562"/>
    </row>
    <row r="444" spans="17:128" s="560" customFormat="1">
      <c r="Q444" s="562"/>
      <c r="R444" s="562">
        <v>0.65</v>
      </c>
      <c r="S444" s="562"/>
      <c r="T444" s="562"/>
      <c r="U444" s="562"/>
      <c r="V444" s="562"/>
      <c r="W444" s="562"/>
      <c r="X444" s="562"/>
      <c r="Y444" s="562"/>
      <c r="Z444" s="562"/>
      <c r="AA444" s="562"/>
      <c r="AB444" s="562"/>
      <c r="AC444" s="562"/>
      <c r="AD444" s="563"/>
      <c r="AE444" s="561"/>
      <c r="AF444" s="568">
        <v>17</v>
      </c>
      <c r="AG444" s="562"/>
      <c r="AH444" s="577"/>
      <c r="AI444" s="577"/>
      <c r="AJ444" s="577"/>
      <c r="AK444" s="577">
        <v>1</v>
      </c>
      <c r="AL444" s="577"/>
      <c r="AM444" s="577"/>
      <c r="AN444" s="562">
        <v>2.2000000000000002</v>
      </c>
      <c r="AO444" s="562">
        <f>AN444+AN444</f>
        <v>4.4000000000000004</v>
      </c>
      <c r="AP444" s="598">
        <v>0.140625</v>
      </c>
      <c r="AQ444" s="599">
        <v>4.1344186046511631</v>
      </c>
      <c r="AR444" s="599">
        <f>AO444-AQ444</f>
        <v>0.26558139534883729</v>
      </c>
      <c r="AS444" s="600"/>
      <c r="AT444" s="600">
        <v>1</v>
      </c>
      <c r="AU444" s="577" t="s">
        <v>778</v>
      </c>
      <c r="AV444" s="577"/>
      <c r="AW444" s="562"/>
      <c r="AX444" s="562"/>
      <c r="AY444" s="562"/>
      <c r="AZ444" s="562"/>
      <c r="BA444" s="562"/>
      <c r="BB444" s="563"/>
      <c r="BD444" s="560">
        <v>7</v>
      </c>
      <c r="BF444" s="576">
        <v>0.45</v>
      </c>
      <c r="BG444" s="576" t="s">
        <v>793</v>
      </c>
      <c r="BH444" s="576"/>
      <c r="BI444" s="576">
        <v>1</v>
      </c>
      <c r="BJ444" s="576"/>
      <c r="BK444" s="576">
        <v>1</v>
      </c>
      <c r="BL444" s="560">
        <v>1.4</v>
      </c>
      <c r="BM444" s="576">
        <f t="shared" si="73"/>
        <v>2.8</v>
      </c>
      <c r="BN444" s="576" t="s">
        <v>779</v>
      </c>
      <c r="BO444" s="611">
        <v>3</v>
      </c>
      <c r="BP444" s="611">
        <f t="shared" si="74"/>
        <v>-0.20000000000000018</v>
      </c>
      <c r="BQ444" s="612"/>
      <c r="BR444" s="612">
        <v>1</v>
      </c>
      <c r="BS444" s="576" t="s">
        <v>778</v>
      </c>
      <c r="BT444" s="576">
        <v>1683</v>
      </c>
      <c r="BU444" s="560" t="s">
        <v>1109</v>
      </c>
      <c r="DD444" s="561"/>
      <c r="DE444" s="562"/>
      <c r="DF444" s="562"/>
      <c r="DG444" s="562"/>
      <c r="DH444" s="562"/>
      <c r="DI444" s="562"/>
      <c r="DJ444" s="562"/>
      <c r="DK444" s="562"/>
      <c r="DL444" s="562"/>
      <c r="DM444" s="562"/>
      <c r="DN444" s="562"/>
      <c r="DO444" s="562"/>
      <c r="DP444" s="562"/>
      <c r="DQ444" s="562"/>
      <c r="DR444" s="562"/>
      <c r="DS444" s="562"/>
      <c r="DT444" s="562"/>
      <c r="DU444" s="562"/>
      <c r="DV444" s="562"/>
      <c r="DW444" s="562"/>
      <c r="DX444" s="562"/>
    </row>
    <row r="445" spans="17:128" s="560" customFormat="1">
      <c r="Q445" s="562"/>
      <c r="R445" s="562">
        <v>0.65</v>
      </c>
      <c r="S445" s="562"/>
      <c r="T445" s="562"/>
      <c r="U445" s="562"/>
      <c r="V445" s="562"/>
      <c r="W445" s="562"/>
      <c r="X445" s="562"/>
      <c r="Y445" s="562"/>
      <c r="Z445" s="562"/>
      <c r="AA445" s="562"/>
      <c r="AB445" s="562"/>
      <c r="AC445" s="562"/>
      <c r="AD445" s="563"/>
      <c r="AE445" s="561"/>
      <c r="AF445" s="568">
        <v>18</v>
      </c>
      <c r="AG445" s="562"/>
      <c r="AH445" s="577">
        <v>0.25</v>
      </c>
      <c r="AI445" s="577" t="s">
        <v>777</v>
      </c>
      <c r="AJ445" s="577">
        <v>1</v>
      </c>
      <c r="AK445" s="577"/>
      <c r="AL445" s="577"/>
      <c r="AM445" s="577"/>
      <c r="AN445" s="562">
        <v>2.1</v>
      </c>
      <c r="AO445" s="562">
        <f>AN445+AN445</f>
        <v>4.2</v>
      </c>
      <c r="AP445" s="598">
        <v>0.140625</v>
      </c>
      <c r="AQ445" s="599">
        <v>4.1265116279069769</v>
      </c>
      <c r="AR445" s="599">
        <f>AO445-AQ445</f>
        <v>7.348837209302328E-2</v>
      </c>
      <c r="AS445" s="600"/>
      <c r="AT445" s="600">
        <v>1</v>
      </c>
      <c r="AU445" s="577" t="s">
        <v>778</v>
      </c>
      <c r="AV445" s="577"/>
      <c r="AW445" s="562"/>
      <c r="AX445" s="562"/>
      <c r="AY445" s="562"/>
      <c r="AZ445" s="562"/>
      <c r="BA445" s="562"/>
      <c r="BB445" s="563"/>
      <c r="BD445" s="560">
        <v>8</v>
      </c>
      <c r="BF445" s="576">
        <v>0.1</v>
      </c>
      <c r="BG445" s="576" t="s">
        <v>777</v>
      </c>
      <c r="BH445" s="576">
        <v>1</v>
      </c>
      <c r="BI445" s="576"/>
      <c r="BJ445" s="576"/>
      <c r="BK445" s="576"/>
      <c r="BL445" s="560">
        <v>1.9</v>
      </c>
      <c r="BM445" s="576">
        <f t="shared" si="73"/>
        <v>3.8</v>
      </c>
      <c r="BN445" s="576" t="s">
        <v>779</v>
      </c>
      <c r="BO445" s="611">
        <v>3</v>
      </c>
      <c r="BP445" s="611">
        <f t="shared" si="74"/>
        <v>0.79999999999999982</v>
      </c>
      <c r="BQ445" s="612"/>
      <c r="BR445" s="612">
        <v>1</v>
      </c>
      <c r="BS445" s="576" t="s">
        <v>778</v>
      </c>
      <c r="BT445" s="576">
        <v>1682</v>
      </c>
      <c r="BU445" s="560" t="s">
        <v>1109</v>
      </c>
      <c r="DD445" s="561"/>
      <c r="DE445" s="562"/>
      <c r="DF445" s="562"/>
      <c r="DG445" s="562"/>
      <c r="DH445" s="562"/>
      <c r="DI445" s="562"/>
      <c r="DJ445" s="562"/>
      <c r="DK445" s="562"/>
      <c r="DL445" s="562"/>
      <c r="DM445" s="562"/>
      <c r="DN445" s="562"/>
      <c r="DO445" s="562"/>
      <c r="DP445" s="562"/>
      <c r="DQ445" s="562"/>
      <c r="DR445" s="562"/>
      <c r="DS445" s="562"/>
      <c r="DT445" s="562"/>
      <c r="DU445" s="562"/>
      <c r="DV445" s="562"/>
      <c r="DW445" s="562"/>
      <c r="DX445" s="562"/>
    </row>
    <row r="446" spans="17:128" s="560" customFormat="1">
      <c r="Q446" s="562"/>
      <c r="R446" s="562">
        <v>0.6</v>
      </c>
      <c r="S446" s="562"/>
      <c r="T446" s="562"/>
      <c r="U446" s="562"/>
      <c r="V446" s="562"/>
      <c r="W446" s="562"/>
      <c r="X446" s="562"/>
      <c r="Y446" s="562"/>
      <c r="Z446" s="562"/>
      <c r="AA446" s="562"/>
      <c r="AB446" s="562"/>
      <c r="AC446" s="562"/>
      <c r="AD446" s="563"/>
      <c r="AE446" s="561"/>
      <c r="AF446" s="568">
        <v>19</v>
      </c>
      <c r="AG446" s="562"/>
      <c r="AH446" s="577"/>
      <c r="AI446" s="577"/>
      <c r="AJ446" s="577"/>
      <c r="AK446" s="577">
        <v>1</v>
      </c>
      <c r="AL446" s="577"/>
      <c r="AM446" s="577"/>
      <c r="AN446" s="562">
        <v>2</v>
      </c>
      <c r="AO446" s="562">
        <f>AN446+AN446</f>
        <v>4</v>
      </c>
      <c r="AP446" s="598">
        <v>0.140625</v>
      </c>
      <c r="AQ446" s="599">
        <v>4.1186046511627907</v>
      </c>
      <c r="AR446" s="599">
        <f>AO446-AQ446</f>
        <v>-0.11860465116279073</v>
      </c>
      <c r="AS446" s="600"/>
      <c r="AT446" s="600">
        <v>1</v>
      </c>
      <c r="AU446" s="577" t="s">
        <v>778</v>
      </c>
      <c r="AV446" s="577"/>
      <c r="AW446" s="562"/>
      <c r="AX446" s="562"/>
      <c r="AY446" s="562"/>
      <c r="AZ446" s="562"/>
      <c r="BA446" s="562"/>
      <c r="BB446" s="563"/>
      <c r="BD446" s="560">
        <v>9</v>
      </c>
      <c r="BF446" s="576"/>
      <c r="BG446" s="576"/>
      <c r="BH446" s="576"/>
      <c r="BI446" s="576">
        <v>1</v>
      </c>
      <c r="BJ446" s="576"/>
      <c r="BK446" s="576"/>
      <c r="BL446" s="560">
        <v>1.9</v>
      </c>
      <c r="BM446" s="576">
        <f t="shared" si="73"/>
        <v>3.8</v>
      </c>
      <c r="BN446" s="576" t="s">
        <v>779</v>
      </c>
      <c r="BO446" s="611">
        <v>3</v>
      </c>
      <c r="BP446" s="611">
        <f t="shared" si="74"/>
        <v>0.79999999999999982</v>
      </c>
      <c r="BQ446" s="612"/>
      <c r="BR446" s="612">
        <v>1</v>
      </c>
      <c r="BS446" s="576" t="s">
        <v>778</v>
      </c>
      <c r="BT446" s="576"/>
      <c r="BU446" s="560" t="s">
        <v>1109</v>
      </c>
      <c r="DD446" s="561"/>
      <c r="DE446" s="562"/>
      <c r="DF446" s="562"/>
      <c r="DG446" s="562"/>
      <c r="DH446" s="562"/>
      <c r="DI446" s="562"/>
      <c r="DJ446" s="562"/>
      <c r="DK446" s="562"/>
      <c r="DL446" s="562"/>
      <c r="DM446" s="562"/>
      <c r="DN446" s="562"/>
      <c r="DO446" s="562"/>
      <c r="DP446" s="562"/>
      <c r="DQ446" s="562"/>
      <c r="DR446" s="562"/>
      <c r="DS446" s="562"/>
      <c r="DT446" s="562"/>
      <c r="DU446" s="562"/>
      <c r="DV446" s="562"/>
      <c r="DW446" s="562"/>
      <c r="DX446" s="562"/>
    </row>
    <row r="447" spans="17:128" s="560" customFormat="1">
      <c r="Q447" s="562"/>
      <c r="R447" s="562">
        <v>0.7</v>
      </c>
      <c r="S447" s="562"/>
      <c r="T447" s="562"/>
      <c r="U447" s="562"/>
      <c r="V447" s="562"/>
      <c r="W447" s="562"/>
      <c r="X447" s="562"/>
      <c r="Y447" s="562"/>
      <c r="Z447" s="562"/>
      <c r="AA447" s="562"/>
      <c r="AB447" s="562"/>
      <c r="AC447" s="562"/>
      <c r="AD447" s="563"/>
      <c r="AE447" s="561"/>
      <c r="AF447" s="568">
        <v>20</v>
      </c>
      <c r="AG447" s="562"/>
      <c r="AH447" s="577"/>
      <c r="AI447" s="577"/>
      <c r="AJ447" s="577"/>
      <c r="AK447" s="577">
        <v>1</v>
      </c>
      <c r="AL447" s="577"/>
      <c r="AM447" s="577"/>
      <c r="AN447" s="562">
        <v>2.25</v>
      </c>
      <c r="AO447" s="562">
        <f>AN447+AN447</f>
        <v>4.5</v>
      </c>
      <c r="AP447" s="598">
        <v>0.140625</v>
      </c>
      <c r="AQ447" s="599">
        <v>4.1106976744186046</v>
      </c>
      <c r="AR447" s="599">
        <f>AO447-AQ447</f>
        <v>0.38930232558139544</v>
      </c>
      <c r="AS447" s="600"/>
      <c r="AT447" s="600">
        <v>1</v>
      </c>
      <c r="AU447" s="577" t="s">
        <v>778</v>
      </c>
      <c r="AV447" s="577"/>
      <c r="AW447" s="562"/>
      <c r="AX447" s="562"/>
      <c r="AY447" s="562"/>
      <c r="AZ447" s="562"/>
      <c r="BA447" s="562"/>
      <c r="BB447" s="563"/>
      <c r="BD447" s="560">
        <v>10</v>
      </c>
      <c r="BF447" s="576">
        <v>0.2</v>
      </c>
      <c r="BG447" s="576" t="s">
        <v>793</v>
      </c>
      <c r="BH447" s="576"/>
      <c r="BI447" s="576">
        <v>1</v>
      </c>
      <c r="BJ447" s="576"/>
      <c r="BK447" s="576">
        <v>1</v>
      </c>
      <c r="BL447" s="560">
        <v>1.7</v>
      </c>
      <c r="BM447" s="576">
        <f t="shared" si="73"/>
        <v>3.4</v>
      </c>
      <c r="BN447" s="576" t="s">
        <v>779</v>
      </c>
      <c r="BO447" s="611">
        <v>3</v>
      </c>
      <c r="BP447" s="611">
        <f t="shared" si="74"/>
        <v>0.39999999999999991</v>
      </c>
      <c r="BQ447" s="612"/>
      <c r="BR447" s="612">
        <v>1</v>
      </c>
      <c r="BS447" s="576" t="s">
        <v>778</v>
      </c>
      <c r="BT447" s="576">
        <v>1678</v>
      </c>
      <c r="BU447" s="560" t="s">
        <v>1109</v>
      </c>
      <c r="DD447" s="561"/>
      <c r="DE447" s="562"/>
      <c r="DF447" s="562"/>
      <c r="DG447" s="562"/>
      <c r="DH447" s="562"/>
      <c r="DI447" s="562"/>
      <c r="DJ447" s="562"/>
      <c r="DK447" s="562"/>
      <c r="DL447" s="562"/>
      <c r="DM447" s="562"/>
      <c r="DN447" s="562"/>
      <c r="DO447" s="562"/>
      <c r="DP447" s="562"/>
      <c r="DQ447" s="562"/>
      <c r="DR447" s="562"/>
      <c r="DS447" s="562"/>
      <c r="DT447" s="562"/>
      <c r="DU447" s="562"/>
      <c r="DV447" s="562"/>
      <c r="DW447" s="562"/>
      <c r="DX447" s="562"/>
    </row>
    <row r="448" spans="17:128" s="560" customFormat="1">
      <c r="Q448" s="562"/>
      <c r="R448" s="562">
        <v>0.7</v>
      </c>
      <c r="S448" s="562"/>
      <c r="T448" s="562"/>
      <c r="U448" s="562"/>
      <c r="V448" s="562"/>
      <c r="W448" s="562"/>
      <c r="X448" s="562"/>
      <c r="Y448" s="562"/>
      <c r="Z448" s="562"/>
      <c r="AA448" s="562"/>
      <c r="AB448" s="562"/>
      <c r="AC448" s="562"/>
      <c r="AD448" s="563"/>
      <c r="AE448" s="561"/>
      <c r="AF448" s="568">
        <v>21.5</v>
      </c>
      <c r="AG448" s="562"/>
      <c r="AH448" s="577">
        <v>0.5</v>
      </c>
      <c r="AI448" s="577" t="s">
        <v>793</v>
      </c>
      <c r="AJ448" s="577"/>
      <c r="AK448" s="577"/>
      <c r="AL448" s="577"/>
      <c r="AM448" s="577">
        <v>1</v>
      </c>
      <c r="AN448" s="562"/>
      <c r="AO448" s="562"/>
      <c r="AP448" s="659"/>
      <c r="AQ448" s="599"/>
      <c r="AR448" s="649"/>
      <c r="AS448" s="657"/>
      <c r="AT448" s="657"/>
      <c r="AU448" s="562"/>
      <c r="AV448" s="577">
        <v>2557</v>
      </c>
      <c r="AW448" s="562"/>
      <c r="AX448" s="562"/>
      <c r="AY448" s="562"/>
      <c r="AZ448" s="562"/>
      <c r="BA448" s="562"/>
      <c r="BB448" s="563"/>
      <c r="BD448" s="560">
        <v>11</v>
      </c>
      <c r="BF448" s="576"/>
      <c r="BG448" s="576"/>
      <c r="BH448" s="576"/>
      <c r="BI448" s="576">
        <v>1</v>
      </c>
      <c r="BJ448" s="576"/>
      <c r="BK448" s="576"/>
      <c r="BL448" s="560">
        <v>1.8</v>
      </c>
      <c r="BM448" s="576">
        <f t="shared" si="73"/>
        <v>3.6</v>
      </c>
      <c r="BN448" s="576" t="s">
        <v>779</v>
      </c>
      <c r="BO448" s="611">
        <v>3</v>
      </c>
      <c r="BP448" s="611">
        <f t="shared" si="74"/>
        <v>0.60000000000000009</v>
      </c>
      <c r="BQ448" s="612"/>
      <c r="BR448" s="612">
        <v>1</v>
      </c>
      <c r="BS448" s="576" t="s">
        <v>778</v>
      </c>
      <c r="BT448" s="576"/>
      <c r="DD448" s="561"/>
      <c r="DE448" s="562"/>
      <c r="DF448" s="562"/>
      <c r="DG448" s="562"/>
      <c r="DH448" s="562"/>
      <c r="DI448" s="562"/>
      <c r="DJ448" s="562"/>
      <c r="DK448" s="562"/>
      <c r="DL448" s="562"/>
      <c r="DM448" s="562"/>
      <c r="DN448" s="562"/>
      <c r="DO448" s="562"/>
      <c r="DP448" s="562"/>
      <c r="DQ448" s="562"/>
      <c r="DR448" s="562"/>
      <c r="DS448" s="562"/>
      <c r="DT448" s="562"/>
      <c r="DU448" s="562"/>
      <c r="DV448" s="562"/>
      <c r="DW448" s="562"/>
      <c r="DX448" s="562"/>
    </row>
    <row r="449" spans="17:75" s="560" customFormat="1">
      <c r="Q449" s="562"/>
      <c r="R449" s="562">
        <v>0.55000000000000004</v>
      </c>
      <c r="S449" s="562"/>
      <c r="T449" s="562"/>
      <c r="U449" s="562"/>
      <c r="V449" s="562"/>
      <c r="W449" s="562"/>
      <c r="X449" s="562"/>
      <c r="Y449" s="562"/>
      <c r="Z449" s="562"/>
      <c r="AA449" s="562"/>
      <c r="AB449" s="562"/>
      <c r="AC449" s="562"/>
      <c r="AD449" s="563"/>
      <c r="AE449" s="561"/>
      <c r="AF449" s="568">
        <v>22</v>
      </c>
      <c r="AG449" s="562"/>
      <c r="AH449" s="577"/>
      <c r="AI449" s="577"/>
      <c r="AJ449" s="577"/>
      <c r="AK449" s="577">
        <v>1</v>
      </c>
      <c r="AL449" s="577"/>
      <c r="AM449" s="577"/>
      <c r="AN449" s="562">
        <v>2.1</v>
      </c>
      <c r="AO449" s="562">
        <f>AN449+AN449</f>
        <v>4.2</v>
      </c>
      <c r="AP449" s="598">
        <v>0.140625</v>
      </c>
      <c r="AQ449" s="599">
        <v>4.0948837209302322</v>
      </c>
      <c r="AR449" s="599">
        <f>AO449-AQ449</f>
        <v>0.10511627906976795</v>
      </c>
      <c r="AS449" s="600"/>
      <c r="AT449" s="600">
        <v>1</v>
      </c>
      <c r="AU449" s="577" t="s">
        <v>778</v>
      </c>
      <c r="AV449" s="577"/>
      <c r="AW449" s="562"/>
      <c r="AX449" s="562"/>
      <c r="AY449" s="562"/>
      <c r="AZ449" s="562"/>
      <c r="BA449" s="562"/>
      <c r="BB449" s="563"/>
      <c r="BD449" s="560">
        <v>12</v>
      </c>
      <c r="BF449" s="576">
        <v>0.1</v>
      </c>
      <c r="BG449" s="576" t="s">
        <v>777</v>
      </c>
      <c r="BH449" s="576">
        <v>1</v>
      </c>
      <c r="BI449" s="576"/>
      <c r="BJ449" s="576"/>
      <c r="BK449" s="576"/>
      <c r="BL449" s="560">
        <v>1.5</v>
      </c>
      <c r="BM449" s="576">
        <f t="shared" si="73"/>
        <v>3</v>
      </c>
      <c r="BN449" s="576" t="s">
        <v>779</v>
      </c>
      <c r="BO449" s="611">
        <v>3</v>
      </c>
      <c r="BP449" s="611">
        <f t="shared" si="74"/>
        <v>0</v>
      </c>
      <c r="BQ449" s="612"/>
      <c r="BR449" s="612">
        <v>1</v>
      </c>
      <c r="BS449" s="576" t="s">
        <v>778</v>
      </c>
      <c r="BT449" s="576">
        <v>1677</v>
      </c>
      <c r="BU449" s="560" t="s">
        <v>1109</v>
      </c>
    </row>
    <row r="450" spans="17:75" s="560" customFormat="1">
      <c r="Q450" s="562"/>
      <c r="R450" s="562">
        <v>0.6</v>
      </c>
      <c r="S450" s="562"/>
      <c r="T450" s="562"/>
      <c r="U450" s="562"/>
      <c r="V450" s="562"/>
      <c r="W450" s="562"/>
      <c r="X450" s="562"/>
      <c r="Y450" s="562"/>
      <c r="Z450" s="562"/>
      <c r="AA450" s="562"/>
      <c r="AB450" s="562"/>
      <c r="AC450" s="562"/>
      <c r="AD450" s="563"/>
      <c r="AE450" s="561"/>
      <c r="AF450" s="568">
        <v>23</v>
      </c>
      <c r="AG450" s="562"/>
      <c r="AH450" s="577"/>
      <c r="AI450" s="577"/>
      <c r="AJ450" s="577"/>
      <c r="AK450" s="577">
        <v>1</v>
      </c>
      <c r="AL450" s="577"/>
      <c r="AM450" s="577"/>
      <c r="AN450" s="562">
        <v>2.1</v>
      </c>
      <c r="AO450" s="562">
        <f>AN450+AN450</f>
        <v>4.2</v>
      </c>
      <c r="AP450" s="598">
        <v>0.140625</v>
      </c>
      <c r="AQ450" s="599">
        <v>4.086976744186047</v>
      </c>
      <c r="AR450" s="599">
        <f>AO450-AQ450</f>
        <v>0.11302325581395323</v>
      </c>
      <c r="AS450" s="600"/>
      <c r="AT450" s="600">
        <v>1</v>
      </c>
      <c r="AU450" s="577" t="s">
        <v>778</v>
      </c>
      <c r="AV450" s="577"/>
      <c r="AW450" s="562"/>
      <c r="AX450" s="562"/>
      <c r="AY450" s="562"/>
      <c r="AZ450" s="562"/>
      <c r="BA450" s="562"/>
      <c r="BB450" s="563"/>
      <c r="BD450" s="560">
        <v>13</v>
      </c>
      <c r="BF450" s="576">
        <v>0.4</v>
      </c>
      <c r="BG450" s="576" t="s">
        <v>793</v>
      </c>
      <c r="BH450" s="576"/>
      <c r="BI450" s="576">
        <v>1</v>
      </c>
      <c r="BJ450" s="576"/>
      <c r="BK450" s="576">
        <v>1</v>
      </c>
      <c r="BL450" s="560">
        <v>1.7</v>
      </c>
      <c r="BM450" s="576">
        <f t="shared" si="73"/>
        <v>3.4</v>
      </c>
      <c r="BN450" s="576" t="s">
        <v>779</v>
      </c>
      <c r="BO450" s="611">
        <v>3</v>
      </c>
      <c r="BP450" s="611">
        <f t="shared" si="74"/>
        <v>0.39999999999999991</v>
      </c>
      <c r="BQ450" s="612"/>
      <c r="BR450" s="612">
        <v>1</v>
      </c>
      <c r="BS450" s="576" t="s">
        <v>778</v>
      </c>
      <c r="BT450" s="576">
        <v>1676</v>
      </c>
      <c r="BU450" s="560" t="s">
        <v>1109</v>
      </c>
    </row>
    <row r="451" spans="17:75" s="560" customFormat="1">
      <c r="Q451" s="562"/>
      <c r="R451" s="562">
        <v>0.55000000000000004</v>
      </c>
      <c r="S451" s="562"/>
      <c r="T451" s="562"/>
      <c r="U451" s="562"/>
      <c r="V451" s="562"/>
      <c r="W451" s="562"/>
      <c r="X451" s="562"/>
      <c r="Y451" s="562"/>
      <c r="Z451" s="562"/>
      <c r="AA451" s="562"/>
      <c r="AB451" s="562"/>
      <c r="AC451" s="562"/>
      <c r="AD451" s="563"/>
      <c r="AE451" s="561"/>
      <c r="AF451" s="568">
        <v>23.5</v>
      </c>
      <c r="AG451" s="562"/>
      <c r="AH451" s="577">
        <v>0.2</v>
      </c>
      <c r="AI451" s="577" t="s">
        <v>793</v>
      </c>
      <c r="AJ451" s="577"/>
      <c r="AK451" s="577"/>
      <c r="AL451" s="577"/>
      <c r="AM451" s="577">
        <v>1</v>
      </c>
      <c r="AN451" s="562"/>
      <c r="AO451" s="562"/>
      <c r="AP451" s="659"/>
      <c r="AQ451" s="599"/>
      <c r="AR451" s="649"/>
      <c r="AS451" s="657"/>
      <c r="AT451" s="657"/>
      <c r="AU451" s="562"/>
      <c r="AV451" s="577">
        <v>2558</v>
      </c>
      <c r="AW451" s="562"/>
      <c r="AX451" s="562"/>
      <c r="AY451" s="562"/>
      <c r="AZ451" s="562"/>
      <c r="BA451" s="562"/>
      <c r="BB451" s="563"/>
      <c r="BD451" s="560">
        <v>14</v>
      </c>
      <c r="BF451" s="576">
        <v>1.3</v>
      </c>
      <c r="BG451" s="576" t="s">
        <v>793</v>
      </c>
      <c r="BH451" s="576"/>
      <c r="BI451" s="576">
        <v>1</v>
      </c>
      <c r="BJ451" s="576"/>
      <c r="BK451" s="576">
        <v>1</v>
      </c>
      <c r="BL451" s="560">
        <v>1.8</v>
      </c>
      <c r="BM451" s="576">
        <f t="shared" si="73"/>
        <v>3.6</v>
      </c>
      <c r="BN451" s="576" t="s">
        <v>779</v>
      </c>
      <c r="BO451" s="611">
        <v>3</v>
      </c>
      <c r="BP451" s="611">
        <f t="shared" si="74"/>
        <v>0.60000000000000009</v>
      </c>
      <c r="BQ451" s="612"/>
      <c r="BR451" s="612">
        <v>1</v>
      </c>
      <c r="BS451" s="576" t="s">
        <v>778</v>
      </c>
      <c r="BT451" s="576">
        <v>1675</v>
      </c>
      <c r="BU451" s="560" t="s">
        <v>1109</v>
      </c>
    </row>
    <row r="452" spans="17:75" s="560" customFormat="1">
      <c r="Q452" s="562"/>
      <c r="R452" s="562">
        <v>0.6</v>
      </c>
      <c r="S452" s="562"/>
      <c r="T452" s="562"/>
      <c r="U452" s="562"/>
      <c r="V452" s="562"/>
      <c r="W452" s="562"/>
      <c r="X452" s="562"/>
      <c r="Y452" s="562"/>
      <c r="Z452" s="562"/>
      <c r="AA452" s="562"/>
      <c r="AB452" s="562"/>
      <c r="AC452" s="562"/>
      <c r="AD452" s="563"/>
      <c r="AE452" s="561"/>
      <c r="AF452" s="568">
        <v>24</v>
      </c>
      <c r="AG452" s="562"/>
      <c r="AH452" s="577"/>
      <c r="AI452" s="577"/>
      <c r="AJ452" s="577"/>
      <c r="AK452" s="577">
        <v>1</v>
      </c>
      <c r="AL452" s="577"/>
      <c r="AM452" s="577"/>
      <c r="AN452" s="562">
        <v>2.25</v>
      </c>
      <c r="AO452" s="562">
        <f>AN452+AN452</f>
        <v>4.5</v>
      </c>
      <c r="AP452" s="598">
        <v>0.140625</v>
      </c>
      <c r="AQ452" s="599">
        <v>4.0711627906976746</v>
      </c>
      <c r="AR452" s="599">
        <f>AO452-AQ452</f>
        <v>0.42883720930232538</v>
      </c>
      <c r="AS452" s="600"/>
      <c r="AT452" s="600">
        <v>1</v>
      </c>
      <c r="AU452" s="577" t="s">
        <v>778</v>
      </c>
      <c r="AV452" s="577"/>
      <c r="AW452" s="562"/>
      <c r="AX452" s="562"/>
      <c r="AY452" s="562"/>
      <c r="AZ452" s="562"/>
      <c r="BA452" s="562"/>
      <c r="BB452" s="563"/>
      <c r="BD452" s="560">
        <v>15</v>
      </c>
      <c r="BF452" s="576">
        <v>0.5</v>
      </c>
      <c r="BG452" s="576" t="s">
        <v>793</v>
      </c>
      <c r="BH452" s="576"/>
      <c r="BI452" s="576">
        <v>1</v>
      </c>
      <c r="BJ452" s="576"/>
      <c r="BK452" s="576">
        <v>1</v>
      </c>
      <c r="BL452" s="560">
        <v>1.5</v>
      </c>
      <c r="BM452" s="576">
        <f t="shared" si="73"/>
        <v>3</v>
      </c>
      <c r="BN452" s="576" t="s">
        <v>779</v>
      </c>
      <c r="BO452" s="611">
        <v>3</v>
      </c>
      <c r="BP452" s="611">
        <f t="shared" si="74"/>
        <v>0</v>
      </c>
      <c r="BQ452" s="612"/>
      <c r="BR452" s="612">
        <v>1</v>
      </c>
      <c r="BS452" s="576" t="s">
        <v>778</v>
      </c>
      <c r="BT452" s="576">
        <v>1674</v>
      </c>
      <c r="BU452" s="560" t="s">
        <v>1109</v>
      </c>
    </row>
    <row r="453" spans="17:75" s="560" customFormat="1">
      <c r="Q453" s="562" t="s">
        <v>1019</v>
      </c>
      <c r="R453" s="562"/>
      <c r="S453" s="562"/>
      <c r="T453" s="562"/>
      <c r="U453" s="562"/>
      <c r="V453" s="562"/>
      <c r="W453" s="562"/>
      <c r="X453" s="562"/>
      <c r="Y453" s="562"/>
      <c r="Z453" s="562"/>
      <c r="AA453" s="562"/>
      <c r="AB453" s="562"/>
      <c r="AC453" s="562"/>
      <c r="AD453" s="563"/>
      <c r="AE453" s="561"/>
      <c r="AF453" s="568">
        <v>25</v>
      </c>
      <c r="AG453" s="562"/>
      <c r="AH453" s="577">
        <v>0.1</v>
      </c>
      <c r="AI453" s="577" t="s">
        <v>778</v>
      </c>
      <c r="AJ453" s="577">
        <v>1</v>
      </c>
      <c r="AK453" s="577"/>
      <c r="AL453" s="577"/>
      <c r="AM453" s="577"/>
      <c r="AN453" s="562">
        <v>2.0499999999999998</v>
      </c>
      <c r="AO453" s="562">
        <f>AN453+AN453</f>
        <v>4.0999999999999996</v>
      </c>
      <c r="AP453" s="598">
        <v>0.140625</v>
      </c>
      <c r="AQ453" s="599">
        <v>4.0632558139534884</v>
      </c>
      <c r="AR453" s="599">
        <f>AO453-AQ453</f>
        <v>3.6744186046511196E-2</v>
      </c>
      <c r="AS453" s="600"/>
      <c r="AT453" s="600">
        <v>1</v>
      </c>
      <c r="AU453" s="577" t="s">
        <v>778</v>
      </c>
      <c r="AV453" s="577">
        <v>2559</v>
      </c>
      <c r="AW453" s="562"/>
      <c r="AX453" s="562"/>
      <c r="AY453" s="562"/>
      <c r="AZ453" s="562"/>
      <c r="BA453" s="562"/>
      <c r="BB453" s="563"/>
      <c r="BD453" s="560">
        <v>16</v>
      </c>
      <c r="BF453" s="576">
        <v>0.1</v>
      </c>
      <c r="BG453" s="576" t="s">
        <v>1110</v>
      </c>
      <c r="BH453" s="576">
        <v>1</v>
      </c>
      <c r="BI453" s="576"/>
      <c r="BJ453" s="576"/>
      <c r="BK453" s="576"/>
      <c r="BL453" s="560">
        <v>1.7</v>
      </c>
      <c r="BM453" s="576">
        <f t="shared" si="73"/>
        <v>3.4</v>
      </c>
      <c r="BN453" s="576" t="s">
        <v>779</v>
      </c>
      <c r="BO453" s="611">
        <v>3</v>
      </c>
      <c r="BP453" s="611">
        <f t="shared" si="74"/>
        <v>0.39999999999999991</v>
      </c>
      <c r="BQ453" s="612"/>
      <c r="BR453" s="612">
        <v>1</v>
      </c>
      <c r="BS453" s="576" t="s">
        <v>778</v>
      </c>
      <c r="BT453" s="576">
        <v>1673</v>
      </c>
      <c r="BU453" s="560" t="s">
        <v>1109</v>
      </c>
    </row>
    <row r="454" spans="17:75" s="560" customFormat="1">
      <c r="Q454" s="562"/>
      <c r="R454" s="562">
        <v>0.6</v>
      </c>
      <c r="S454" s="562"/>
      <c r="T454" s="562"/>
      <c r="U454" s="562"/>
      <c r="V454" s="562"/>
      <c r="W454" s="562"/>
      <c r="X454" s="562"/>
      <c r="Y454" s="562"/>
      <c r="Z454" s="562"/>
      <c r="AA454" s="562"/>
      <c r="AB454" s="562"/>
      <c r="AC454" s="562"/>
      <c r="AD454" s="563"/>
      <c r="AE454" s="561"/>
      <c r="AF454" s="568">
        <v>26</v>
      </c>
      <c r="AG454" s="562"/>
      <c r="AH454" s="577">
        <v>0.1</v>
      </c>
      <c r="AI454" s="577" t="s">
        <v>778</v>
      </c>
      <c r="AJ454" s="577">
        <v>1</v>
      </c>
      <c r="AK454" s="577"/>
      <c r="AL454" s="577"/>
      <c r="AM454" s="577"/>
      <c r="AN454" s="562">
        <v>2.2000000000000002</v>
      </c>
      <c r="AO454" s="562">
        <f>AN454+AN454</f>
        <v>4.4000000000000004</v>
      </c>
      <c r="AP454" s="598">
        <v>0.140625</v>
      </c>
      <c r="AQ454" s="599">
        <v>4.0553488372093023</v>
      </c>
      <c r="AR454" s="599">
        <f>AO454-AQ454</f>
        <v>0.34465116279069807</v>
      </c>
      <c r="AS454" s="600"/>
      <c r="AT454" s="600">
        <v>1</v>
      </c>
      <c r="AU454" s="577" t="s">
        <v>778</v>
      </c>
      <c r="AV454" s="577">
        <v>2560</v>
      </c>
      <c r="AW454" s="562"/>
      <c r="AX454" s="562"/>
      <c r="AY454" s="562"/>
      <c r="AZ454" s="562"/>
      <c r="BA454" s="562"/>
      <c r="BB454" s="563"/>
      <c r="BD454" s="560">
        <v>17</v>
      </c>
      <c r="BF454" s="576"/>
      <c r="BG454" s="576"/>
      <c r="BH454" s="576"/>
      <c r="BI454" s="576">
        <v>1</v>
      </c>
      <c r="BJ454" s="576"/>
      <c r="BK454" s="576"/>
      <c r="BL454" s="560">
        <v>1.7</v>
      </c>
      <c r="BM454" s="576">
        <f t="shared" si="73"/>
        <v>3.4</v>
      </c>
      <c r="BN454" s="576" t="s">
        <v>779</v>
      </c>
      <c r="BO454" s="611">
        <v>3</v>
      </c>
      <c r="BP454" s="611">
        <f t="shared" si="74"/>
        <v>0.39999999999999991</v>
      </c>
      <c r="BQ454" s="612"/>
      <c r="BR454" s="612">
        <v>1</v>
      </c>
      <c r="BS454" s="576" t="s">
        <v>778</v>
      </c>
      <c r="BT454" s="576"/>
      <c r="BU454" s="560" t="s">
        <v>1109</v>
      </c>
      <c r="BV454" s="627" t="s">
        <v>806</v>
      </c>
      <c r="BW454" s="627">
        <f>COUNT(BP438:BP488)</f>
        <v>48</v>
      </c>
    </row>
    <row r="455" spans="17:75" s="560" customFormat="1">
      <c r="Q455" s="562"/>
      <c r="R455" s="562">
        <v>0.65</v>
      </c>
      <c r="S455" s="562"/>
      <c r="T455" s="562"/>
      <c r="U455" s="562"/>
      <c r="V455" s="562"/>
      <c r="W455" s="562"/>
      <c r="X455" s="562"/>
      <c r="Y455" s="562"/>
      <c r="Z455" s="562"/>
      <c r="AA455" s="562"/>
      <c r="AB455" s="562"/>
      <c r="AC455" s="562"/>
      <c r="AD455" s="563"/>
      <c r="AE455" s="561"/>
      <c r="AF455" s="568">
        <v>27</v>
      </c>
      <c r="AG455" s="562"/>
      <c r="AH455" s="577">
        <v>0.1</v>
      </c>
      <c r="AI455" s="577" t="s">
        <v>778</v>
      </c>
      <c r="AJ455" s="577">
        <v>1</v>
      </c>
      <c r="AK455" s="577"/>
      <c r="AL455" s="577"/>
      <c r="AM455" s="577"/>
      <c r="AN455" s="562">
        <v>2</v>
      </c>
      <c r="AO455" s="562">
        <f>AN455+AN455</f>
        <v>4</v>
      </c>
      <c r="AP455" s="598">
        <v>0.140625</v>
      </c>
      <c r="AQ455" s="599">
        <v>4.0474418604651161</v>
      </c>
      <c r="AR455" s="599">
        <f>AO455-AQ455</f>
        <v>-4.7441860465116115E-2</v>
      </c>
      <c r="AS455" s="600"/>
      <c r="AT455" s="600">
        <v>1</v>
      </c>
      <c r="AU455" s="577" t="s">
        <v>778</v>
      </c>
      <c r="AV455" s="577">
        <v>2561</v>
      </c>
      <c r="AW455" s="562"/>
      <c r="AX455" s="562"/>
      <c r="AY455" s="562"/>
      <c r="AZ455" s="562"/>
      <c r="BA455" s="562"/>
      <c r="BB455" s="563"/>
      <c r="BD455" s="560">
        <v>18</v>
      </c>
      <c r="BF455" s="576"/>
      <c r="BG455" s="576"/>
      <c r="BH455" s="576"/>
      <c r="BI455" s="576">
        <v>1</v>
      </c>
      <c r="BJ455" s="576"/>
      <c r="BK455" s="576"/>
      <c r="BL455" s="560">
        <v>1.6</v>
      </c>
      <c r="BM455" s="576">
        <f t="shared" si="73"/>
        <v>3.2</v>
      </c>
      <c r="BN455" s="576" t="s">
        <v>779</v>
      </c>
      <c r="BO455" s="611">
        <v>3</v>
      </c>
      <c r="BP455" s="611">
        <f t="shared" si="74"/>
        <v>0.20000000000000018</v>
      </c>
      <c r="BQ455" s="612"/>
      <c r="BR455" s="612">
        <v>1</v>
      </c>
      <c r="BS455" s="576" t="s">
        <v>778</v>
      </c>
      <c r="BT455" s="576"/>
      <c r="BU455" s="560" t="s">
        <v>1109</v>
      </c>
      <c r="BV455" s="627" t="s">
        <v>812</v>
      </c>
      <c r="BW455" s="628">
        <f>SUM(BP438:BP483,BP485:BP488)</f>
        <v>19.099999999999994</v>
      </c>
    </row>
    <row r="456" spans="17:75" s="560" customFormat="1">
      <c r="Q456" s="562"/>
      <c r="R456" s="562">
        <v>0.65</v>
      </c>
      <c r="S456" s="562"/>
      <c r="T456" s="562"/>
      <c r="U456" s="562"/>
      <c r="V456" s="562"/>
      <c r="W456" s="562"/>
      <c r="X456" s="562"/>
      <c r="Y456" s="562"/>
      <c r="Z456" s="562"/>
      <c r="AA456" s="562"/>
      <c r="AB456" s="562"/>
      <c r="AC456" s="562"/>
      <c r="AD456" s="563"/>
      <c r="AE456" s="561"/>
      <c r="AF456" s="568">
        <v>28</v>
      </c>
      <c r="AG456" s="562"/>
      <c r="AH456" s="577">
        <v>0.1</v>
      </c>
      <c r="AI456" s="577" t="s">
        <v>777</v>
      </c>
      <c r="AJ456" s="577">
        <v>1</v>
      </c>
      <c r="AK456" s="577"/>
      <c r="AL456" s="577"/>
      <c r="AM456" s="577"/>
      <c r="AN456" s="562">
        <v>2.1</v>
      </c>
      <c r="AO456" s="562">
        <f>AN456+AN456</f>
        <v>4.2</v>
      </c>
      <c r="AP456" s="598">
        <v>0.140625</v>
      </c>
      <c r="AQ456" s="599">
        <v>4.0395348837209308</v>
      </c>
      <c r="AR456" s="599">
        <f>AO456-AQ456</f>
        <v>0.16046511627906934</v>
      </c>
      <c r="AS456" s="600"/>
      <c r="AT456" s="600">
        <v>1</v>
      </c>
      <c r="AU456" s="577" t="s">
        <v>778</v>
      </c>
      <c r="AV456" s="577">
        <v>2562</v>
      </c>
      <c r="AW456" s="562"/>
      <c r="AX456" s="562"/>
      <c r="AY456" s="562"/>
      <c r="AZ456" s="562"/>
      <c r="BA456" s="562"/>
      <c r="BB456" s="563"/>
      <c r="BD456" s="560">
        <v>19</v>
      </c>
      <c r="BF456" s="576"/>
      <c r="BG456" s="576"/>
      <c r="BH456" s="576"/>
      <c r="BI456" s="576">
        <v>1</v>
      </c>
      <c r="BJ456" s="576"/>
      <c r="BK456" s="576"/>
      <c r="BL456" s="560">
        <v>1.7</v>
      </c>
      <c r="BM456" s="576">
        <f t="shared" si="73"/>
        <v>3.4</v>
      </c>
      <c r="BN456" s="576" t="s">
        <v>779</v>
      </c>
      <c r="BO456" s="611">
        <v>3</v>
      </c>
      <c r="BP456" s="611">
        <f t="shared" si="74"/>
        <v>0.39999999999999991</v>
      </c>
      <c r="BQ456" s="612"/>
      <c r="BR456" s="612">
        <v>1</v>
      </c>
      <c r="BS456" s="576" t="s">
        <v>778</v>
      </c>
      <c r="BT456" s="576"/>
      <c r="BU456" s="560" t="s">
        <v>1109</v>
      </c>
      <c r="BV456" s="627" t="s">
        <v>811</v>
      </c>
      <c r="BW456" s="628">
        <f>MAX(BP438:BP488)</f>
        <v>1.9000000000000004</v>
      </c>
    </row>
    <row r="457" spans="17:75" s="560" customFormat="1">
      <c r="Q457" s="562"/>
      <c r="R457" s="562">
        <v>0.63</v>
      </c>
      <c r="S457" s="562"/>
      <c r="T457" s="562"/>
      <c r="U457" s="562"/>
      <c r="V457" s="562"/>
      <c r="W457" s="562"/>
      <c r="X457" s="562"/>
      <c r="Y457" s="562"/>
      <c r="Z457" s="562"/>
      <c r="AA457" s="562"/>
      <c r="AB457" s="562"/>
      <c r="AC457" s="562"/>
      <c r="AD457" s="563"/>
      <c r="AE457" s="561"/>
      <c r="AF457" s="568">
        <v>28.1</v>
      </c>
      <c r="AG457" s="562"/>
      <c r="AH457" s="577">
        <v>0.5</v>
      </c>
      <c r="AI457" s="577" t="s">
        <v>1111</v>
      </c>
      <c r="AJ457" s="577"/>
      <c r="AK457" s="577"/>
      <c r="AL457" s="577">
        <v>1</v>
      </c>
      <c r="AM457" s="577"/>
      <c r="AN457" s="562"/>
      <c r="AO457" s="562"/>
      <c r="AP457" s="659"/>
      <c r="AQ457" s="599"/>
      <c r="AR457" s="649"/>
      <c r="AS457" s="657"/>
      <c r="AT457" s="657"/>
      <c r="AU457" s="562"/>
      <c r="AV457" s="577">
        <v>2563</v>
      </c>
      <c r="AW457" s="562"/>
      <c r="AX457" s="562"/>
      <c r="AY457" s="562"/>
      <c r="AZ457" s="562"/>
      <c r="BA457" s="562"/>
      <c r="BB457" s="563"/>
      <c r="BD457" s="560">
        <v>20</v>
      </c>
      <c r="BF457" s="576"/>
      <c r="BG457" s="576"/>
      <c r="BH457" s="576"/>
      <c r="BI457" s="576">
        <v>1</v>
      </c>
      <c r="BJ457" s="576"/>
      <c r="BK457" s="576"/>
      <c r="BL457" s="560">
        <v>1.8</v>
      </c>
      <c r="BM457" s="576">
        <f t="shared" si="73"/>
        <v>3.6</v>
      </c>
      <c r="BN457" s="576" t="s">
        <v>779</v>
      </c>
      <c r="BO457" s="611">
        <v>3</v>
      </c>
      <c r="BP457" s="611">
        <f t="shared" si="74"/>
        <v>0.60000000000000009</v>
      </c>
      <c r="BQ457" s="612"/>
      <c r="BR457" s="612">
        <v>1</v>
      </c>
      <c r="BS457" s="576" t="s">
        <v>778</v>
      </c>
      <c r="BT457" s="576"/>
      <c r="BU457" s="560" t="s">
        <v>1109</v>
      </c>
      <c r="BV457" s="627" t="s">
        <v>814</v>
      </c>
      <c r="BW457" s="628">
        <f>MIN(BP438:BP483,BP485:BP488)</f>
        <v>-0.20000000000000018</v>
      </c>
    </row>
    <row r="458" spans="17:75" s="560" customFormat="1">
      <c r="Q458" s="562"/>
      <c r="R458" s="562">
        <v>0.7</v>
      </c>
      <c r="S458" s="562"/>
      <c r="T458" s="562"/>
      <c r="U458" s="562"/>
      <c r="V458" s="562"/>
      <c r="W458" s="562"/>
      <c r="X458" s="562"/>
      <c r="Y458" s="562"/>
      <c r="Z458" s="562"/>
      <c r="AA458" s="562"/>
      <c r="AB458" s="562"/>
      <c r="AC458" s="562"/>
      <c r="AD458" s="563"/>
      <c r="AE458" s="561"/>
      <c r="AF458" s="568">
        <v>29</v>
      </c>
      <c r="AG458" s="562"/>
      <c r="AH458" s="577"/>
      <c r="AI458" s="577"/>
      <c r="AJ458" s="577"/>
      <c r="AK458" s="577">
        <v>1</v>
      </c>
      <c r="AL458" s="577"/>
      <c r="AM458" s="577"/>
      <c r="AN458" s="562">
        <v>2.1</v>
      </c>
      <c r="AO458" s="562">
        <f>AN458+AN458</f>
        <v>4.2</v>
      </c>
      <c r="AP458" s="598">
        <v>0.140625</v>
      </c>
      <c r="AQ458" s="599">
        <v>4.0237209302325585</v>
      </c>
      <c r="AR458" s="599">
        <f>AO458-AQ458</f>
        <v>0.17627906976744168</v>
      </c>
      <c r="AS458" s="600"/>
      <c r="AT458" s="600">
        <v>1</v>
      </c>
      <c r="AU458" s="577" t="s">
        <v>778</v>
      </c>
      <c r="AV458" s="577"/>
      <c r="AW458" s="562"/>
      <c r="AX458" s="562"/>
      <c r="AY458" s="562"/>
      <c r="AZ458" s="562"/>
      <c r="BA458" s="562"/>
      <c r="BB458" s="563"/>
      <c r="BD458" s="560">
        <v>21</v>
      </c>
      <c r="BF458" s="576"/>
      <c r="BG458" s="576"/>
      <c r="BH458" s="576"/>
      <c r="BI458" s="576">
        <v>1</v>
      </c>
      <c r="BJ458" s="576"/>
      <c r="BK458" s="576"/>
      <c r="BL458" s="560">
        <v>1.55</v>
      </c>
      <c r="BM458" s="576">
        <f t="shared" si="73"/>
        <v>3.1</v>
      </c>
      <c r="BN458" s="576" t="s">
        <v>779</v>
      </c>
      <c r="BO458" s="611">
        <v>3</v>
      </c>
      <c r="BP458" s="611">
        <f t="shared" si="74"/>
        <v>0.10000000000000009</v>
      </c>
      <c r="BQ458" s="612"/>
      <c r="BR458" s="612">
        <v>1</v>
      </c>
      <c r="BS458" s="576" t="s">
        <v>778</v>
      </c>
      <c r="BT458" s="576"/>
      <c r="BU458" s="560" t="s">
        <v>1109</v>
      </c>
      <c r="BV458" s="627" t="s">
        <v>817</v>
      </c>
      <c r="BW458" s="628">
        <f>AVERAGE(BP438:BP483,BP485:BP488)</f>
        <v>0.40638297872340412</v>
      </c>
    </row>
    <row r="459" spans="17:75" s="560" customFormat="1">
      <c r="Q459" s="562"/>
      <c r="R459" s="562">
        <v>0.7</v>
      </c>
      <c r="S459" s="562"/>
      <c r="T459" s="562"/>
      <c r="U459" s="562"/>
      <c r="V459" s="562"/>
      <c r="W459" s="562"/>
      <c r="X459" s="562"/>
      <c r="Y459" s="562"/>
      <c r="Z459" s="562"/>
      <c r="AA459" s="562"/>
      <c r="AB459" s="562"/>
      <c r="AC459" s="562"/>
      <c r="AD459" s="563"/>
      <c r="AE459" s="561"/>
      <c r="AF459" s="568">
        <v>30</v>
      </c>
      <c r="AG459" s="562"/>
      <c r="AH459" s="577"/>
      <c r="AI459" s="577"/>
      <c r="AJ459" s="577"/>
      <c r="AK459" s="577">
        <v>1</v>
      </c>
      <c r="AL459" s="577"/>
      <c r="AM459" s="577"/>
      <c r="AN459" s="562">
        <v>2.1</v>
      </c>
      <c r="AO459" s="562">
        <f>AN459+AN459</f>
        <v>4.2</v>
      </c>
      <c r="AP459" s="598">
        <v>0.140625</v>
      </c>
      <c r="AQ459" s="599">
        <v>4.0158139534883723</v>
      </c>
      <c r="AR459" s="599">
        <f>AO459-AQ459</f>
        <v>0.18418604651162784</v>
      </c>
      <c r="AS459" s="600"/>
      <c r="AT459" s="600">
        <v>1</v>
      </c>
      <c r="AU459" s="577" t="s">
        <v>778</v>
      </c>
      <c r="AV459" s="577"/>
      <c r="AW459" s="562"/>
      <c r="AX459" s="562"/>
      <c r="AY459" s="562"/>
      <c r="AZ459" s="562"/>
      <c r="BA459" s="562"/>
      <c r="BB459" s="563"/>
      <c r="BD459" s="560">
        <v>22</v>
      </c>
      <c r="BF459" s="576"/>
      <c r="BG459" s="576"/>
      <c r="BH459" s="576"/>
      <c r="BI459" s="576">
        <v>1</v>
      </c>
      <c r="BJ459" s="576"/>
      <c r="BK459" s="576"/>
      <c r="BL459" s="560">
        <v>1.5</v>
      </c>
      <c r="BM459" s="576">
        <f t="shared" si="73"/>
        <v>3</v>
      </c>
      <c r="BN459" s="576" t="s">
        <v>779</v>
      </c>
      <c r="BO459" s="611">
        <v>3</v>
      </c>
      <c r="BP459" s="611">
        <f t="shared" si="74"/>
        <v>0</v>
      </c>
      <c r="BQ459" s="612"/>
      <c r="BR459" s="612">
        <v>1</v>
      </c>
      <c r="BS459" s="576" t="s">
        <v>778</v>
      </c>
      <c r="BT459" s="576"/>
      <c r="BU459" s="560" t="s">
        <v>1109</v>
      </c>
      <c r="BV459" s="627" t="s">
        <v>818</v>
      </c>
      <c r="BW459" s="627" t="e">
        <f ca="1">_xlfn.STDEV.S(BP438:BP483,BP485:BP488)</f>
        <v>#NAME?</v>
      </c>
    </row>
    <row r="460" spans="17:75" s="560" customFormat="1">
      <c r="Q460" s="562"/>
      <c r="R460" s="562">
        <v>0.61</v>
      </c>
      <c r="S460" s="562"/>
      <c r="T460" s="562"/>
      <c r="U460" s="562"/>
      <c r="V460" s="562"/>
      <c r="W460" s="562"/>
      <c r="X460" s="562"/>
      <c r="Y460" s="562"/>
      <c r="Z460" s="562"/>
      <c r="AA460" s="562"/>
      <c r="AB460" s="562"/>
      <c r="AC460" s="562"/>
      <c r="AD460" s="563"/>
      <c r="AE460" s="561"/>
      <c r="AF460" s="568">
        <v>31</v>
      </c>
      <c r="AG460" s="562"/>
      <c r="AH460" s="577">
        <v>0.3</v>
      </c>
      <c r="AI460" s="577" t="s">
        <v>127</v>
      </c>
      <c r="AJ460" s="577">
        <v>1</v>
      </c>
      <c r="AK460" s="577"/>
      <c r="AL460" s="577"/>
      <c r="AM460" s="577"/>
      <c r="AN460" s="562">
        <v>2.25</v>
      </c>
      <c r="AO460" s="562">
        <f>AN460+AN460</f>
        <v>4.5</v>
      </c>
      <c r="AP460" s="598">
        <v>0.140625</v>
      </c>
      <c r="AQ460" s="599">
        <v>4.0079069767441862</v>
      </c>
      <c r="AR460" s="599">
        <f>AO460-AQ460</f>
        <v>0.49209302325581383</v>
      </c>
      <c r="AS460" s="600"/>
      <c r="AT460" s="600">
        <v>1</v>
      </c>
      <c r="AU460" s="577" t="s">
        <v>778</v>
      </c>
      <c r="AV460" s="577">
        <v>2564</v>
      </c>
      <c r="AW460" s="562"/>
      <c r="AX460" s="562"/>
      <c r="AY460" s="562"/>
      <c r="AZ460" s="562"/>
      <c r="BA460" s="562"/>
      <c r="BB460" s="563"/>
      <c r="BD460" s="560">
        <v>23</v>
      </c>
      <c r="BF460" s="576"/>
      <c r="BG460" s="576"/>
      <c r="BH460" s="576"/>
      <c r="BI460" s="576">
        <v>1</v>
      </c>
      <c r="BJ460" s="576"/>
      <c r="BK460" s="576"/>
      <c r="BL460" s="560">
        <v>1.9</v>
      </c>
      <c r="BM460" s="576">
        <f t="shared" si="73"/>
        <v>3.8</v>
      </c>
      <c r="BN460" s="576" t="s">
        <v>779</v>
      </c>
      <c r="BO460" s="611">
        <v>3</v>
      </c>
      <c r="BP460" s="611">
        <f t="shared" si="74"/>
        <v>0.79999999999999982</v>
      </c>
      <c r="BQ460" s="612"/>
      <c r="BR460" s="612">
        <v>1</v>
      </c>
      <c r="BS460" s="576" t="s">
        <v>778</v>
      </c>
      <c r="BT460" s="576"/>
      <c r="BU460" s="560" t="s">
        <v>1109</v>
      </c>
    </row>
    <row r="461" spans="17:75" s="560" customFormat="1">
      <c r="Q461" s="562"/>
      <c r="R461" s="562">
        <v>0.65</v>
      </c>
      <c r="S461" s="562"/>
      <c r="T461" s="562"/>
      <c r="U461" s="562"/>
      <c r="V461" s="562"/>
      <c r="W461" s="562"/>
      <c r="X461" s="562"/>
      <c r="Y461" s="562"/>
      <c r="Z461" s="562"/>
      <c r="AA461" s="562"/>
      <c r="AB461" s="562"/>
      <c r="AC461" s="562"/>
      <c r="AD461" s="563"/>
      <c r="AE461" s="561"/>
      <c r="AF461" s="568">
        <v>32</v>
      </c>
      <c r="AG461" s="562"/>
      <c r="AH461" s="577"/>
      <c r="AI461" s="562"/>
      <c r="AJ461" s="562"/>
      <c r="AK461" s="577">
        <v>1</v>
      </c>
      <c r="AL461" s="577"/>
      <c r="AM461" s="577"/>
      <c r="AN461" s="562">
        <v>2</v>
      </c>
      <c r="AO461" s="562">
        <f>AN461+AN461</f>
        <v>4</v>
      </c>
      <c r="AP461" s="598">
        <v>0.140625</v>
      </c>
      <c r="AQ461" s="599">
        <v>4</v>
      </c>
      <c r="AR461" s="599">
        <f>AO461-AQ461</f>
        <v>0</v>
      </c>
      <c r="AS461" s="600"/>
      <c r="AT461" s="600">
        <v>1</v>
      </c>
      <c r="AU461" s="577" t="s">
        <v>778</v>
      </c>
      <c r="AV461" s="577"/>
      <c r="AW461" s="562"/>
      <c r="AX461" s="562"/>
      <c r="AY461" s="562"/>
      <c r="AZ461" s="562"/>
      <c r="BA461" s="562"/>
      <c r="BB461" s="563"/>
      <c r="BD461" s="560">
        <v>24</v>
      </c>
      <c r="BF461" s="576">
        <v>0.1</v>
      </c>
      <c r="BG461" s="576" t="s">
        <v>778</v>
      </c>
      <c r="BH461" s="576">
        <v>1</v>
      </c>
      <c r="BI461" s="576"/>
      <c r="BJ461" s="576"/>
      <c r="BK461" s="576"/>
      <c r="BL461" s="560">
        <v>1.8</v>
      </c>
      <c r="BM461" s="576">
        <f t="shared" si="73"/>
        <v>3.6</v>
      </c>
      <c r="BN461" s="576" t="s">
        <v>779</v>
      </c>
      <c r="BO461" s="611">
        <v>3</v>
      </c>
      <c r="BP461" s="611">
        <f t="shared" si="74"/>
        <v>0.60000000000000009</v>
      </c>
      <c r="BQ461" s="612"/>
      <c r="BR461" s="612">
        <v>1</v>
      </c>
      <c r="BS461" s="576" t="s">
        <v>778</v>
      </c>
      <c r="BT461" s="576">
        <v>1671</v>
      </c>
      <c r="BU461" s="560" t="s">
        <v>1109</v>
      </c>
    </row>
    <row r="462" spans="17:75" s="560" customFormat="1">
      <c r="Q462" s="562"/>
      <c r="R462" s="562">
        <v>0.6</v>
      </c>
      <c r="S462" s="562"/>
      <c r="T462" s="562"/>
      <c r="U462" s="562"/>
      <c r="V462" s="562"/>
      <c r="W462" s="562"/>
      <c r="X462" s="562"/>
      <c r="Y462" s="562"/>
      <c r="Z462" s="562"/>
      <c r="AA462" s="562"/>
      <c r="AB462" s="562"/>
      <c r="AC462" s="562"/>
      <c r="AD462" s="563"/>
      <c r="AE462" s="561"/>
      <c r="AF462" s="568"/>
      <c r="AG462" s="562"/>
      <c r="AH462" s="562"/>
      <c r="AI462" s="562"/>
      <c r="AJ462" s="632">
        <f>SUM(AJ418:AJ461)</f>
        <v>11</v>
      </c>
      <c r="AK462" s="632">
        <f>SUM(AK418:AK461)</f>
        <v>21</v>
      </c>
      <c r="AL462" s="633">
        <f>SUM(AL418:AL461)</f>
        <v>3</v>
      </c>
      <c r="AM462" s="634">
        <f>SUM(AM418:AM461)</f>
        <v>8</v>
      </c>
      <c r="AN462" s="562"/>
      <c r="AO462" s="635">
        <f>SUM(AO418:AO461)</f>
        <v>141.9</v>
      </c>
      <c r="AP462" s="659"/>
      <c r="AQ462" s="696">
        <f>SUM(AQ418:AQ461)</f>
        <v>132.9260465116279</v>
      </c>
      <c r="AR462" s="696">
        <f>SUM(AR418:AR461)</f>
        <v>8.9739534883720911</v>
      </c>
      <c r="AS462" s="637">
        <f>SUM(AS418:AS461)</f>
        <v>1</v>
      </c>
      <c r="AT462" s="637">
        <f>SUM(AT418:AT461)</f>
        <v>31</v>
      </c>
      <c r="AU462" s="562"/>
      <c r="AV462" s="562"/>
      <c r="AW462" s="562"/>
      <c r="AX462" s="562"/>
      <c r="AY462" s="562"/>
      <c r="AZ462" s="562"/>
      <c r="BA462" s="562"/>
      <c r="BB462" s="563"/>
      <c r="BD462" s="560" t="s">
        <v>778</v>
      </c>
      <c r="BF462" s="576">
        <v>0.25</v>
      </c>
      <c r="BG462" s="576" t="s">
        <v>793</v>
      </c>
      <c r="BH462" s="576"/>
      <c r="BI462" s="576"/>
      <c r="BJ462" s="576"/>
      <c r="BK462" s="576">
        <v>1</v>
      </c>
      <c r="BM462" s="576"/>
      <c r="BN462" s="576"/>
      <c r="BO462" s="611">
        <v>3</v>
      </c>
      <c r="BP462" s="611"/>
      <c r="BQ462" s="612"/>
      <c r="BR462" s="612"/>
      <c r="BS462" s="576"/>
      <c r="BT462" s="576">
        <v>1672</v>
      </c>
    </row>
    <row r="463" spans="17:75" s="560" customFormat="1">
      <c r="Q463" s="562"/>
      <c r="R463" s="562">
        <v>0.6</v>
      </c>
      <c r="S463" s="562"/>
      <c r="T463" s="562"/>
      <c r="U463" s="562"/>
      <c r="V463" s="562"/>
      <c r="W463" s="562"/>
      <c r="X463" s="562"/>
      <c r="Y463" s="562"/>
      <c r="Z463" s="562"/>
      <c r="AA463" s="562"/>
      <c r="AB463" s="562"/>
      <c r="AC463" s="562"/>
      <c r="AD463" s="563"/>
      <c r="AE463" s="567"/>
      <c r="AF463" s="568"/>
      <c r="AG463" s="568"/>
      <c r="AH463" s="568"/>
      <c r="AI463" s="569"/>
      <c r="AJ463" s="569"/>
      <c r="AK463" s="569"/>
      <c r="AL463" s="569"/>
      <c r="AM463" s="569"/>
      <c r="AN463" s="569"/>
      <c r="AO463" s="569"/>
      <c r="AP463" s="697"/>
      <c r="AQ463" s="599"/>
      <c r="AR463" s="638">
        <f>+AR462/AO462</f>
        <v>6.3241391743284636E-2</v>
      </c>
      <c r="AS463" s="639"/>
      <c r="AT463" s="639"/>
      <c r="AU463" s="569"/>
      <c r="AV463" s="569"/>
      <c r="AW463" s="568"/>
      <c r="AX463" s="562"/>
      <c r="AY463" s="562"/>
      <c r="AZ463" s="562"/>
      <c r="BA463" s="562"/>
      <c r="BB463" s="563"/>
      <c r="BD463" s="560">
        <v>25</v>
      </c>
      <c r="BF463" s="576"/>
      <c r="BG463" s="576"/>
      <c r="BH463" s="576"/>
      <c r="BI463" s="576">
        <v>1</v>
      </c>
      <c r="BJ463" s="576"/>
      <c r="BK463" s="576"/>
      <c r="BL463" s="560">
        <v>1.6</v>
      </c>
      <c r="BM463" s="576">
        <f t="shared" ref="BM463:BM469" si="75">BL463+BL463</f>
        <v>3.2</v>
      </c>
      <c r="BN463" s="576" t="s">
        <v>779</v>
      </c>
      <c r="BO463" s="611">
        <v>3</v>
      </c>
      <c r="BP463" s="611">
        <f t="shared" ref="BP463:BP469" si="76">BM463-BO463</f>
        <v>0.20000000000000018</v>
      </c>
      <c r="BQ463" s="612"/>
      <c r="BR463" s="612">
        <v>1</v>
      </c>
      <c r="BS463" s="576" t="s">
        <v>778</v>
      </c>
      <c r="BT463" s="576"/>
      <c r="BU463" s="560" t="s">
        <v>1109</v>
      </c>
    </row>
    <row r="464" spans="17:75" s="560" customFormat="1">
      <c r="Q464" s="562"/>
      <c r="R464" s="562">
        <v>0.6</v>
      </c>
      <c r="S464" s="562"/>
      <c r="T464" s="562"/>
      <c r="U464" s="562"/>
      <c r="V464" s="562"/>
      <c r="W464" s="562"/>
      <c r="X464" s="562"/>
      <c r="Y464" s="562"/>
      <c r="Z464" s="562"/>
      <c r="AA464" s="562"/>
      <c r="AB464" s="562"/>
      <c r="AC464" s="562"/>
      <c r="AD464" s="563"/>
      <c r="AE464" s="561"/>
      <c r="AF464" s="568"/>
      <c r="AG464" s="568"/>
      <c r="AH464" s="568"/>
      <c r="AI464" s="630" t="s">
        <v>129</v>
      </c>
      <c r="AJ464" s="590" t="s">
        <v>765</v>
      </c>
      <c r="AK464" s="590" t="s">
        <v>766</v>
      </c>
      <c r="AL464" s="591" t="s">
        <v>767</v>
      </c>
      <c r="AM464" s="592" t="s">
        <v>768</v>
      </c>
      <c r="AN464" s="630" t="s">
        <v>129</v>
      </c>
      <c r="AO464" s="593" t="s">
        <v>769</v>
      </c>
      <c r="AP464" s="630" t="s">
        <v>129</v>
      </c>
      <c r="AQ464" s="663" t="s">
        <v>770</v>
      </c>
      <c r="AR464" s="663" t="s">
        <v>771</v>
      </c>
      <c r="AS464" s="595" t="s">
        <v>772</v>
      </c>
      <c r="AT464" s="595" t="s">
        <v>773</v>
      </c>
      <c r="AU464" s="577"/>
      <c r="AV464" s="577"/>
      <c r="AW464" s="568"/>
      <c r="AX464" s="562"/>
      <c r="AY464" s="562"/>
      <c r="AZ464" s="562"/>
      <c r="BA464" s="562"/>
      <c r="BB464" s="563"/>
      <c r="BD464" s="560">
        <v>26</v>
      </c>
      <c r="BF464" s="576"/>
      <c r="BG464" s="576"/>
      <c r="BH464" s="576"/>
      <c r="BI464" s="576">
        <v>1</v>
      </c>
      <c r="BJ464" s="576"/>
      <c r="BK464" s="576"/>
      <c r="BL464" s="560">
        <v>1.5</v>
      </c>
      <c r="BM464" s="576">
        <f t="shared" si="75"/>
        <v>3</v>
      </c>
      <c r="BN464" s="576" t="s">
        <v>779</v>
      </c>
      <c r="BO464" s="611">
        <v>3</v>
      </c>
      <c r="BP464" s="611">
        <f t="shared" si="76"/>
        <v>0</v>
      </c>
      <c r="BQ464" s="612"/>
      <c r="BR464" s="612">
        <v>1</v>
      </c>
      <c r="BS464" s="576" t="s">
        <v>778</v>
      </c>
      <c r="BT464" s="576"/>
      <c r="BU464" s="560" t="s">
        <v>1109</v>
      </c>
    </row>
    <row r="465" spans="17:73" s="560" customFormat="1">
      <c r="Q465" s="562"/>
      <c r="R465" s="562">
        <v>0.6</v>
      </c>
      <c r="S465" s="562"/>
      <c r="T465" s="562"/>
      <c r="U465" s="562"/>
      <c r="V465" s="562"/>
      <c r="W465" s="562"/>
      <c r="X465" s="562"/>
      <c r="Y465" s="562"/>
      <c r="Z465" s="562"/>
      <c r="AA465" s="562"/>
      <c r="AB465" s="562"/>
      <c r="AC465" s="562"/>
      <c r="AD465" s="563"/>
      <c r="AE465" s="561"/>
      <c r="AF465" s="583"/>
      <c r="AG465" s="578"/>
      <c r="AH465" s="569"/>
      <c r="AI465" s="568"/>
      <c r="AJ465" s="698">
        <f>AJ42+AJ73+AJ109+AJ146+AJ184+AJ220+AJ259+AJ296+AJ327+AJ372+AJ413+AJ462</f>
        <v>60</v>
      </c>
      <c r="AK465" s="698">
        <f>AK42+AK73+AK109+AK146+AK184+AK220+AK259+AK296+AK327+AK372+AK413+AK462</f>
        <v>286</v>
      </c>
      <c r="AL465" s="588">
        <f>AL42+AL73+AL109+AL146+AL184+AL220+AL259+AL296+AL327+AL372+AL413+AL462</f>
        <v>9</v>
      </c>
      <c r="AM465" s="588">
        <f>AM42+AM73+AM109+AM146+AM184+AM220+AM259+AM296+AM327+AM372+AM413+AM462</f>
        <v>120</v>
      </c>
      <c r="AN465" s="568"/>
      <c r="AO465" s="699">
        <f>AO42+AO73+AO109+AO146+AO184+AO220+AO259+AO296+AO327+AO372+AO413+AO462</f>
        <v>1587.5200000000004</v>
      </c>
      <c r="AP465" s="588"/>
      <c r="AQ465" s="668">
        <f>AQ42+AQ73+AQ109+AQ146+AQ184+AQ220+AQ259+AQ296+AQ327+AQ372+AQ413+AQ462</f>
        <v>1353.0200988106196</v>
      </c>
      <c r="AR465" s="668">
        <f>AR42+AR73+AR109+AR146+AR184+AR220+AR259+AR296+AR327+AR372+AR413+AR462</f>
        <v>180.70163682156459</v>
      </c>
      <c r="AS465" s="669">
        <v>11</v>
      </c>
      <c r="AT465" s="669">
        <v>334</v>
      </c>
      <c r="AU465" s="569"/>
      <c r="AV465" s="577"/>
      <c r="AW465" s="569"/>
      <c r="AX465" s="562"/>
      <c r="AY465" s="562"/>
      <c r="AZ465" s="562"/>
      <c r="BA465" s="562"/>
      <c r="BB465" s="563"/>
      <c r="BD465" s="560">
        <v>27</v>
      </c>
      <c r="BF465" s="576"/>
      <c r="BG465" s="576"/>
      <c r="BH465" s="576"/>
      <c r="BI465" s="576">
        <v>1</v>
      </c>
      <c r="BJ465" s="576"/>
      <c r="BK465" s="576"/>
      <c r="BL465" s="560">
        <v>1.5</v>
      </c>
      <c r="BM465" s="576">
        <f t="shared" si="75"/>
        <v>3</v>
      </c>
      <c r="BN465" s="576" t="s">
        <v>779</v>
      </c>
      <c r="BO465" s="611">
        <v>3</v>
      </c>
      <c r="BP465" s="611">
        <f t="shared" si="76"/>
        <v>0</v>
      </c>
      <c r="BQ465" s="612"/>
      <c r="BR465" s="612">
        <v>1</v>
      </c>
      <c r="BS465" s="576" t="s">
        <v>778</v>
      </c>
      <c r="BT465" s="576"/>
      <c r="BU465" s="560" t="s">
        <v>1109</v>
      </c>
    </row>
    <row r="466" spans="17:73" s="560" customFormat="1">
      <c r="Q466" s="562"/>
      <c r="R466" s="562">
        <v>1.3</v>
      </c>
      <c r="S466" s="562"/>
      <c r="T466" s="562"/>
      <c r="U466" s="562"/>
      <c r="V466" s="562"/>
      <c r="W466" s="562"/>
      <c r="X466" s="562"/>
      <c r="Y466" s="562"/>
      <c r="Z466" s="562"/>
      <c r="AA466" s="562"/>
      <c r="AB466" s="562"/>
      <c r="AC466" s="562"/>
      <c r="AD466" s="563"/>
      <c r="AE466" s="587"/>
      <c r="AF466" s="588"/>
      <c r="AG466" s="588"/>
      <c r="AH466" s="698"/>
      <c r="AI466" s="698"/>
      <c r="AJ466" s="687" t="s">
        <v>1112</v>
      </c>
      <c r="AK466" s="698"/>
      <c r="AL466" s="698"/>
      <c r="AM466" s="698"/>
      <c r="AN466" s="588"/>
      <c r="AO466" s="588"/>
      <c r="AP466" s="562"/>
      <c r="AQ466" s="562"/>
      <c r="AR466" s="562"/>
      <c r="AS466" s="687" t="s">
        <v>1113</v>
      </c>
      <c r="AT466" s="669"/>
      <c r="AU466" s="588"/>
      <c r="AV466" s="588"/>
      <c r="AW466" s="588"/>
      <c r="AX466" s="562"/>
      <c r="AY466" s="562"/>
      <c r="AZ466" s="562"/>
      <c r="BA466" s="588"/>
      <c r="BB466" s="589"/>
      <c r="BD466" s="560">
        <v>28</v>
      </c>
      <c r="BF466" s="576">
        <v>0.25</v>
      </c>
      <c r="BG466" s="576" t="s">
        <v>777</v>
      </c>
      <c r="BH466" s="576">
        <v>1</v>
      </c>
      <c r="BI466" s="576"/>
      <c r="BJ466" s="576"/>
      <c r="BK466" s="576"/>
      <c r="BL466" s="560">
        <v>1.7</v>
      </c>
      <c r="BM466" s="576">
        <f t="shared" si="75"/>
        <v>3.4</v>
      </c>
      <c r="BN466" s="576" t="s">
        <v>779</v>
      </c>
      <c r="BO466" s="611">
        <v>3</v>
      </c>
      <c r="BP466" s="611">
        <f t="shared" si="76"/>
        <v>0.39999999999999991</v>
      </c>
      <c r="BQ466" s="612"/>
      <c r="BR466" s="612">
        <v>1</v>
      </c>
      <c r="BS466" s="576" t="s">
        <v>778</v>
      </c>
      <c r="BT466" s="576">
        <v>1670</v>
      </c>
      <c r="BU466" s="560" t="s">
        <v>1109</v>
      </c>
    </row>
    <row r="467" spans="17:73" s="560" customFormat="1">
      <c r="Q467" s="562" t="s">
        <v>1026</v>
      </c>
      <c r="R467" s="562"/>
      <c r="S467" s="562"/>
      <c r="T467" s="562"/>
      <c r="U467" s="562"/>
      <c r="V467" s="562"/>
      <c r="W467" s="562"/>
      <c r="X467" s="562"/>
      <c r="Y467" s="562"/>
      <c r="Z467" s="562"/>
      <c r="AA467" s="562"/>
      <c r="AB467" s="562"/>
      <c r="AC467" s="562"/>
      <c r="AD467" s="563"/>
      <c r="AE467" s="561"/>
      <c r="AF467" s="568"/>
      <c r="AG467" s="562"/>
      <c r="AH467" s="577"/>
      <c r="AI467" s="577"/>
      <c r="AJ467" s="583" t="s">
        <v>1114</v>
      </c>
      <c r="AK467" s="577"/>
      <c r="AL467" s="577"/>
      <c r="AM467" s="577"/>
      <c r="AN467" s="562"/>
      <c r="AO467" s="562"/>
      <c r="AP467" s="606"/>
      <c r="AQ467" s="599"/>
      <c r="AR467" s="599"/>
      <c r="AS467" s="688">
        <v>3.1699999999999999E-2</v>
      </c>
      <c r="AT467" s="600"/>
      <c r="AU467" s="577"/>
      <c r="AV467" s="584"/>
      <c r="AW467" s="562"/>
      <c r="AX467" s="562"/>
      <c r="AY467" s="562"/>
      <c r="AZ467" s="562"/>
      <c r="BA467" s="577"/>
      <c r="BB467" s="589"/>
      <c r="BD467" s="560">
        <v>29</v>
      </c>
      <c r="BF467" s="576">
        <v>0.1</v>
      </c>
      <c r="BG467" s="576" t="s">
        <v>777</v>
      </c>
      <c r="BH467" s="576">
        <v>1</v>
      </c>
      <c r="BI467" s="576"/>
      <c r="BJ467" s="576"/>
      <c r="BK467" s="576"/>
      <c r="BL467" s="560">
        <v>1.6</v>
      </c>
      <c r="BM467" s="576">
        <f t="shared" si="75"/>
        <v>3.2</v>
      </c>
      <c r="BN467" s="576" t="s">
        <v>779</v>
      </c>
      <c r="BO467" s="611">
        <v>3</v>
      </c>
      <c r="BP467" s="611">
        <f t="shared" si="76"/>
        <v>0.20000000000000018</v>
      </c>
      <c r="BQ467" s="612"/>
      <c r="BR467" s="612">
        <v>1</v>
      </c>
      <c r="BS467" s="576" t="s">
        <v>778</v>
      </c>
      <c r="BT467" s="576">
        <v>1669</v>
      </c>
      <c r="BU467" s="560" t="s">
        <v>1109</v>
      </c>
    </row>
    <row r="468" spans="17:73" s="560" customFormat="1">
      <c r="Q468" s="562"/>
      <c r="R468" s="562">
        <v>0.6</v>
      </c>
      <c r="S468" s="562"/>
      <c r="T468" s="562"/>
      <c r="U468" s="562"/>
      <c r="V468" s="562"/>
      <c r="W468" s="562"/>
      <c r="X468" s="562"/>
      <c r="Y468" s="562"/>
      <c r="Z468" s="562"/>
      <c r="AA468" s="562"/>
      <c r="AB468" s="562"/>
      <c r="AC468" s="562"/>
      <c r="AD468" s="563"/>
      <c r="AE468" s="561"/>
      <c r="AF468" s="568"/>
      <c r="AG468" s="562"/>
      <c r="AH468" s="577"/>
      <c r="AI468" s="577"/>
      <c r="AJ468" s="577"/>
      <c r="AK468" s="577"/>
      <c r="AL468" s="577"/>
      <c r="AM468" s="577"/>
      <c r="AN468" s="562"/>
      <c r="AO468" s="562"/>
      <c r="AP468" s="606"/>
      <c r="AQ468" s="599"/>
      <c r="AR468" s="599"/>
      <c r="AS468" s="600"/>
      <c r="AT468" s="600"/>
      <c r="AU468" s="577"/>
      <c r="AV468" s="609"/>
      <c r="AW468" s="562"/>
      <c r="AX468" s="562"/>
      <c r="AY468" s="562"/>
      <c r="AZ468" s="562"/>
      <c r="BA468" s="607"/>
      <c r="BB468" s="608"/>
      <c r="BD468" s="560">
        <v>30</v>
      </c>
      <c r="BF468" s="576"/>
      <c r="BG468" s="576"/>
      <c r="BH468" s="576"/>
      <c r="BI468" s="576">
        <v>1</v>
      </c>
      <c r="BJ468" s="576"/>
      <c r="BK468" s="576"/>
      <c r="BL468" s="560">
        <v>1.95</v>
      </c>
      <c r="BM468" s="576">
        <f t="shared" si="75"/>
        <v>3.9</v>
      </c>
      <c r="BN468" s="576" t="s">
        <v>779</v>
      </c>
      <c r="BO468" s="611">
        <v>3</v>
      </c>
      <c r="BP468" s="611">
        <f t="shared" si="76"/>
        <v>0.89999999999999991</v>
      </c>
      <c r="BQ468" s="612"/>
      <c r="BR468" s="612">
        <v>1</v>
      </c>
      <c r="BS468" s="576" t="s">
        <v>778</v>
      </c>
      <c r="BT468" s="576"/>
      <c r="BU468" s="560" t="s">
        <v>1109</v>
      </c>
    </row>
    <row r="469" spans="17:73" s="560" customFormat="1">
      <c r="Q469" s="562"/>
      <c r="R469" s="562">
        <v>0.68</v>
      </c>
      <c r="S469" s="562"/>
      <c r="T469" s="562"/>
      <c r="U469" s="562"/>
      <c r="V469" s="562"/>
      <c r="W469" s="562"/>
      <c r="X469" s="562"/>
      <c r="Y469" s="562"/>
      <c r="Z469" s="562"/>
      <c r="AA469" s="562"/>
      <c r="AB469" s="562"/>
      <c r="AC469" s="562"/>
      <c r="AD469" s="563"/>
      <c r="AE469" s="561"/>
      <c r="AF469" s="568"/>
      <c r="AG469" s="562"/>
      <c r="AH469" s="577"/>
      <c r="AI469" s="577"/>
      <c r="AJ469" s="577"/>
      <c r="AK469" s="577"/>
      <c r="AL469" s="687" t="s">
        <v>1115</v>
      </c>
      <c r="AM469" s="687"/>
      <c r="AN469" s="562"/>
      <c r="AO469" s="562"/>
      <c r="AP469" s="606"/>
      <c r="AQ469" s="599"/>
      <c r="AR469" s="599"/>
      <c r="AS469" s="600"/>
      <c r="AT469" s="600"/>
      <c r="AU469" s="577"/>
      <c r="AV469" s="584"/>
      <c r="AW469" s="562"/>
      <c r="AX469" s="562"/>
      <c r="AY469" s="562"/>
      <c r="AZ469" s="562"/>
      <c r="BA469" s="607"/>
      <c r="BB469" s="608"/>
      <c r="BD469" s="560">
        <v>31</v>
      </c>
      <c r="BF469" s="576">
        <v>0.1</v>
      </c>
      <c r="BG469" s="576" t="s">
        <v>777</v>
      </c>
      <c r="BH469" s="576">
        <v>1</v>
      </c>
      <c r="BI469" s="576"/>
      <c r="BJ469" s="576"/>
      <c r="BK469" s="576"/>
      <c r="BL469" s="560">
        <v>1.7</v>
      </c>
      <c r="BM469" s="576">
        <f t="shared" si="75"/>
        <v>3.4</v>
      </c>
      <c r="BN469" s="576" t="s">
        <v>779</v>
      </c>
      <c r="BO469" s="611">
        <v>3</v>
      </c>
      <c r="BP469" s="611">
        <f t="shared" si="76"/>
        <v>0.39999999999999991</v>
      </c>
      <c r="BQ469" s="612"/>
      <c r="BR469" s="612">
        <v>1</v>
      </c>
      <c r="BS469" s="576" t="s">
        <v>778</v>
      </c>
      <c r="BT469" s="576">
        <v>1667</v>
      </c>
      <c r="BU469" s="560" t="s">
        <v>1109</v>
      </c>
    </row>
    <row r="470" spans="17:73" s="560" customFormat="1">
      <c r="Q470" s="562"/>
      <c r="R470" s="562">
        <v>0.6</v>
      </c>
      <c r="S470" s="562"/>
      <c r="T470" s="562"/>
      <c r="U470" s="562"/>
      <c r="V470" s="562"/>
      <c r="W470" s="562"/>
      <c r="X470" s="562"/>
      <c r="Y470" s="562"/>
      <c r="Z470" s="562"/>
      <c r="AA470" s="562"/>
      <c r="AB470" s="562"/>
      <c r="AC470" s="562"/>
      <c r="AD470" s="563"/>
      <c r="AE470" s="561"/>
      <c r="AF470" s="568"/>
      <c r="AG470" s="562"/>
      <c r="AH470" s="577"/>
      <c r="AI470" s="577"/>
      <c r="AJ470" s="577"/>
      <c r="AK470" s="577"/>
      <c r="AL470" s="688">
        <v>2.5999999999999999E-2</v>
      </c>
      <c r="AM470" s="688"/>
      <c r="AN470" s="562"/>
      <c r="AO470" s="562"/>
      <c r="AP470" s="606"/>
      <c r="AQ470" s="599"/>
      <c r="AR470" s="599"/>
      <c r="AS470" s="600"/>
      <c r="AT470" s="600"/>
      <c r="AU470" s="577"/>
      <c r="AV470" s="584"/>
      <c r="AW470" s="562"/>
      <c r="AX470" s="562"/>
      <c r="AY470" s="562"/>
      <c r="AZ470" s="562"/>
      <c r="BA470" s="607"/>
      <c r="BB470" s="608"/>
      <c r="BD470" s="560" t="s">
        <v>778</v>
      </c>
      <c r="BF470" s="576">
        <v>0.1</v>
      </c>
      <c r="BG470" s="576" t="s">
        <v>793</v>
      </c>
      <c r="BH470" s="576"/>
      <c r="BI470" s="576"/>
      <c r="BJ470" s="576"/>
      <c r="BK470" s="576">
        <v>1</v>
      </c>
      <c r="BM470" s="576"/>
      <c r="BN470" s="576"/>
      <c r="BO470" s="611">
        <v>3</v>
      </c>
      <c r="BP470" s="611"/>
      <c r="BQ470" s="612"/>
      <c r="BR470" s="612"/>
      <c r="BS470" s="576"/>
      <c r="BT470" s="576">
        <v>1668</v>
      </c>
    </row>
    <row r="471" spans="17:73" s="560" customFormat="1">
      <c r="Q471" s="562"/>
      <c r="R471" s="562">
        <v>0.6</v>
      </c>
      <c r="S471" s="562"/>
      <c r="T471" s="562"/>
      <c r="U471" s="562"/>
      <c r="V471" s="562"/>
      <c r="W471" s="562"/>
      <c r="X471" s="562"/>
      <c r="Y471" s="562"/>
      <c r="Z471" s="562"/>
      <c r="AA471" s="562"/>
      <c r="AB471" s="562"/>
      <c r="AC471" s="562"/>
      <c r="AD471" s="563"/>
      <c r="AE471" s="561"/>
      <c r="AF471" s="562"/>
      <c r="AG471" s="562"/>
      <c r="AH471" s="577"/>
      <c r="AI471" s="577"/>
      <c r="AJ471" s="577"/>
      <c r="AK471" s="577"/>
      <c r="AL471" s="577"/>
      <c r="AM471" s="577"/>
      <c r="AN471" s="562"/>
      <c r="AO471" s="562"/>
      <c r="AP471" s="606"/>
      <c r="AQ471" s="599"/>
      <c r="AR471" s="599"/>
      <c r="AS471" s="600"/>
      <c r="AT471" s="600"/>
      <c r="AU471" s="577"/>
      <c r="AV471" s="584"/>
      <c r="AW471" s="562"/>
      <c r="AX471" s="562"/>
      <c r="AY471" s="562"/>
      <c r="AZ471" s="562"/>
      <c r="BA471" s="607"/>
      <c r="BB471" s="608"/>
      <c r="BD471" s="560">
        <v>32</v>
      </c>
      <c r="BF471" s="576">
        <v>0.2</v>
      </c>
      <c r="BG471" s="576" t="s">
        <v>777</v>
      </c>
      <c r="BH471" s="576">
        <v>1</v>
      </c>
      <c r="BI471" s="576"/>
      <c r="BJ471" s="576"/>
      <c r="BK471" s="576"/>
      <c r="BL471" s="560">
        <v>1.5</v>
      </c>
      <c r="BM471" s="576">
        <f t="shared" ref="BM471:BM479" si="77">BL471+BL471</f>
        <v>3</v>
      </c>
      <c r="BN471" s="576" t="s">
        <v>779</v>
      </c>
      <c r="BO471" s="611">
        <v>3</v>
      </c>
      <c r="BP471" s="611">
        <f t="shared" ref="BP471:BP479" si="78">BM471-BO471</f>
        <v>0</v>
      </c>
      <c r="BQ471" s="612"/>
      <c r="BR471" s="612">
        <v>1</v>
      </c>
      <c r="BS471" s="576" t="s">
        <v>778</v>
      </c>
      <c r="BT471" s="576">
        <v>1666</v>
      </c>
      <c r="BU471" s="560" t="s">
        <v>1109</v>
      </c>
    </row>
    <row r="472" spans="17:73" s="560" customFormat="1">
      <c r="Q472" s="562"/>
      <c r="R472" s="562">
        <v>0.7</v>
      </c>
      <c r="S472" s="562"/>
      <c r="T472" s="562"/>
      <c r="U472" s="562"/>
      <c r="V472" s="562"/>
      <c r="W472" s="562"/>
      <c r="X472" s="562"/>
      <c r="Y472" s="562"/>
      <c r="Z472" s="562"/>
      <c r="AA472" s="562"/>
      <c r="AB472" s="562"/>
      <c r="AC472" s="562"/>
      <c r="AD472" s="563"/>
      <c r="AE472" s="561"/>
      <c r="AF472" s="568"/>
      <c r="AG472" s="562"/>
      <c r="AH472" s="577"/>
      <c r="AI472" s="577"/>
      <c r="AJ472" s="577"/>
      <c r="AK472" s="577"/>
      <c r="AL472" s="577"/>
      <c r="AM472" s="687" t="s">
        <v>1116</v>
      </c>
      <c r="AN472" s="562"/>
      <c r="AO472" s="562"/>
      <c r="AP472" s="606"/>
      <c r="AQ472" s="599"/>
      <c r="AR472" s="599"/>
      <c r="AS472" s="600"/>
      <c r="AT472" s="600"/>
      <c r="AU472" s="577"/>
      <c r="AV472" s="577"/>
      <c r="AW472" s="562"/>
      <c r="AX472" s="562"/>
      <c r="AY472" s="562"/>
      <c r="AZ472" s="562"/>
      <c r="BA472" s="607"/>
      <c r="BB472" s="608"/>
      <c r="BD472" s="560">
        <v>33</v>
      </c>
      <c r="BF472" s="576"/>
      <c r="BG472" s="576"/>
      <c r="BH472" s="576"/>
      <c r="BI472" s="576">
        <v>1</v>
      </c>
      <c r="BJ472" s="576"/>
      <c r="BK472" s="576"/>
      <c r="BL472" s="560">
        <v>1.7</v>
      </c>
      <c r="BM472" s="576">
        <f t="shared" si="77"/>
        <v>3.4</v>
      </c>
      <c r="BN472" s="576" t="s">
        <v>779</v>
      </c>
      <c r="BO472" s="611">
        <v>3</v>
      </c>
      <c r="BP472" s="611">
        <f t="shared" si="78"/>
        <v>0.39999999999999991</v>
      </c>
      <c r="BQ472" s="612"/>
      <c r="BR472" s="612">
        <v>1</v>
      </c>
      <c r="BS472" s="576" t="s">
        <v>778</v>
      </c>
      <c r="BT472" s="576"/>
      <c r="BU472" s="560" t="s">
        <v>1109</v>
      </c>
    </row>
    <row r="473" spans="17:73" s="560" customFormat="1">
      <c r="Q473" s="562"/>
      <c r="R473" s="562">
        <v>0.6</v>
      </c>
      <c r="S473" s="562"/>
      <c r="T473" s="562"/>
      <c r="U473" s="562"/>
      <c r="V473" s="562"/>
      <c r="W473" s="562"/>
      <c r="X473" s="562"/>
      <c r="Y473" s="562"/>
      <c r="Z473" s="562"/>
      <c r="AA473" s="562"/>
      <c r="AB473" s="562"/>
      <c r="AC473" s="562"/>
      <c r="AD473" s="563"/>
      <c r="AE473" s="561"/>
      <c r="AF473" s="568"/>
      <c r="AG473" s="562"/>
      <c r="AH473" s="577"/>
      <c r="AI473" s="577"/>
      <c r="AJ473" s="577"/>
      <c r="AK473" s="577"/>
      <c r="AL473" s="577"/>
      <c r="AM473" s="688">
        <v>0.1734</v>
      </c>
      <c r="AN473" s="562"/>
      <c r="AO473" s="562"/>
      <c r="AP473" s="606"/>
      <c r="AQ473" s="599"/>
      <c r="AR473" s="599"/>
      <c r="AS473" s="600"/>
      <c r="AT473" s="600"/>
      <c r="AU473" s="577"/>
      <c r="AV473" s="577"/>
      <c r="AW473" s="562"/>
      <c r="AX473" s="562"/>
      <c r="AY473" s="562"/>
      <c r="AZ473" s="562"/>
      <c r="BA473" s="607"/>
      <c r="BB473" s="608"/>
      <c r="BD473" s="560">
        <v>34</v>
      </c>
      <c r="BF473" s="576"/>
      <c r="BG473" s="576"/>
      <c r="BH473" s="576"/>
      <c r="BI473" s="576">
        <v>1</v>
      </c>
      <c r="BJ473" s="576"/>
      <c r="BK473" s="576"/>
      <c r="BL473" s="560">
        <v>1.9</v>
      </c>
      <c r="BM473" s="576">
        <f t="shared" si="77"/>
        <v>3.8</v>
      </c>
      <c r="BN473" s="576" t="s">
        <v>779</v>
      </c>
      <c r="BO473" s="611">
        <v>3</v>
      </c>
      <c r="BP473" s="611">
        <f t="shared" si="78"/>
        <v>0.79999999999999982</v>
      </c>
      <c r="BQ473" s="612"/>
      <c r="BR473" s="612">
        <v>1</v>
      </c>
      <c r="BS473" s="576" t="s">
        <v>778</v>
      </c>
      <c r="BT473" s="576"/>
      <c r="BU473" s="560" t="s">
        <v>1117</v>
      </c>
    </row>
    <row r="474" spans="17:73" s="560" customFormat="1">
      <c r="Q474" s="562"/>
      <c r="R474" s="562">
        <v>0.6</v>
      </c>
      <c r="S474" s="562"/>
      <c r="T474" s="562"/>
      <c r="U474" s="562"/>
      <c r="V474" s="562"/>
      <c r="W474" s="562"/>
      <c r="X474" s="562"/>
      <c r="Y474" s="562"/>
      <c r="Z474" s="562"/>
      <c r="AA474" s="562"/>
      <c r="AB474" s="562"/>
      <c r="AC474" s="562"/>
      <c r="AD474" s="563"/>
      <c r="AE474" s="561"/>
      <c r="AF474" s="568"/>
      <c r="AG474" s="562"/>
      <c r="AH474" s="577"/>
      <c r="AI474" s="577"/>
      <c r="AJ474" s="577"/>
      <c r="AK474" s="577"/>
      <c r="AL474" s="577"/>
      <c r="AM474" s="577"/>
      <c r="AN474" s="562"/>
      <c r="AO474" s="562"/>
      <c r="AP474" s="606"/>
      <c r="AQ474" s="599"/>
      <c r="AR474" s="599"/>
      <c r="AS474" s="606"/>
      <c r="AT474" s="606"/>
      <c r="AU474" s="577"/>
      <c r="AV474" s="577"/>
      <c r="AW474" s="562"/>
      <c r="AX474" s="562"/>
      <c r="AY474" s="562"/>
      <c r="AZ474" s="562"/>
      <c r="BA474" s="607"/>
      <c r="BB474" s="608"/>
      <c r="BD474" s="560">
        <v>35</v>
      </c>
      <c r="BF474" s="576"/>
      <c r="BG474" s="576"/>
      <c r="BH474" s="576"/>
      <c r="BI474" s="576">
        <v>1</v>
      </c>
      <c r="BJ474" s="576"/>
      <c r="BK474" s="576"/>
      <c r="BL474" s="560">
        <v>2</v>
      </c>
      <c r="BM474" s="576">
        <f t="shared" si="77"/>
        <v>4</v>
      </c>
      <c r="BN474" s="576" t="s">
        <v>779</v>
      </c>
      <c r="BO474" s="611">
        <v>3</v>
      </c>
      <c r="BP474" s="611">
        <f t="shared" si="78"/>
        <v>1</v>
      </c>
      <c r="BQ474" s="612"/>
      <c r="BR474" s="612">
        <v>1</v>
      </c>
      <c r="BS474" s="576" t="s">
        <v>778</v>
      </c>
      <c r="BT474" s="576"/>
      <c r="BU474" s="560" t="s">
        <v>1109</v>
      </c>
    </row>
    <row r="475" spans="17:73" s="560" customFormat="1">
      <c r="Q475" s="562"/>
      <c r="R475" s="562">
        <v>0.6</v>
      </c>
      <c r="S475" s="562"/>
      <c r="T475" s="562"/>
      <c r="U475" s="562"/>
      <c r="V475" s="562"/>
      <c r="W475" s="562"/>
      <c r="X475" s="562"/>
      <c r="Y475" s="562"/>
      <c r="Z475" s="562"/>
      <c r="AA475" s="562"/>
      <c r="AB475" s="562"/>
      <c r="AC475" s="562"/>
      <c r="AD475" s="563"/>
      <c r="AE475" s="561"/>
      <c r="AF475" s="568"/>
      <c r="AG475" s="562"/>
      <c r="AH475" s="577"/>
      <c r="AI475" s="577"/>
      <c r="AJ475" s="577"/>
      <c r="AK475" s="577"/>
      <c r="AL475" s="577"/>
      <c r="AM475" s="577"/>
      <c r="AN475" s="562"/>
      <c r="AO475" s="562"/>
      <c r="AP475" s="606"/>
      <c r="AQ475" s="599"/>
      <c r="AR475" s="599"/>
      <c r="AS475" s="606"/>
      <c r="AT475" s="606"/>
      <c r="AU475" s="577"/>
      <c r="AV475" s="577"/>
      <c r="AW475" s="562"/>
      <c r="AX475" s="562"/>
      <c r="AY475" s="562"/>
      <c r="AZ475" s="562"/>
      <c r="BA475" s="607"/>
      <c r="BB475" s="608"/>
      <c r="BD475" s="560">
        <v>36</v>
      </c>
      <c r="BF475" s="576">
        <v>0.1</v>
      </c>
      <c r="BG475" s="576" t="s">
        <v>793</v>
      </c>
      <c r="BH475" s="576"/>
      <c r="BI475" s="576">
        <v>1</v>
      </c>
      <c r="BJ475" s="576"/>
      <c r="BK475" s="576">
        <v>1</v>
      </c>
      <c r="BL475" s="560">
        <v>1.6</v>
      </c>
      <c r="BM475" s="576">
        <f t="shared" si="77"/>
        <v>3.2</v>
      </c>
      <c r="BN475" s="576" t="s">
        <v>779</v>
      </c>
      <c r="BO475" s="611">
        <v>3</v>
      </c>
      <c r="BP475" s="611">
        <f t="shared" si="78"/>
        <v>0.20000000000000018</v>
      </c>
      <c r="BQ475" s="612"/>
      <c r="BR475" s="612">
        <v>1</v>
      </c>
      <c r="BS475" s="576" t="s">
        <v>778</v>
      </c>
      <c r="BT475" s="576">
        <v>1665</v>
      </c>
      <c r="BU475" s="560" t="s">
        <v>1109</v>
      </c>
    </row>
    <row r="476" spans="17:73" s="560" customFormat="1">
      <c r="Q476" s="562"/>
      <c r="R476" s="562">
        <v>0.6</v>
      </c>
      <c r="S476" s="562"/>
      <c r="T476" s="562"/>
      <c r="U476" s="562"/>
      <c r="V476" s="562"/>
      <c r="W476" s="562"/>
      <c r="X476" s="562"/>
      <c r="Y476" s="562"/>
      <c r="Z476" s="562"/>
      <c r="AA476" s="562"/>
      <c r="AB476" s="562"/>
      <c r="AC476" s="562"/>
      <c r="AD476" s="563"/>
      <c r="AE476" s="561"/>
      <c r="AF476" s="568"/>
      <c r="AG476" s="562"/>
      <c r="AH476" s="577"/>
      <c r="AI476" s="577"/>
      <c r="AJ476" s="577"/>
      <c r="AK476" s="577"/>
      <c r="AL476" s="577"/>
      <c r="AM476" s="577"/>
      <c r="AN476" s="562"/>
      <c r="AO476" s="562"/>
      <c r="AP476" s="606"/>
      <c r="AQ476" s="599"/>
      <c r="AR476" s="599"/>
      <c r="AS476" s="606"/>
      <c r="AT476" s="606"/>
      <c r="AU476" s="577"/>
      <c r="AV476" s="577"/>
      <c r="AW476" s="562"/>
      <c r="AX476" s="562"/>
      <c r="AY476" s="562"/>
      <c r="AZ476" s="562"/>
      <c r="BA476" s="607"/>
      <c r="BB476" s="608"/>
      <c r="BD476" s="560">
        <v>37</v>
      </c>
      <c r="BF476" s="576">
        <v>0.5</v>
      </c>
      <c r="BG476" s="576" t="s">
        <v>778</v>
      </c>
      <c r="BH476" s="576">
        <v>1</v>
      </c>
      <c r="BI476" s="576"/>
      <c r="BJ476" s="576"/>
      <c r="BK476" s="576"/>
      <c r="BL476" s="560">
        <v>1.5</v>
      </c>
      <c r="BM476" s="576">
        <f t="shared" si="77"/>
        <v>3</v>
      </c>
      <c r="BN476" s="576" t="s">
        <v>779</v>
      </c>
      <c r="BO476" s="611">
        <v>3</v>
      </c>
      <c r="BP476" s="611">
        <f t="shared" si="78"/>
        <v>0</v>
      </c>
      <c r="BQ476" s="612"/>
      <c r="BR476" s="612">
        <v>1</v>
      </c>
      <c r="BS476" s="576" t="s">
        <v>778</v>
      </c>
      <c r="BT476" s="576">
        <v>1664</v>
      </c>
      <c r="BU476" s="560" t="s">
        <v>1109</v>
      </c>
    </row>
    <row r="477" spans="17:73" s="560" customFormat="1">
      <c r="Q477" s="562"/>
      <c r="R477" s="562">
        <v>0.6</v>
      </c>
      <c r="S477" s="562"/>
      <c r="T477" s="562"/>
      <c r="U477" s="562"/>
      <c r="V477" s="562"/>
      <c r="W477" s="562"/>
      <c r="X477" s="562"/>
      <c r="Y477" s="562"/>
      <c r="Z477" s="562"/>
      <c r="AA477" s="562"/>
      <c r="AB477" s="562"/>
      <c r="AC477" s="562"/>
      <c r="AD477" s="563"/>
      <c r="AE477" s="561"/>
      <c r="AF477" s="568"/>
      <c r="AG477" s="562"/>
      <c r="AH477" s="577"/>
      <c r="AI477" s="577"/>
      <c r="AJ477" s="577"/>
      <c r="AK477" s="577"/>
      <c r="AL477" s="577"/>
      <c r="AM477" s="577"/>
      <c r="AN477" s="562"/>
      <c r="AO477" s="562"/>
      <c r="AP477" s="606"/>
      <c r="AQ477" s="599"/>
      <c r="AR477" s="599"/>
      <c r="AS477" s="606"/>
      <c r="AT477" s="606"/>
      <c r="AU477" s="577"/>
      <c r="AV477" s="577"/>
      <c r="AW477" s="562"/>
      <c r="AX477" s="562"/>
      <c r="AY477" s="562"/>
      <c r="AZ477" s="562"/>
      <c r="BA477" s="607"/>
      <c r="BB477" s="608"/>
      <c r="BD477" s="560">
        <v>38</v>
      </c>
      <c r="BF477" s="576"/>
      <c r="BG477" s="576"/>
      <c r="BH477" s="576"/>
      <c r="BI477" s="576">
        <v>1</v>
      </c>
      <c r="BJ477" s="576"/>
      <c r="BK477" s="576"/>
      <c r="BL477" s="560">
        <v>1.8</v>
      </c>
      <c r="BM477" s="576">
        <f t="shared" si="77"/>
        <v>3.6</v>
      </c>
      <c r="BN477" s="576" t="s">
        <v>779</v>
      </c>
      <c r="BO477" s="611">
        <v>3</v>
      </c>
      <c r="BP477" s="611">
        <f t="shared" si="78"/>
        <v>0.60000000000000009</v>
      </c>
      <c r="BQ477" s="612"/>
      <c r="BR477" s="612">
        <v>1</v>
      </c>
      <c r="BS477" s="576" t="s">
        <v>778</v>
      </c>
      <c r="BT477" s="576"/>
      <c r="BU477" s="560" t="s">
        <v>1109</v>
      </c>
    </row>
    <row r="478" spans="17:73" s="560" customFormat="1">
      <c r="Q478" s="562"/>
      <c r="R478" s="562">
        <v>0.55000000000000004</v>
      </c>
      <c r="S478" s="562"/>
      <c r="T478" s="562"/>
      <c r="U478" s="562"/>
      <c r="V478" s="562"/>
      <c r="W478" s="562"/>
      <c r="X478" s="562"/>
      <c r="Y478" s="562"/>
      <c r="Z478" s="562"/>
      <c r="AA478" s="562"/>
      <c r="AB478" s="562"/>
      <c r="AC478" s="562"/>
      <c r="AD478" s="563"/>
      <c r="AE478" s="561"/>
      <c r="AF478" s="568"/>
      <c r="AG478" s="562"/>
      <c r="AH478" s="577"/>
      <c r="AI478" s="577"/>
      <c r="AJ478" s="577"/>
      <c r="AK478" s="577"/>
      <c r="AL478" s="577"/>
      <c r="AM478" s="577"/>
      <c r="AN478" s="562"/>
      <c r="AO478" s="562"/>
      <c r="AP478" s="606"/>
      <c r="AQ478" s="599"/>
      <c r="AR478" s="599"/>
      <c r="AS478" s="606"/>
      <c r="AT478" s="606"/>
      <c r="AU478" s="577"/>
      <c r="AV478" s="577"/>
      <c r="AW478" s="562"/>
      <c r="AX478" s="562"/>
      <c r="AY478" s="562"/>
      <c r="AZ478" s="562"/>
      <c r="BA478" s="607"/>
      <c r="BB478" s="608"/>
      <c r="BD478" s="560">
        <v>39</v>
      </c>
      <c r="BF478" s="576"/>
      <c r="BG478" s="576"/>
      <c r="BH478" s="576"/>
      <c r="BI478" s="576">
        <v>1</v>
      </c>
      <c r="BJ478" s="576"/>
      <c r="BK478" s="576"/>
      <c r="BL478" s="560">
        <v>1.4</v>
      </c>
      <c r="BM478" s="576">
        <f t="shared" si="77"/>
        <v>2.8</v>
      </c>
      <c r="BN478" s="576" t="s">
        <v>779</v>
      </c>
      <c r="BO478" s="611">
        <v>3</v>
      </c>
      <c r="BP478" s="611">
        <f t="shared" si="78"/>
        <v>-0.20000000000000018</v>
      </c>
      <c r="BQ478" s="612"/>
      <c r="BR478" s="612">
        <v>1</v>
      </c>
      <c r="BS478" s="576" t="s">
        <v>778</v>
      </c>
      <c r="BT478" s="576"/>
      <c r="BU478" s="560" t="s">
        <v>1109</v>
      </c>
    </row>
    <row r="479" spans="17:73" s="560" customFormat="1">
      <c r="Q479" s="562"/>
      <c r="R479" s="562">
        <v>0.63</v>
      </c>
      <c r="S479" s="562"/>
      <c r="T479" s="562"/>
      <c r="U479" s="562"/>
      <c r="V479" s="562"/>
      <c r="W479" s="562"/>
      <c r="X479" s="562"/>
      <c r="Y479" s="562"/>
      <c r="Z479" s="562"/>
      <c r="AA479" s="562"/>
      <c r="AB479" s="562"/>
      <c r="AC479" s="562"/>
      <c r="AD479" s="563"/>
      <c r="AE479" s="561"/>
      <c r="AF479" s="568"/>
      <c r="AG479" s="562"/>
      <c r="AH479" s="577"/>
      <c r="AI479" s="577"/>
      <c r="AJ479" s="577"/>
      <c r="AK479" s="577"/>
      <c r="AL479" s="577"/>
      <c r="AM479" s="577"/>
      <c r="AN479" s="562"/>
      <c r="AO479" s="562"/>
      <c r="AP479" s="606"/>
      <c r="AQ479" s="599"/>
      <c r="AR479" s="599"/>
      <c r="AS479" s="606"/>
      <c r="AT479" s="606"/>
      <c r="AU479" s="577"/>
      <c r="AV479" s="577"/>
      <c r="AW479" s="562"/>
      <c r="AX479" s="562"/>
      <c r="AY479" s="562"/>
      <c r="AZ479" s="562"/>
      <c r="BA479" s="607"/>
      <c r="BB479" s="608"/>
      <c r="BD479" s="560">
        <v>40</v>
      </c>
      <c r="BF479" s="576">
        <v>0.5</v>
      </c>
      <c r="BG479" s="576" t="s">
        <v>777</v>
      </c>
      <c r="BH479" s="576">
        <v>1</v>
      </c>
      <c r="BI479" s="576"/>
      <c r="BJ479" s="576"/>
      <c r="BK479" s="576"/>
      <c r="BL479" s="560">
        <v>1.7</v>
      </c>
      <c r="BM479" s="576">
        <f t="shared" si="77"/>
        <v>3.4</v>
      </c>
      <c r="BN479" s="576" t="s">
        <v>779</v>
      </c>
      <c r="BO479" s="611">
        <v>3</v>
      </c>
      <c r="BP479" s="611">
        <f t="shared" si="78"/>
        <v>0.39999999999999991</v>
      </c>
      <c r="BQ479" s="612"/>
      <c r="BR479" s="612">
        <v>1</v>
      </c>
      <c r="BS479" s="576" t="s">
        <v>778</v>
      </c>
      <c r="BT479" s="576">
        <v>1662</v>
      </c>
      <c r="BU479" s="560" t="s">
        <v>1109</v>
      </c>
    </row>
    <row r="480" spans="17:73" s="560" customFormat="1">
      <c r="Q480" s="562" t="s">
        <v>1036</v>
      </c>
      <c r="R480" s="562"/>
      <c r="S480" s="562"/>
      <c r="T480" s="562"/>
      <c r="U480" s="562"/>
      <c r="V480" s="562"/>
      <c r="W480" s="562"/>
      <c r="X480" s="562"/>
      <c r="Y480" s="562"/>
      <c r="Z480" s="562"/>
      <c r="AA480" s="562"/>
      <c r="AB480" s="562"/>
      <c r="AC480" s="562"/>
      <c r="AD480" s="563"/>
      <c r="AE480" s="561"/>
      <c r="AF480" s="562"/>
      <c r="AG480" s="562"/>
      <c r="AH480" s="562"/>
      <c r="AI480" s="562"/>
      <c r="AJ480" s="562"/>
      <c r="AK480" s="562"/>
      <c r="AL480" s="562"/>
      <c r="AM480" s="562"/>
      <c r="AN480" s="562"/>
      <c r="AO480" s="562"/>
      <c r="AP480" s="562"/>
      <c r="AQ480" s="562"/>
      <c r="AR480" s="562"/>
      <c r="AS480" s="562"/>
      <c r="AT480" s="562"/>
      <c r="AU480" s="562"/>
      <c r="AV480" s="562"/>
      <c r="AW480" s="562"/>
      <c r="AX480" s="562"/>
      <c r="AY480" s="562"/>
      <c r="AZ480" s="562"/>
      <c r="BA480" s="562"/>
      <c r="BB480" s="563"/>
      <c r="BD480" s="560" t="s">
        <v>778</v>
      </c>
      <c r="BF480" s="576">
        <v>2</v>
      </c>
      <c r="BG480" s="576" t="s">
        <v>793</v>
      </c>
      <c r="BH480" s="576"/>
      <c r="BI480" s="576"/>
      <c r="BJ480" s="576"/>
      <c r="BK480" s="576">
        <v>1</v>
      </c>
      <c r="BM480" s="576"/>
      <c r="BN480" s="576"/>
      <c r="BO480" s="611">
        <v>3</v>
      </c>
      <c r="BP480" s="611"/>
      <c r="BQ480" s="612"/>
      <c r="BR480" s="612"/>
      <c r="BS480" s="576"/>
      <c r="BT480" s="576">
        <v>1663</v>
      </c>
    </row>
    <row r="481" spans="16:73" s="560" customFormat="1">
      <c r="P481" s="561"/>
      <c r="Q481" s="562"/>
      <c r="R481" s="562">
        <v>0.73</v>
      </c>
      <c r="S481" s="562"/>
      <c r="T481" s="562"/>
      <c r="U481" s="562"/>
      <c r="V481" s="562"/>
      <c r="W481" s="562"/>
      <c r="X481" s="562"/>
      <c r="Y481" s="562"/>
      <c r="Z481" s="562"/>
      <c r="AA481" s="562"/>
      <c r="AB481" s="562"/>
      <c r="AC481" s="562"/>
      <c r="AD481" s="563"/>
      <c r="AE481" s="561"/>
      <c r="AF481" s="562"/>
      <c r="AG481" s="562"/>
      <c r="AH481" s="562"/>
      <c r="AI481" s="562"/>
      <c r="AJ481" s="562"/>
      <c r="AK481" s="562"/>
      <c r="AL481" s="562"/>
      <c r="AM481" s="562"/>
      <c r="AN481" s="562"/>
      <c r="AO481" s="562"/>
      <c r="AP481" s="562"/>
      <c r="AQ481" s="562"/>
      <c r="AR481" s="562"/>
      <c r="AS481" s="562"/>
      <c r="AT481" s="562"/>
      <c r="AU481" s="562"/>
      <c r="AV481" s="562"/>
      <c r="AW481" s="562"/>
      <c r="AX481" s="562"/>
      <c r="AY481" s="562"/>
      <c r="AZ481" s="562"/>
      <c r="BA481" s="562"/>
      <c r="BB481" s="563"/>
      <c r="BD481" s="560">
        <v>41</v>
      </c>
      <c r="BF481" s="576">
        <v>0.1</v>
      </c>
      <c r="BG481" s="576" t="s">
        <v>777</v>
      </c>
      <c r="BH481" s="576">
        <v>1</v>
      </c>
      <c r="BI481" s="576"/>
      <c r="BJ481" s="576"/>
      <c r="BK481" s="576"/>
      <c r="BL481" s="560">
        <v>1.9</v>
      </c>
      <c r="BM481" s="576">
        <f t="shared" ref="BM481:BM488" si="79">BL481+BL481</f>
        <v>3.8</v>
      </c>
      <c r="BN481" s="576" t="s">
        <v>779</v>
      </c>
      <c r="BO481" s="611">
        <v>3</v>
      </c>
      <c r="BP481" s="611">
        <f t="shared" ref="BP481:BP488" si="80">BM481-BO481</f>
        <v>0.79999999999999982</v>
      </c>
      <c r="BQ481" s="612"/>
      <c r="BR481" s="612">
        <v>1</v>
      </c>
      <c r="BS481" s="576" t="s">
        <v>778</v>
      </c>
      <c r="BT481" s="576">
        <v>1661</v>
      </c>
      <c r="BU481" s="560" t="s">
        <v>1109</v>
      </c>
    </row>
    <row r="482" spans="16:73" s="560" customFormat="1">
      <c r="P482" s="561"/>
      <c r="Q482" s="562"/>
      <c r="R482" s="562">
        <v>1.2</v>
      </c>
      <c r="S482" s="562"/>
      <c r="T482" s="562"/>
      <c r="U482" s="562"/>
      <c r="V482" s="562"/>
      <c r="W482" s="562"/>
      <c r="X482" s="562"/>
      <c r="Y482" s="562"/>
      <c r="Z482" s="562"/>
      <c r="AA482" s="562"/>
      <c r="AB482" s="562"/>
      <c r="AC482" s="562"/>
      <c r="AD482" s="563"/>
      <c r="AE482" s="561"/>
      <c r="AF482" s="562"/>
      <c r="AG482" s="562"/>
      <c r="AH482" s="562"/>
      <c r="AI482" s="562"/>
      <c r="AJ482" s="562"/>
      <c r="AK482" s="562"/>
      <c r="AL482" s="562"/>
      <c r="AM482" s="562"/>
      <c r="AN482" s="562"/>
      <c r="AO482" s="562"/>
      <c r="AP482" s="562"/>
      <c r="AQ482" s="562"/>
      <c r="AR482" s="562"/>
      <c r="AS482" s="562"/>
      <c r="AT482" s="562"/>
      <c r="AU482" s="562"/>
      <c r="AV482" s="562"/>
      <c r="AW482" s="562"/>
      <c r="AX482" s="562"/>
      <c r="AY482" s="562"/>
      <c r="AZ482" s="562"/>
      <c r="BA482" s="562"/>
      <c r="BB482" s="563"/>
      <c r="BD482" s="560">
        <v>42</v>
      </c>
      <c r="BF482" s="576">
        <v>0.25</v>
      </c>
      <c r="BG482" s="576" t="s">
        <v>777</v>
      </c>
      <c r="BH482" s="576">
        <v>1</v>
      </c>
      <c r="BI482" s="576"/>
      <c r="BJ482" s="576"/>
      <c r="BK482" s="576"/>
      <c r="BL482" s="560">
        <v>1.9</v>
      </c>
      <c r="BM482" s="576">
        <f t="shared" si="79"/>
        <v>3.8</v>
      </c>
      <c r="BN482" s="576" t="s">
        <v>779</v>
      </c>
      <c r="BO482" s="611">
        <v>3</v>
      </c>
      <c r="BP482" s="611">
        <f t="shared" si="80"/>
        <v>0.79999999999999982</v>
      </c>
      <c r="BQ482" s="612"/>
      <c r="BR482" s="612">
        <v>1</v>
      </c>
      <c r="BS482" s="576" t="s">
        <v>778</v>
      </c>
      <c r="BT482" s="576">
        <v>1660</v>
      </c>
      <c r="BU482" s="560" t="s">
        <v>1118</v>
      </c>
    </row>
    <row r="483" spans="16:73" s="560" customFormat="1">
      <c r="P483" s="561"/>
      <c r="Q483" s="562"/>
      <c r="R483" s="562">
        <v>1.2</v>
      </c>
      <c r="S483" s="562"/>
      <c r="T483" s="562"/>
      <c r="U483" s="562"/>
      <c r="V483" s="562"/>
      <c r="W483" s="562"/>
      <c r="X483" s="562"/>
      <c r="Y483" s="562"/>
      <c r="Z483" s="562"/>
      <c r="AA483" s="562"/>
      <c r="AB483" s="562"/>
      <c r="AC483" s="562"/>
      <c r="AD483" s="563"/>
      <c r="AE483" s="561"/>
      <c r="AF483" s="562"/>
      <c r="AG483" s="562"/>
      <c r="AH483" s="562"/>
      <c r="AI483" s="562"/>
      <c r="AJ483" s="562"/>
      <c r="AK483" s="562"/>
      <c r="AL483" s="562"/>
      <c r="AM483" s="562"/>
      <c r="AN483" s="562"/>
      <c r="AO483" s="562"/>
      <c r="AP483" s="562"/>
      <c r="AQ483" s="562"/>
      <c r="AR483" s="562"/>
      <c r="AS483" s="562"/>
      <c r="AT483" s="562"/>
      <c r="AU483" s="562"/>
      <c r="AV483" s="562"/>
      <c r="AW483" s="562"/>
      <c r="AX483" s="562"/>
      <c r="AY483" s="562"/>
      <c r="AZ483" s="562"/>
      <c r="BA483" s="562"/>
      <c r="BB483" s="563"/>
      <c r="BD483" s="560">
        <v>43</v>
      </c>
      <c r="BF483" s="576">
        <v>0.1</v>
      </c>
      <c r="BG483" s="576" t="s">
        <v>778</v>
      </c>
      <c r="BH483" s="576">
        <v>1</v>
      </c>
      <c r="BI483" s="576"/>
      <c r="BJ483" s="576"/>
      <c r="BK483" s="576"/>
      <c r="BL483" s="560">
        <v>1.6</v>
      </c>
      <c r="BM483" s="576">
        <f t="shared" si="79"/>
        <v>3.2</v>
      </c>
      <c r="BN483" s="576" t="s">
        <v>779</v>
      </c>
      <c r="BO483" s="611">
        <v>3</v>
      </c>
      <c r="BP483" s="611">
        <f t="shared" si="80"/>
        <v>0.20000000000000018</v>
      </c>
      <c r="BQ483" s="612"/>
      <c r="BR483" s="612">
        <v>1</v>
      </c>
      <c r="BS483" s="576" t="s">
        <v>778</v>
      </c>
      <c r="BT483" s="576">
        <v>1658</v>
      </c>
      <c r="BU483" s="560" t="s">
        <v>1109</v>
      </c>
    </row>
    <row r="484" spans="16:73" s="560" customFormat="1">
      <c r="P484" s="561"/>
      <c r="Q484" s="562"/>
      <c r="R484" s="562">
        <f>COUNT(R417:R483)</f>
        <v>62</v>
      </c>
      <c r="S484" s="562"/>
      <c r="T484" s="562"/>
      <c r="U484" s="562"/>
      <c r="V484" s="562"/>
      <c r="W484" s="562"/>
      <c r="X484" s="562"/>
      <c r="Y484" s="562"/>
      <c r="Z484" s="562"/>
      <c r="AA484" s="562"/>
      <c r="AB484" s="562"/>
      <c r="AC484" s="562"/>
      <c r="AD484" s="563"/>
      <c r="AE484" s="561"/>
      <c r="AF484" s="562"/>
      <c r="AG484" s="562"/>
      <c r="AH484" s="562"/>
      <c r="AI484" s="562"/>
      <c r="AJ484" s="562"/>
      <c r="AK484" s="562"/>
      <c r="AL484" s="562"/>
      <c r="AM484" s="562"/>
      <c r="AN484" s="562"/>
      <c r="AO484" s="562"/>
      <c r="AP484" s="562"/>
      <c r="AQ484" s="562"/>
      <c r="AR484" s="562"/>
      <c r="AS484" s="562"/>
      <c r="AT484" s="562"/>
      <c r="AU484" s="562"/>
      <c r="AV484" s="562"/>
      <c r="AW484" s="562"/>
      <c r="AX484" s="562"/>
      <c r="AY484" s="562"/>
      <c r="AZ484" s="562"/>
      <c r="BA484" s="562"/>
      <c r="BB484" s="563"/>
      <c r="BD484" s="560">
        <v>44</v>
      </c>
      <c r="BF484" s="576"/>
      <c r="BG484" s="576"/>
      <c r="BH484" s="576"/>
      <c r="BI484" s="576">
        <v>1</v>
      </c>
      <c r="BJ484" s="576"/>
      <c r="BK484" s="576"/>
      <c r="BL484" s="560">
        <v>0.6</v>
      </c>
      <c r="BM484" s="576">
        <f t="shared" si="79"/>
        <v>1.2</v>
      </c>
      <c r="BN484" s="576" t="s">
        <v>779</v>
      </c>
      <c r="BO484" s="611">
        <v>3</v>
      </c>
      <c r="BP484" s="700">
        <f t="shared" si="80"/>
        <v>-1.8</v>
      </c>
      <c r="BQ484" s="612"/>
      <c r="BR484" s="612">
        <v>1</v>
      </c>
      <c r="BS484" s="576" t="s">
        <v>778</v>
      </c>
      <c r="BT484" s="576"/>
      <c r="BU484" s="560" t="s">
        <v>1119</v>
      </c>
    </row>
    <row r="485" spans="16:73" s="560" customFormat="1">
      <c r="P485" s="567">
        <v>41148</v>
      </c>
      <c r="Q485" s="568" t="s">
        <v>725</v>
      </c>
      <c r="R485" s="568"/>
      <c r="S485" s="568" t="s">
        <v>726</v>
      </c>
      <c r="T485" s="569" t="s">
        <v>727</v>
      </c>
      <c r="U485" s="569" t="s">
        <v>728</v>
      </c>
      <c r="V485" s="569" t="s">
        <v>729</v>
      </c>
      <c r="W485" s="569" t="s">
        <v>730</v>
      </c>
      <c r="X485" s="569" t="s">
        <v>731</v>
      </c>
      <c r="Y485" s="568"/>
      <c r="Z485" s="562"/>
      <c r="AA485" s="562"/>
      <c r="AB485" s="562"/>
      <c r="AC485" s="562"/>
      <c r="AD485" s="563"/>
      <c r="AE485" s="561"/>
      <c r="AF485" s="562"/>
      <c r="AG485" s="562"/>
      <c r="AH485" s="562"/>
      <c r="AI485" s="562"/>
      <c r="AJ485" s="562"/>
      <c r="AK485" s="562"/>
      <c r="AL485" s="562"/>
      <c r="AM485" s="562"/>
      <c r="AN485" s="562"/>
      <c r="AO485" s="562"/>
      <c r="AP485" s="562"/>
      <c r="AQ485" s="562"/>
      <c r="AR485" s="562"/>
      <c r="AS485" s="562"/>
      <c r="AT485" s="562"/>
      <c r="AU485" s="562"/>
      <c r="AV485" s="562"/>
      <c r="AW485" s="562"/>
      <c r="AX485" s="562"/>
      <c r="AY485" s="562"/>
      <c r="AZ485" s="562"/>
      <c r="BA485" s="562"/>
      <c r="BB485" s="563"/>
      <c r="BD485" s="560">
        <v>45</v>
      </c>
      <c r="BF485" s="576">
        <v>0.1</v>
      </c>
      <c r="BG485" s="576" t="s">
        <v>778</v>
      </c>
      <c r="BH485" s="576">
        <v>1</v>
      </c>
      <c r="BI485" s="576"/>
      <c r="BJ485" s="576"/>
      <c r="BK485" s="576"/>
      <c r="BL485" s="560">
        <v>1.6</v>
      </c>
      <c r="BM485" s="576">
        <f t="shared" si="79"/>
        <v>3.2</v>
      </c>
      <c r="BN485" s="576" t="s">
        <v>779</v>
      </c>
      <c r="BO485" s="611">
        <v>3</v>
      </c>
      <c r="BP485" s="611">
        <f t="shared" si="80"/>
        <v>0.20000000000000018</v>
      </c>
      <c r="BQ485" s="612"/>
      <c r="BR485" s="612">
        <v>1</v>
      </c>
      <c r="BS485" s="576" t="s">
        <v>778</v>
      </c>
      <c r="BT485" s="576">
        <v>1656</v>
      </c>
      <c r="BU485" s="560" t="s">
        <v>1109</v>
      </c>
    </row>
    <row r="486" spans="16:73" s="560" customFormat="1">
      <c r="P486" s="561"/>
      <c r="Q486" s="568"/>
      <c r="R486" s="568"/>
      <c r="S486" s="568"/>
      <c r="T486" s="569" t="s">
        <v>1120</v>
      </c>
      <c r="U486" s="569" t="s">
        <v>1121</v>
      </c>
      <c r="V486" s="577"/>
      <c r="W486" s="577"/>
      <c r="X486" s="569"/>
      <c r="Y486" s="578" t="s">
        <v>1122</v>
      </c>
      <c r="Z486" s="562"/>
      <c r="AA486" s="562"/>
      <c r="AB486" s="562"/>
      <c r="AC486" s="562"/>
      <c r="AD486" s="563"/>
      <c r="AE486" s="561"/>
      <c r="AF486" s="562"/>
      <c r="AG486" s="562"/>
      <c r="AH486" s="562"/>
      <c r="AI486" s="562"/>
      <c r="AJ486" s="562"/>
      <c r="AK486" s="562"/>
      <c r="AL486" s="562"/>
      <c r="AM486" s="562"/>
      <c r="AN486" s="562"/>
      <c r="AO486" s="562"/>
      <c r="AP486" s="562"/>
      <c r="AQ486" s="562"/>
      <c r="AR486" s="562"/>
      <c r="AS486" s="562"/>
      <c r="AT486" s="562"/>
      <c r="AU486" s="562"/>
      <c r="AV486" s="562"/>
      <c r="AW486" s="562"/>
      <c r="AX486" s="562"/>
      <c r="AY486" s="562"/>
      <c r="AZ486" s="562"/>
      <c r="BA486" s="562"/>
      <c r="BB486" s="563"/>
      <c r="BD486" s="560">
        <v>46</v>
      </c>
      <c r="BF486" s="576">
        <v>0.1</v>
      </c>
      <c r="BG486" s="576" t="s">
        <v>777</v>
      </c>
      <c r="BH486" s="576">
        <v>1</v>
      </c>
      <c r="BI486" s="576"/>
      <c r="BJ486" s="576"/>
      <c r="BK486" s="576"/>
      <c r="BL486" s="560">
        <v>2</v>
      </c>
      <c r="BM486" s="576">
        <f t="shared" si="79"/>
        <v>4</v>
      </c>
      <c r="BN486" s="576" t="s">
        <v>779</v>
      </c>
      <c r="BO486" s="611">
        <v>3</v>
      </c>
      <c r="BP486" s="611">
        <f t="shared" si="80"/>
        <v>1</v>
      </c>
      <c r="BQ486" s="612"/>
      <c r="BR486" s="612">
        <v>1</v>
      </c>
      <c r="BS486" s="576" t="s">
        <v>778</v>
      </c>
      <c r="BT486" s="576">
        <v>1655</v>
      </c>
      <c r="BU486" s="560" t="s">
        <v>1109</v>
      </c>
    </row>
    <row r="487" spans="16:73" s="560" customFormat="1">
      <c r="P487" s="561" t="s">
        <v>586</v>
      </c>
      <c r="Q487" s="583" t="s">
        <v>1123</v>
      </c>
      <c r="R487" s="578"/>
      <c r="S487" s="569"/>
      <c r="T487" s="568"/>
      <c r="U487" s="568"/>
      <c r="V487" s="569"/>
      <c r="W487" s="569"/>
      <c r="X487" s="569"/>
      <c r="Y487" s="569"/>
      <c r="Z487" s="562"/>
      <c r="AA487" s="562"/>
      <c r="AB487" s="562"/>
      <c r="AC487" s="562"/>
      <c r="AD487" s="563"/>
      <c r="AE487" s="561"/>
      <c r="AF487" s="562"/>
      <c r="AG487" s="562"/>
      <c r="AH487" s="562"/>
      <c r="AI487" s="562"/>
      <c r="AJ487" s="562"/>
      <c r="AK487" s="562"/>
      <c r="AL487" s="562"/>
      <c r="AM487" s="562"/>
      <c r="AN487" s="562"/>
      <c r="AO487" s="562"/>
      <c r="AP487" s="562"/>
      <c r="AQ487" s="562"/>
      <c r="AR487" s="562"/>
      <c r="AS487" s="562"/>
      <c r="AT487" s="562"/>
      <c r="AU487" s="562"/>
      <c r="AV487" s="562"/>
      <c r="AW487" s="562"/>
      <c r="AX487" s="562"/>
      <c r="AY487" s="562"/>
      <c r="AZ487" s="562"/>
      <c r="BA487" s="562"/>
      <c r="BB487" s="563"/>
      <c r="BD487" s="560">
        <v>47</v>
      </c>
      <c r="BF487" s="576">
        <v>1.3</v>
      </c>
      <c r="BG487" s="576" t="s">
        <v>777</v>
      </c>
      <c r="BH487" s="576">
        <v>1</v>
      </c>
      <c r="BI487" s="576"/>
      <c r="BJ487" s="576"/>
      <c r="BK487" s="576"/>
      <c r="BL487" s="560">
        <v>1.6</v>
      </c>
      <c r="BM487" s="576">
        <f t="shared" si="79"/>
        <v>3.2</v>
      </c>
      <c r="BN487" s="576" t="s">
        <v>779</v>
      </c>
      <c r="BO487" s="611">
        <v>3</v>
      </c>
      <c r="BP487" s="611">
        <f t="shared" si="80"/>
        <v>0.20000000000000018</v>
      </c>
      <c r="BQ487" s="612"/>
      <c r="BR487" s="612">
        <v>1</v>
      </c>
      <c r="BS487" s="576" t="s">
        <v>778</v>
      </c>
      <c r="BT487" s="576">
        <v>1654</v>
      </c>
      <c r="BU487" s="560" t="s">
        <v>1109</v>
      </c>
    </row>
    <row r="488" spans="16:73" s="560" customFormat="1">
      <c r="P488" s="587"/>
      <c r="Q488" s="588" t="s">
        <v>755</v>
      </c>
      <c r="R488" s="588" t="s">
        <v>756</v>
      </c>
      <c r="S488" s="588" t="s">
        <v>757</v>
      </c>
      <c r="T488" s="588" t="s">
        <v>758</v>
      </c>
      <c r="U488" s="588" t="s">
        <v>759</v>
      </c>
      <c r="V488" s="588" t="s">
        <v>760</v>
      </c>
      <c r="W488" s="588" t="s">
        <v>761</v>
      </c>
      <c r="X488" s="588" t="s">
        <v>762</v>
      </c>
      <c r="Y488" s="588" t="s">
        <v>763</v>
      </c>
      <c r="Z488" s="562"/>
      <c r="AA488" s="562"/>
      <c r="AB488" s="562"/>
      <c r="AC488" s="588" t="s">
        <v>764</v>
      </c>
      <c r="AD488" s="589"/>
      <c r="AE488" s="561"/>
      <c r="AF488" s="562"/>
      <c r="AG488" s="562"/>
      <c r="AH488" s="562"/>
      <c r="AI488" s="562"/>
      <c r="AJ488" s="562"/>
      <c r="AK488" s="562"/>
      <c r="AL488" s="562"/>
      <c r="AM488" s="562"/>
      <c r="AN488" s="562"/>
      <c r="AO488" s="562"/>
      <c r="AP488" s="562"/>
      <c r="AQ488" s="562"/>
      <c r="AR488" s="562"/>
      <c r="AS488" s="562"/>
      <c r="AT488" s="562"/>
      <c r="AU488" s="562"/>
      <c r="AV488" s="562"/>
      <c r="AW488" s="562"/>
      <c r="AX488" s="562"/>
      <c r="AY488" s="562"/>
      <c r="AZ488" s="562"/>
      <c r="BA488" s="562"/>
      <c r="BB488" s="563"/>
      <c r="BD488" s="560">
        <v>48</v>
      </c>
      <c r="BF488" s="576"/>
      <c r="BG488" s="576"/>
      <c r="BH488" s="576"/>
      <c r="BI488" s="576">
        <v>1</v>
      </c>
      <c r="BJ488" s="576"/>
      <c r="BK488" s="576"/>
      <c r="BL488" s="560">
        <v>1.6</v>
      </c>
      <c r="BM488" s="576">
        <f t="shared" si="79"/>
        <v>3.2</v>
      </c>
      <c r="BN488" s="576" t="s">
        <v>779</v>
      </c>
      <c r="BO488" s="611">
        <v>3</v>
      </c>
      <c r="BP488" s="611">
        <f t="shared" si="80"/>
        <v>0.20000000000000018</v>
      </c>
      <c r="BQ488" s="612"/>
      <c r="BR488" s="612">
        <v>1</v>
      </c>
      <c r="BS488" s="576" t="s">
        <v>778</v>
      </c>
      <c r="BT488" s="576"/>
      <c r="BU488" s="560" t="s">
        <v>1109</v>
      </c>
    </row>
    <row r="489" spans="16:73" s="560" customFormat="1">
      <c r="P489" s="561"/>
      <c r="Q489" s="568" t="s">
        <v>775</v>
      </c>
      <c r="R489" s="562"/>
      <c r="S489" s="562"/>
      <c r="T489" s="562"/>
      <c r="U489" s="562"/>
      <c r="V489" s="562"/>
      <c r="W489" s="562"/>
      <c r="X489" s="629"/>
      <c r="Y489" s="562"/>
      <c r="Z489" s="562"/>
      <c r="AA489" s="562"/>
      <c r="AB489" s="562"/>
      <c r="AC489" s="577"/>
      <c r="AD489" s="589"/>
      <c r="AE489" s="561"/>
      <c r="AF489" s="562"/>
      <c r="AG489" s="562"/>
      <c r="AH489" s="562"/>
      <c r="AI489" s="562"/>
      <c r="AJ489" s="562"/>
      <c r="AK489" s="562"/>
      <c r="AL489" s="562"/>
      <c r="AM489" s="562"/>
      <c r="AN489" s="562"/>
      <c r="AO489" s="562"/>
      <c r="AP489" s="562"/>
      <c r="AQ489" s="562"/>
      <c r="AR489" s="562"/>
      <c r="AS489" s="562"/>
      <c r="AT489" s="562"/>
      <c r="AU489" s="562"/>
      <c r="AV489" s="562"/>
      <c r="AW489" s="562"/>
      <c r="AX489" s="562"/>
      <c r="AY489" s="562"/>
      <c r="AZ489" s="562"/>
      <c r="BA489" s="562"/>
      <c r="BB489" s="563"/>
      <c r="BH489" s="640">
        <f>SUM(BH438:BH488)</f>
        <v>16</v>
      </c>
      <c r="BI489" s="640">
        <f>SUM(BI438:BI488)</f>
        <v>32</v>
      </c>
      <c r="BJ489" s="641"/>
      <c r="BK489" s="642">
        <f>SUM(BK438:BK488)</f>
        <v>10</v>
      </c>
      <c r="BM489" s="643">
        <f>SUM(BM438:BM488)</f>
        <v>161.30000000000001</v>
      </c>
      <c r="BN489" s="576"/>
      <c r="BO489" s="644">
        <f>SUM(BO438:BO488)</f>
        <v>153</v>
      </c>
      <c r="BP489" s="644">
        <f>SUM(BP438:BP483,BP485:BP488)</f>
        <v>19.099999999999994</v>
      </c>
      <c r="BQ489" s="661"/>
      <c r="BR489" s="645">
        <f>SUM(BR438:BR488)</f>
        <v>48</v>
      </c>
    </row>
    <row r="490" spans="16:73" s="560" customFormat="1">
      <c r="P490" s="561"/>
      <c r="Q490" s="562"/>
      <c r="R490" s="568">
        <v>0.45</v>
      </c>
      <c r="S490" s="562"/>
      <c r="T490" s="562"/>
      <c r="U490" s="562"/>
      <c r="V490" s="562"/>
      <c r="W490" s="562"/>
      <c r="X490" s="629"/>
      <c r="Y490" s="562"/>
      <c r="Z490" s="562"/>
      <c r="AA490" s="562"/>
      <c r="AB490" s="562"/>
      <c r="AC490" s="607" t="s">
        <v>780</v>
      </c>
      <c r="AD490" s="608" t="s">
        <v>616</v>
      </c>
      <c r="AE490" s="561"/>
      <c r="AF490" s="562"/>
      <c r="AG490" s="562"/>
      <c r="AH490" s="562"/>
      <c r="AI490" s="562"/>
      <c r="AJ490" s="562"/>
      <c r="AK490" s="562"/>
      <c r="AL490" s="562"/>
      <c r="AM490" s="562"/>
      <c r="AN490" s="562"/>
      <c r="AO490" s="562"/>
      <c r="AP490" s="562"/>
      <c r="AQ490" s="562"/>
      <c r="AR490" s="562"/>
      <c r="AS490" s="562"/>
      <c r="AT490" s="562"/>
      <c r="AU490" s="562"/>
      <c r="AV490" s="562"/>
      <c r="AW490" s="562"/>
      <c r="AX490" s="562"/>
      <c r="AY490" s="562"/>
      <c r="AZ490" s="562"/>
      <c r="BA490" s="562"/>
      <c r="BB490" s="563"/>
      <c r="BC490" s="682">
        <v>41128</v>
      </c>
      <c r="BD490" s="565" t="s">
        <v>725</v>
      </c>
      <c r="BE490" s="565"/>
      <c r="BF490" s="565" t="s">
        <v>726</v>
      </c>
      <c r="BG490" s="566" t="s">
        <v>727</v>
      </c>
      <c r="BH490" s="566"/>
      <c r="BI490" s="566"/>
      <c r="BJ490" s="566"/>
      <c r="BK490" s="566"/>
      <c r="BL490" s="566" t="s">
        <v>728</v>
      </c>
      <c r="BN490" s="566" t="s">
        <v>729</v>
      </c>
      <c r="BO490" s="603"/>
      <c r="BP490" s="646">
        <f>+BP489/BO489</f>
        <v>0.1248366013071895</v>
      </c>
      <c r="BQ490" s="604"/>
      <c r="BR490" s="604"/>
      <c r="BS490" s="566" t="s">
        <v>730</v>
      </c>
      <c r="BT490" s="566" t="s">
        <v>731</v>
      </c>
    </row>
    <row r="491" spans="16:73" s="560" customFormat="1">
      <c r="P491" s="561"/>
      <c r="Q491" s="562"/>
      <c r="R491" s="562">
        <v>0.4</v>
      </c>
      <c r="S491" s="562"/>
      <c r="T491" s="562"/>
      <c r="U491" s="562"/>
      <c r="V491" s="562"/>
      <c r="W491" s="562"/>
      <c r="X491" s="629"/>
      <c r="Y491" s="562"/>
      <c r="Z491" s="562"/>
      <c r="AA491" s="562"/>
      <c r="AB491" s="562"/>
      <c r="AC491" s="607" t="s">
        <v>785</v>
      </c>
      <c r="AD491" s="608" t="s">
        <v>542</v>
      </c>
      <c r="AE491" s="561"/>
      <c r="AF491" s="562"/>
      <c r="AG491" s="562"/>
      <c r="AH491" s="562"/>
      <c r="AI491" s="562"/>
      <c r="AJ491" s="562"/>
      <c r="AK491" s="562"/>
      <c r="AL491" s="562"/>
      <c r="AM491" s="562"/>
      <c r="AN491" s="562"/>
      <c r="AO491" s="562"/>
      <c r="AP491" s="562"/>
      <c r="AQ491" s="562"/>
      <c r="AR491" s="562"/>
      <c r="AS491" s="562"/>
      <c r="AT491" s="562"/>
      <c r="AU491" s="562"/>
      <c r="AV491" s="562"/>
      <c r="AW491" s="562"/>
      <c r="AX491" s="562"/>
      <c r="AY491" s="562"/>
      <c r="AZ491" s="562"/>
      <c r="BA491" s="562"/>
      <c r="BB491" s="563"/>
      <c r="BD491" s="565"/>
      <c r="BE491" s="565"/>
      <c r="BF491" s="565"/>
      <c r="BG491" s="576" t="s">
        <v>1124</v>
      </c>
      <c r="BH491" s="576"/>
      <c r="BI491" s="576"/>
      <c r="BJ491" s="576"/>
      <c r="BK491" s="576"/>
      <c r="BL491" s="576" t="s">
        <v>1125</v>
      </c>
      <c r="BN491" s="576">
        <v>45</v>
      </c>
      <c r="BO491" s="611"/>
      <c r="BP491" s="611"/>
      <c r="BQ491" s="612"/>
      <c r="BR491" s="612"/>
      <c r="BS491" s="576">
        <v>44</v>
      </c>
      <c r="BT491" s="622"/>
    </row>
    <row r="492" spans="16:73" s="560" customFormat="1">
      <c r="P492" s="561"/>
      <c r="Q492" s="562"/>
      <c r="R492" s="562">
        <v>0.43</v>
      </c>
      <c r="S492" s="562"/>
      <c r="T492" s="562"/>
      <c r="U492" s="562"/>
      <c r="V492" s="562"/>
      <c r="W492" s="562"/>
      <c r="X492" s="629"/>
      <c r="Y492" s="562"/>
      <c r="Z492" s="562"/>
      <c r="AA492" s="562"/>
      <c r="AB492" s="562"/>
      <c r="AC492" s="607" t="s">
        <v>789</v>
      </c>
      <c r="AD492" s="608" t="s">
        <v>790</v>
      </c>
      <c r="AE492" s="561"/>
      <c r="AF492" s="562"/>
      <c r="AG492" s="562"/>
      <c r="AH492" s="562"/>
      <c r="AI492" s="562"/>
      <c r="AJ492" s="562"/>
      <c r="AK492" s="562"/>
      <c r="AL492" s="562"/>
      <c r="AM492" s="562"/>
      <c r="AN492" s="562"/>
      <c r="AO492" s="562"/>
      <c r="AP492" s="562"/>
      <c r="AQ492" s="562"/>
      <c r="AR492" s="562"/>
      <c r="AS492" s="562"/>
      <c r="AT492" s="562"/>
      <c r="AU492" s="562"/>
      <c r="AV492" s="562"/>
      <c r="AW492" s="562"/>
      <c r="AX492" s="562"/>
      <c r="AY492" s="562"/>
      <c r="AZ492" s="562"/>
      <c r="BA492" s="562"/>
      <c r="BB492" s="563"/>
      <c r="BD492" s="581" t="s">
        <v>1106</v>
      </c>
      <c r="BE492" s="582"/>
      <c r="BF492" s="566"/>
      <c r="BG492" s="565"/>
      <c r="BH492" s="565"/>
      <c r="BI492" s="565"/>
      <c r="BJ492" s="565"/>
      <c r="BK492" s="565"/>
      <c r="BL492" s="565"/>
      <c r="BN492" s="566"/>
      <c r="BO492" s="603"/>
      <c r="BP492" s="581" t="s">
        <v>1126</v>
      </c>
      <c r="BQ492" s="604"/>
      <c r="BR492" s="604"/>
      <c r="BS492" s="566"/>
      <c r="BT492" s="576"/>
    </row>
    <row r="493" spans="16:73" s="560" customFormat="1">
      <c r="P493" s="561"/>
      <c r="Q493" s="562"/>
      <c r="R493" s="562">
        <v>0.8</v>
      </c>
      <c r="S493" s="562"/>
      <c r="T493" s="562"/>
      <c r="U493" s="562"/>
      <c r="V493" s="562"/>
      <c r="W493" s="562"/>
      <c r="X493" s="629"/>
      <c r="Y493" s="562"/>
      <c r="Z493" s="562"/>
      <c r="AA493" s="562"/>
      <c r="AB493" s="562"/>
      <c r="AC493" s="607" t="s">
        <v>791</v>
      </c>
      <c r="AD493" s="608" t="s">
        <v>792</v>
      </c>
      <c r="AE493" s="561"/>
      <c r="AF493" s="562"/>
      <c r="AG493" s="562"/>
      <c r="AH493" s="562"/>
      <c r="AI493" s="562"/>
      <c r="AJ493" s="562"/>
      <c r="AK493" s="562"/>
      <c r="AL493" s="562"/>
      <c r="AM493" s="562"/>
      <c r="AN493" s="562"/>
      <c r="AO493" s="562"/>
      <c r="AP493" s="562"/>
      <c r="AQ493" s="562"/>
      <c r="AR493" s="562"/>
      <c r="AS493" s="562"/>
      <c r="AT493" s="562"/>
      <c r="AU493" s="562"/>
      <c r="AV493" s="562"/>
      <c r="AW493" s="562"/>
      <c r="AX493" s="562"/>
      <c r="AY493" s="562"/>
      <c r="AZ493" s="562"/>
      <c r="BA493" s="562"/>
      <c r="BB493" s="563"/>
      <c r="BC493" s="560" t="s">
        <v>509</v>
      </c>
      <c r="BD493" s="586" t="s">
        <v>755</v>
      </c>
      <c r="BE493" s="586" t="s">
        <v>756</v>
      </c>
      <c r="BF493" s="615" t="s">
        <v>757</v>
      </c>
      <c r="BG493" s="615" t="s">
        <v>758</v>
      </c>
      <c r="BH493" s="615" t="s">
        <v>765</v>
      </c>
      <c r="BI493" s="615" t="s">
        <v>766</v>
      </c>
      <c r="BJ493" s="616" t="s">
        <v>767</v>
      </c>
      <c r="BK493" s="617" t="s">
        <v>768</v>
      </c>
      <c r="BL493" s="586" t="s">
        <v>759</v>
      </c>
      <c r="BM493" s="618" t="s">
        <v>769</v>
      </c>
      <c r="BN493" s="586" t="s">
        <v>760</v>
      </c>
      <c r="BO493" s="619" t="s">
        <v>770</v>
      </c>
      <c r="BP493" s="619" t="s">
        <v>771</v>
      </c>
      <c r="BQ493" s="620" t="s">
        <v>772</v>
      </c>
      <c r="BR493" s="620" t="s">
        <v>773</v>
      </c>
      <c r="BS493" s="586" t="s">
        <v>761</v>
      </c>
      <c r="BT493" s="586" t="s">
        <v>762</v>
      </c>
      <c r="BU493" s="586" t="s">
        <v>763</v>
      </c>
    </row>
    <row r="494" spans="16:73" s="560" customFormat="1">
      <c r="P494" s="561"/>
      <c r="Q494" s="562"/>
      <c r="R494" s="562">
        <v>0.31</v>
      </c>
      <c r="S494" s="562"/>
      <c r="T494" s="562"/>
      <c r="U494" s="562"/>
      <c r="V494" s="562"/>
      <c r="W494" s="562"/>
      <c r="X494" s="562"/>
      <c r="Y494" s="562"/>
      <c r="Z494" s="562"/>
      <c r="AA494" s="562"/>
      <c r="AB494" s="562"/>
      <c r="AC494" s="607" t="s">
        <v>794</v>
      </c>
      <c r="AD494" s="608" t="s">
        <v>795</v>
      </c>
      <c r="AE494" s="561"/>
      <c r="AF494" s="562"/>
      <c r="AG494" s="562"/>
      <c r="AH494" s="562"/>
      <c r="AI494" s="562"/>
      <c r="AJ494" s="562"/>
      <c r="AK494" s="562"/>
      <c r="AL494" s="562"/>
      <c r="AM494" s="562"/>
      <c r="AN494" s="562"/>
      <c r="AO494" s="562"/>
      <c r="AP494" s="562"/>
      <c r="AQ494" s="562"/>
      <c r="AR494" s="562"/>
      <c r="AS494" s="562"/>
      <c r="AT494" s="562"/>
      <c r="AU494" s="562"/>
      <c r="AV494" s="562"/>
      <c r="AW494" s="562"/>
      <c r="AX494" s="562"/>
      <c r="AY494" s="562"/>
      <c r="AZ494" s="562"/>
      <c r="BA494" s="562"/>
      <c r="BB494" s="563"/>
      <c r="BD494" s="560">
        <v>0.1</v>
      </c>
      <c r="BF494" s="576">
        <v>3.9</v>
      </c>
      <c r="BG494" s="576" t="s">
        <v>861</v>
      </c>
      <c r="BH494" s="576"/>
      <c r="BI494" s="576"/>
      <c r="BJ494" s="576"/>
      <c r="BK494" s="576"/>
      <c r="BL494" s="576"/>
      <c r="BM494" s="576"/>
      <c r="BN494" s="576"/>
      <c r="BO494" s="611"/>
      <c r="BP494" s="611"/>
      <c r="BQ494" s="612"/>
      <c r="BR494" s="612"/>
      <c r="BS494" s="576"/>
      <c r="BT494" s="576">
        <v>1715</v>
      </c>
      <c r="BU494" s="581"/>
    </row>
    <row r="495" spans="16:73" s="560" customFormat="1">
      <c r="P495" s="561"/>
      <c r="Q495" s="562"/>
      <c r="R495" s="562">
        <v>1</v>
      </c>
      <c r="S495" s="562"/>
      <c r="T495" s="562"/>
      <c r="U495" s="562"/>
      <c r="V495" s="562"/>
      <c r="W495" s="562"/>
      <c r="X495" s="562"/>
      <c r="Y495" s="562"/>
      <c r="Z495" s="562"/>
      <c r="AA495" s="562"/>
      <c r="AB495" s="562"/>
      <c r="AC495" s="607" t="s">
        <v>798</v>
      </c>
      <c r="AD495" s="608" t="s">
        <v>546</v>
      </c>
      <c r="AE495" s="561"/>
      <c r="AF495" s="562"/>
      <c r="AG495" s="562"/>
      <c r="AH495" s="562"/>
      <c r="AI495" s="562"/>
      <c r="AJ495" s="562"/>
      <c r="AK495" s="562"/>
      <c r="AL495" s="562"/>
      <c r="AM495" s="562"/>
      <c r="AN495" s="562"/>
      <c r="AO495" s="562"/>
      <c r="AP495" s="562"/>
      <c r="AQ495" s="562"/>
      <c r="AR495" s="562"/>
      <c r="AS495" s="562"/>
      <c r="AT495" s="562"/>
      <c r="AU495" s="562"/>
      <c r="AV495" s="562"/>
      <c r="AW495" s="562"/>
      <c r="AX495" s="562"/>
      <c r="AY495" s="562"/>
      <c r="AZ495" s="562"/>
      <c r="BA495" s="562"/>
      <c r="BB495" s="563"/>
      <c r="BD495" s="560">
        <v>0.5</v>
      </c>
      <c r="BF495" s="576">
        <v>0.5</v>
      </c>
      <c r="BG495" s="576" t="s">
        <v>988</v>
      </c>
      <c r="BH495" s="576"/>
      <c r="BI495" s="576"/>
      <c r="BJ495" s="576"/>
      <c r="BK495" s="576"/>
      <c r="BL495" s="576"/>
      <c r="BM495" s="576"/>
      <c r="BN495" s="576"/>
      <c r="BO495" s="611"/>
      <c r="BP495" s="611"/>
      <c r="BQ495" s="612"/>
      <c r="BR495" s="612"/>
      <c r="BS495" s="576"/>
      <c r="BT495" s="576">
        <v>1714</v>
      </c>
      <c r="BU495" s="581"/>
    </row>
    <row r="496" spans="16:73" s="560" customFormat="1">
      <c r="P496" s="561"/>
      <c r="Q496" s="562"/>
      <c r="R496" s="562">
        <v>0.45</v>
      </c>
      <c r="S496" s="562"/>
      <c r="T496" s="562"/>
      <c r="U496" s="562"/>
      <c r="V496" s="562"/>
      <c r="W496" s="562"/>
      <c r="X496" s="562"/>
      <c r="Y496" s="562"/>
      <c r="Z496" s="562"/>
      <c r="AA496" s="562"/>
      <c r="AB496" s="562"/>
      <c r="AC496" s="607" t="s">
        <v>800</v>
      </c>
      <c r="AD496" s="608" t="s">
        <v>801</v>
      </c>
      <c r="AE496" s="561"/>
      <c r="AF496" s="562"/>
      <c r="AG496" s="562"/>
      <c r="AH496" s="562"/>
      <c r="AI496" s="562"/>
      <c r="AJ496" s="562"/>
      <c r="AK496" s="562"/>
      <c r="AL496" s="562"/>
      <c r="AM496" s="562"/>
      <c r="AN496" s="562"/>
      <c r="AO496" s="562"/>
      <c r="AP496" s="562"/>
      <c r="AQ496" s="562"/>
      <c r="AR496" s="562"/>
      <c r="AS496" s="562"/>
      <c r="AT496" s="562"/>
      <c r="AU496" s="562"/>
      <c r="AV496" s="562"/>
      <c r="AW496" s="562"/>
      <c r="AX496" s="562"/>
      <c r="AY496" s="562"/>
      <c r="AZ496" s="562"/>
      <c r="BA496" s="562"/>
      <c r="BB496" s="563"/>
      <c r="BD496" s="560">
        <v>1</v>
      </c>
      <c r="BF496" s="576"/>
      <c r="BG496" s="576"/>
      <c r="BH496" s="576"/>
      <c r="BI496" s="576">
        <v>1</v>
      </c>
      <c r="BJ496" s="576"/>
      <c r="BK496" s="576"/>
      <c r="BL496" s="576">
        <v>2.2999999999999998</v>
      </c>
      <c r="BM496" s="576">
        <f t="shared" ref="BM496:BM512" si="81">BL496+BL496</f>
        <v>4.5999999999999996</v>
      </c>
      <c r="BN496" s="576" t="s">
        <v>779</v>
      </c>
      <c r="BO496" s="611">
        <v>3.85</v>
      </c>
      <c r="BP496" s="611">
        <f t="shared" ref="BP496:BP512" si="82">BM496-BO496</f>
        <v>0.74999999999999956</v>
      </c>
      <c r="BQ496" s="612">
        <v>1</v>
      </c>
      <c r="BR496" s="612"/>
      <c r="BS496" s="576" t="s">
        <v>778</v>
      </c>
      <c r="BT496" s="576"/>
      <c r="BU496" s="581" t="s">
        <v>1127</v>
      </c>
    </row>
    <row r="497" spans="17:75" s="560" customFormat="1">
      <c r="Q497" s="562"/>
      <c r="R497" s="562">
        <v>0.25</v>
      </c>
      <c r="S497" s="562"/>
      <c r="T497" s="562"/>
      <c r="U497" s="562"/>
      <c r="V497" s="562"/>
      <c r="W497" s="562"/>
      <c r="X497" s="562"/>
      <c r="Y497" s="562"/>
      <c r="Z497" s="562"/>
      <c r="AA497" s="562"/>
      <c r="AB497" s="562"/>
      <c r="AC497" s="607" t="s">
        <v>804</v>
      </c>
      <c r="AD497" s="608" t="s">
        <v>805</v>
      </c>
      <c r="AE497" s="561"/>
      <c r="AF497" s="562"/>
      <c r="AG497" s="562"/>
      <c r="AH497" s="562"/>
      <c r="AI497" s="562"/>
      <c r="AJ497" s="562"/>
      <c r="AK497" s="562"/>
      <c r="AL497" s="562"/>
      <c r="AM497" s="562"/>
      <c r="AN497" s="562"/>
      <c r="AO497" s="562"/>
      <c r="AP497" s="562"/>
      <c r="AQ497" s="562"/>
      <c r="AR497" s="562"/>
      <c r="AS497" s="562"/>
      <c r="AT497" s="562"/>
      <c r="AU497" s="562"/>
      <c r="AV497" s="562"/>
      <c r="AW497" s="562"/>
      <c r="AX497" s="562"/>
      <c r="AY497" s="562"/>
      <c r="AZ497" s="562"/>
      <c r="BA497" s="562"/>
      <c r="BB497" s="563"/>
      <c r="BD497" s="560">
        <v>2</v>
      </c>
      <c r="BF497" s="576"/>
      <c r="BG497" s="576"/>
      <c r="BH497" s="576"/>
      <c r="BI497" s="576">
        <v>1</v>
      </c>
      <c r="BJ497" s="576"/>
      <c r="BK497" s="576"/>
      <c r="BL497" s="576">
        <v>2.4</v>
      </c>
      <c r="BM497" s="576">
        <f t="shared" si="81"/>
        <v>4.8</v>
      </c>
      <c r="BN497" s="576" t="s">
        <v>796</v>
      </c>
      <c r="BO497" s="611">
        <v>4.8</v>
      </c>
      <c r="BP497" s="611">
        <f t="shared" si="82"/>
        <v>0</v>
      </c>
      <c r="BQ497" s="612"/>
      <c r="BR497" s="612">
        <v>1</v>
      </c>
      <c r="BS497" s="576" t="s">
        <v>127</v>
      </c>
      <c r="BT497" s="576"/>
      <c r="BU497" s="581" t="s">
        <v>1128</v>
      </c>
    </row>
    <row r="498" spans="17:75" s="560" customFormat="1">
      <c r="Q498" s="562"/>
      <c r="R498" s="562">
        <v>0.33</v>
      </c>
      <c r="S498" s="562"/>
      <c r="T498" s="562"/>
      <c r="U498" s="562"/>
      <c r="V498" s="562"/>
      <c r="W498" s="562"/>
      <c r="X498" s="562"/>
      <c r="Y498" s="562"/>
      <c r="Z498" s="562"/>
      <c r="AA498" s="562"/>
      <c r="AB498" s="562"/>
      <c r="AC498" s="607" t="s">
        <v>807</v>
      </c>
      <c r="AD498" s="608" t="s">
        <v>808</v>
      </c>
      <c r="AE498" s="561"/>
      <c r="AF498" s="562"/>
      <c r="AG498" s="562"/>
      <c r="AH498" s="562"/>
      <c r="AI498" s="562"/>
      <c r="AJ498" s="562"/>
      <c r="AK498" s="562"/>
      <c r="AL498" s="562"/>
      <c r="AM498" s="562"/>
      <c r="AN498" s="562"/>
      <c r="AO498" s="562"/>
      <c r="AP498" s="562"/>
      <c r="AQ498" s="562"/>
      <c r="AR498" s="562"/>
      <c r="AS498" s="562"/>
      <c r="AT498" s="562"/>
      <c r="AU498" s="562"/>
      <c r="AV498" s="562"/>
      <c r="AW498" s="562"/>
      <c r="AX498" s="562"/>
      <c r="AY498" s="562"/>
      <c r="AZ498" s="562"/>
      <c r="BA498" s="562"/>
      <c r="BB498" s="563"/>
      <c r="BD498" s="560">
        <v>3</v>
      </c>
      <c r="BF498" s="576">
        <v>0.6</v>
      </c>
      <c r="BG498" s="576" t="s">
        <v>778</v>
      </c>
      <c r="BH498" s="576">
        <v>1</v>
      </c>
      <c r="BI498" s="576"/>
      <c r="BJ498" s="576"/>
      <c r="BK498" s="576"/>
      <c r="BL498" s="576">
        <v>2</v>
      </c>
      <c r="BM498" s="576">
        <f t="shared" si="81"/>
        <v>4</v>
      </c>
      <c r="BN498" s="576" t="s">
        <v>796</v>
      </c>
      <c r="BO498" s="611">
        <v>4.7969696969696969</v>
      </c>
      <c r="BP498" s="611">
        <f t="shared" si="82"/>
        <v>-0.79696969696969688</v>
      </c>
      <c r="BQ498" s="612"/>
      <c r="BR498" s="612">
        <v>1</v>
      </c>
      <c r="BS498" s="576" t="s">
        <v>778</v>
      </c>
      <c r="BT498" s="576" t="s">
        <v>1129</v>
      </c>
      <c r="BU498" s="581"/>
    </row>
    <row r="499" spans="17:75" s="560" customFormat="1">
      <c r="Q499" s="562"/>
      <c r="R499" s="562">
        <v>0.8</v>
      </c>
      <c r="S499" s="562"/>
      <c r="T499" s="562"/>
      <c r="U499" s="562"/>
      <c r="V499" s="562"/>
      <c r="W499" s="562"/>
      <c r="X499" s="562"/>
      <c r="Y499" s="562"/>
      <c r="Z499" s="562"/>
      <c r="AA499" s="562"/>
      <c r="AB499" s="562"/>
      <c r="AC499" s="607" t="s">
        <v>810</v>
      </c>
      <c r="AD499" s="608" t="s">
        <v>550</v>
      </c>
      <c r="AE499" s="561"/>
      <c r="AF499" s="562"/>
      <c r="AG499" s="562"/>
      <c r="AH499" s="562"/>
      <c r="AI499" s="562"/>
      <c r="AJ499" s="562"/>
      <c r="AK499" s="562"/>
      <c r="AL499" s="562"/>
      <c r="AM499" s="562"/>
      <c r="AN499" s="562"/>
      <c r="AO499" s="562"/>
      <c r="AP499" s="562"/>
      <c r="AQ499" s="562"/>
      <c r="AR499" s="562"/>
      <c r="AS499" s="562"/>
      <c r="AT499" s="562"/>
      <c r="AU499" s="562"/>
      <c r="AV499" s="562"/>
      <c r="AW499" s="562"/>
      <c r="AX499" s="562"/>
      <c r="AY499" s="562"/>
      <c r="AZ499" s="562"/>
      <c r="BA499" s="562"/>
      <c r="BB499" s="563"/>
      <c r="BD499" s="560">
        <v>4</v>
      </c>
      <c r="BF499" s="576">
        <v>0.3</v>
      </c>
      <c r="BG499" s="576" t="s">
        <v>778</v>
      </c>
      <c r="BH499" s="576">
        <v>1</v>
      </c>
      <c r="BI499" s="576"/>
      <c r="BJ499" s="576"/>
      <c r="BK499" s="576"/>
      <c r="BL499" s="576">
        <v>1.8</v>
      </c>
      <c r="BM499" s="576">
        <f t="shared" si="81"/>
        <v>3.6</v>
      </c>
      <c r="BN499" s="576" t="s">
        <v>796</v>
      </c>
      <c r="BO499" s="611">
        <v>4.7939393939393939</v>
      </c>
      <c r="BP499" s="611">
        <f t="shared" si="82"/>
        <v>-1.1939393939393939</v>
      </c>
      <c r="BQ499" s="612"/>
      <c r="BR499" s="612">
        <v>1</v>
      </c>
      <c r="BS499" s="576" t="s">
        <v>778</v>
      </c>
      <c r="BT499" s="576">
        <v>1711</v>
      </c>
      <c r="BU499" s="581"/>
    </row>
    <row r="500" spans="17:75" s="560" customFormat="1">
      <c r="Q500" s="562"/>
      <c r="R500" s="562">
        <v>0.36</v>
      </c>
      <c r="S500" s="562"/>
      <c r="T500" s="562"/>
      <c r="U500" s="562"/>
      <c r="V500" s="562"/>
      <c r="W500" s="562"/>
      <c r="X500" s="562"/>
      <c r="Y500" s="562"/>
      <c r="Z500" s="562"/>
      <c r="AA500" s="562"/>
      <c r="AB500" s="562"/>
      <c r="AC500" s="607" t="s">
        <v>813</v>
      </c>
      <c r="AD500" s="608" t="s">
        <v>552</v>
      </c>
      <c r="AE500" s="561"/>
      <c r="AF500" s="562"/>
      <c r="AG500" s="562"/>
      <c r="AH500" s="562"/>
      <c r="AI500" s="562"/>
      <c r="AJ500" s="562"/>
      <c r="AK500" s="562"/>
      <c r="AL500" s="562"/>
      <c r="AM500" s="562"/>
      <c r="AN500" s="562"/>
      <c r="AO500" s="562"/>
      <c r="AP500" s="562"/>
      <c r="AQ500" s="562"/>
      <c r="AR500" s="562"/>
      <c r="AS500" s="562"/>
      <c r="AT500" s="562"/>
      <c r="AU500" s="562"/>
      <c r="AV500" s="562"/>
      <c r="AW500" s="562"/>
      <c r="AX500" s="562"/>
      <c r="AY500" s="562"/>
      <c r="AZ500" s="562"/>
      <c r="BA500" s="562"/>
      <c r="BB500" s="563"/>
      <c r="BD500" s="560">
        <v>5</v>
      </c>
      <c r="BF500" s="576"/>
      <c r="BG500" s="576"/>
      <c r="BH500" s="576"/>
      <c r="BI500" s="576">
        <v>1</v>
      </c>
      <c r="BJ500" s="576"/>
      <c r="BK500" s="576"/>
      <c r="BL500" s="576">
        <v>2.8</v>
      </c>
      <c r="BM500" s="576">
        <f t="shared" si="81"/>
        <v>5.6</v>
      </c>
      <c r="BN500" s="576" t="s">
        <v>796</v>
      </c>
      <c r="BO500" s="611">
        <v>4.790909090909091</v>
      </c>
      <c r="BP500" s="611">
        <f t="shared" si="82"/>
        <v>0.80909090909090864</v>
      </c>
      <c r="BQ500" s="612"/>
      <c r="BR500" s="612">
        <v>1</v>
      </c>
      <c r="BS500" s="576" t="s">
        <v>778</v>
      </c>
      <c r="BT500" s="576"/>
      <c r="BU500" s="581"/>
    </row>
    <row r="501" spans="17:75" s="560" customFormat="1">
      <c r="Q501" s="562"/>
      <c r="R501" s="562">
        <v>0.42</v>
      </c>
      <c r="S501" s="562"/>
      <c r="T501" s="562"/>
      <c r="U501" s="562"/>
      <c r="V501" s="562"/>
      <c r="W501" s="562"/>
      <c r="X501" s="562"/>
      <c r="Y501" s="562"/>
      <c r="Z501" s="562"/>
      <c r="AA501" s="562"/>
      <c r="AB501" s="562"/>
      <c r="AC501" s="607" t="s">
        <v>815</v>
      </c>
      <c r="AD501" s="608" t="s">
        <v>816</v>
      </c>
      <c r="AE501" s="561"/>
      <c r="AF501" s="562"/>
      <c r="AG501" s="562"/>
      <c r="AH501" s="562"/>
      <c r="AI501" s="562"/>
      <c r="AJ501" s="562"/>
      <c r="AK501" s="562"/>
      <c r="AL501" s="562"/>
      <c r="AM501" s="562"/>
      <c r="AN501" s="562"/>
      <c r="AO501" s="562"/>
      <c r="AP501" s="562"/>
      <c r="AQ501" s="562"/>
      <c r="AR501" s="562"/>
      <c r="AS501" s="562"/>
      <c r="AT501" s="562"/>
      <c r="AU501" s="562"/>
      <c r="AV501" s="562"/>
      <c r="AW501" s="562"/>
      <c r="AX501" s="562"/>
      <c r="AY501" s="562"/>
      <c r="AZ501" s="562"/>
      <c r="BA501" s="562"/>
      <c r="BB501" s="563"/>
      <c r="BD501" s="560">
        <v>6</v>
      </c>
      <c r="BF501" s="576"/>
      <c r="BG501" s="576"/>
      <c r="BH501" s="576"/>
      <c r="BI501" s="576">
        <v>1</v>
      </c>
      <c r="BJ501" s="576"/>
      <c r="BK501" s="576"/>
      <c r="BL501" s="576">
        <v>2.6</v>
      </c>
      <c r="BM501" s="576">
        <f t="shared" si="81"/>
        <v>5.2</v>
      </c>
      <c r="BN501" s="576" t="s">
        <v>796</v>
      </c>
      <c r="BO501" s="611">
        <v>4.7878787878787881</v>
      </c>
      <c r="BP501" s="611">
        <f t="shared" si="82"/>
        <v>0.41212121212121211</v>
      </c>
      <c r="BQ501" s="612"/>
      <c r="BR501" s="612">
        <v>1</v>
      </c>
      <c r="BS501" s="576" t="s">
        <v>778</v>
      </c>
      <c r="BT501" s="576"/>
      <c r="BU501" s="581"/>
    </row>
    <row r="502" spans="17:75" s="560" customFormat="1">
      <c r="Q502" s="562"/>
      <c r="R502" s="562">
        <v>0.5</v>
      </c>
      <c r="S502" s="562"/>
      <c r="T502" s="562"/>
      <c r="U502" s="562"/>
      <c r="V502" s="562"/>
      <c r="W502" s="562"/>
      <c r="X502" s="562"/>
      <c r="Y502" s="562"/>
      <c r="Z502" s="562"/>
      <c r="AA502" s="562"/>
      <c r="AB502" s="562"/>
      <c r="AC502" s="562"/>
      <c r="AD502" s="563"/>
      <c r="AE502" s="561"/>
      <c r="AF502" s="562"/>
      <c r="AG502" s="562"/>
      <c r="AH502" s="562"/>
      <c r="AI502" s="562"/>
      <c r="AJ502" s="562"/>
      <c r="AK502" s="562"/>
      <c r="AL502" s="562"/>
      <c r="AM502" s="562"/>
      <c r="AN502" s="562"/>
      <c r="AO502" s="562"/>
      <c r="AP502" s="562"/>
      <c r="AQ502" s="562"/>
      <c r="AR502" s="562"/>
      <c r="AS502" s="562"/>
      <c r="AT502" s="562"/>
      <c r="AU502" s="562"/>
      <c r="AV502" s="562"/>
      <c r="AW502" s="562"/>
      <c r="AX502" s="562"/>
      <c r="AY502" s="562"/>
      <c r="AZ502" s="562"/>
      <c r="BA502" s="562"/>
      <c r="BB502" s="563"/>
      <c r="BD502" s="560">
        <v>7</v>
      </c>
      <c r="BF502" s="576">
        <v>0.2</v>
      </c>
      <c r="BG502" s="576" t="s">
        <v>777</v>
      </c>
      <c r="BH502" s="576">
        <v>1</v>
      </c>
      <c r="BI502" s="576"/>
      <c r="BJ502" s="576"/>
      <c r="BK502" s="576"/>
      <c r="BL502" s="576">
        <v>1.7</v>
      </c>
      <c r="BM502" s="576">
        <f t="shared" si="81"/>
        <v>3.4</v>
      </c>
      <c r="BN502" s="576" t="s">
        <v>796</v>
      </c>
      <c r="BO502" s="611">
        <v>4.7848484848484842</v>
      </c>
      <c r="BP502" s="700">
        <f t="shared" si="82"/>
        <v>-1.3848484848484843</v>
      </c>
      <c r="BQ502" s="612"/>
      <c r="BR502" s="612">
        <v>1</v>
      </c>
      <c r="BS502" s="576" t="s">
        <v>778</v>
      </c>
      <c r="BT502" s="576">
        <v>1708</v>
      </c>
      <c r="BU502" s="581"/>
    </row>
    <row r="503" spans="17:75" s="560" customFormat="1">
      <c r="Q503" s="562"/>
      <c r="R503" s="562">
        <v>0.23</v>
      </c>
      <c r="S503" s="562"/>
      <c r="T503" s="562"/>
      <c r="U503" s="562"/>
      <c r="V503" s="562"/>
      <c r="W503" s="562"/>
      <c r="X503" s="562"/>
      <c r="Y503" s="562"/>
      <c r="Z503" s="562"/>
      <c r="AA503" s="562"/>
      <c r="AB503" s="562"/>
      <c r="AC503" s="562"/>
      <c r="AD503" s="563"/>
      <c r="AE503" s="561"/>
      <c r="AF503" s="562"/>
      <c r="AG503" s="562"/>
      <c r="AH503" s="562"/>
      <c r="AI503" s="562"/>
      <c r="AJ503" s="562"/>
      <c r="AK503" s="562"/>
      <c r="AL503" s="562"/>
      <c r="AM503" s="562"/>
      <c r="AN503" s="562"/>
      <c r="AO503" s="562"/>
      <c r="AP503" s="562"/>
      <c r="AQ503" s="562"/>
      <c r="AR503" s="562"/>
      <c r="AS503" s="562"/>
      <c r="AT503" s="562"/>
      <c r="AU503" s="562"/>
      <c r="AV503" s="562"/>
      <c r="AW503" s="562"/>
      <c r="AX503" s="562"/>
      <c r="AY503" s="562"/>
      <c r="AZ503" s="562"/>
      <c r="BA503" s="562"/>
      <c r="BB503" s="563"/>
      <c r="BD503" s="560">
        <v>8</v>
      </c>
      <c r="BF503" s="576">
        <v>0.2</v>
      </c>
      <c r="BG503" s="576" t="s">
        <v>777</v>
      </c>
      <c r="BH503" s="576">
        <v>1</v>
      </c>
      <c r="BI503" s="576"/>
      <c r="BJ503" s="576"/>
      <c r="BK503" s="576"/>
      <c r="BL503" s="576">
        <v>2.5</v>
      </c>
      <c r="BM503" s="576">
        <f t="shared" si="81"/>
        <v>5</v>
      </c>
      <c r="BN503" s="576" t="s">
        <v>796</v>
      </c>
      <c r="BO503" s="611">
        <v>4.7818181818181813</v>
      </c>
      <c r="BP503" s="611">
        <f t="shared" si="82"/>
        <v>0.2181818181818187</v>
      </c>
      <c r="BQ503" s="612"/>
      <c r="BR503" s="612">
        <v>1</v>
      </c>
      <c r="BS503" s="576" t="s">
        <v>778</v>
      </c>
      <c r="BT503" s="576">
        <v>1707</v>
      </c>
      <c r="BU503" s="581"/>
    </row>
    <row r="504" spans="17:75" s="560" customFormat="1">
      <c r="Q504" s="562"/>
      <c r="R504" s="562">
        <v>1.1000000000000001</v>
      </c>
      <c r="S504" s="562"/>
      <c r="T504" s="562"/>
      <c r="U504" s="562"/>
      <c r="V504" s="562"/>
      <c r="W504" s="562"/>
      <c r="X504" s="562"/>
      <c r="Y504" s="562"/>
      <c r="Z504" s="562"/>
      <c r="AA504" s="562"/>
      <c r="AB504" s="562"/>
      <c r="AC504" s="562"/>
      <c r="AD504" s="563"/>
      <c r="AE504" s="561"/>
      <c r="AF504" s="562"/>
      <c r="AG504" s="562"/>
      <c r="AH504" s="562"/>
      <c r="AI504" s="562"/>
      <c r="AJ504" s="562"/>
      <c r="AK504" s="562"/>
      <c r="AL504" s="562"/>
      <c r="AM504" s="562"/>
      <c r="AN504" s="562"/>
      <c r="AO504" s="562"/>
      <c r="AP504" s="562"/>
      <c r="AQ504" s="562"/>
      <c r="AR504" s="562"/>
      <c r="AS504" s="562"/>
      <c r="AT504" s="562"/>
      <c r="AU504" s="562"/>
      <c r="AV504" s="562"/>
      <c r="AW504" s="562"/>
      <c r="AX504" s="562"/>
      <c r="AY504" s="562"/>
      <c r="AZ504" s="562"/>
      <c r="BA504" s="562"/>
      <c r="BB504" s="563"/>
      <c r="BD504" s="560">
        <v>9</v>
      </c>
      <c r="BF504" s="576"/>
      <c r="BG504" s="576"/>
      <c r="BH504" s="576"/>
      <c r="BI504" s="576">
        <v>1</v>
      </c>
      <c r="BJ504" s="576"/>
      <c r="BK504" s="576"/>
      <c r="BL504" s="576">
        <v>2.25</v>
      </c>
      <c r="BM504" s="576">
        <f t="shared" si="81"/>
        <v>4.5</v>
      </c>
      <c r="BN504" s="576" t="s">
        <v>796</v>
      </c>
      <c r="BO504" s="611">
        <v>4.7787878787878784</v>
      </c>
      <c r="BP504" s="611">
        <f t="shared" si="82"/>
        <v>-0.27878787878787836</v>
      </c>
      <c r="BQ504" s="612"/>
      <c r="BR504" s="612">
        <v>1</v>
      </c>
      <c r="BS504" s="576" t="s">
        <v>778</v>
      </c>
      <c r="BT504" s="576"/>
      <c r="BU504" s="581"/>
    </row>
    <row r="505" spans="17:75" s="560" customFormat="1">
      <c r="Q505" s="562"/>
      <c r="R505" s="562">
        <v>0.35</v>
      </c>
      <c r="S505" s="562"/>
      <c r="T505" s="562"/>
      <c r="U505" s="562"/>
      <c r="V505" s="562"/>
      <c r="W505" s="562"/>
      <c r="X505" s="562"/>
      <c r="Y505" s="562"/>
      <c r="Z505" s="562"/>
      <c r="AA505" s="562"/>
      <c r="AB505" s="562"/>
      <c r="AC505" s="562"/>
      <c r="AD505" s="563"/>
      <c r="AE505" s="561"/>
      <c r="AF505" s="562"/>
      <c r="AG505" s="562"/>
      <c r="AH505" s="562"/>
      <c r="AI505" s="562"/>
      <c r="AJ505" s="562"/>
      <c r="AK505" s="562"/>
      <c r="AL505" s="562"/>
      <c r="AM505" s="562"/>
      <c r="AN505" s="562"/>
      <c r="AO505" s="562"/>
      <c r="AP505" s="562"/>
      <c r="AQ505" s="562"/>
      <c r="AR505" s="562"/>
      <c r="AS505" s="562"/>
      <c r="AT505" s="562"/>
      <c r="AU505" s="562"/>
      <c r="AV505" s="562"/>
      <c r="AW505" s="562"/>
      <c r="AX505" s="562"/>
      <c r="AY505" s="562"/>
      <c r="AZ505" s="562"/>
      <c r="BA505" s="562"/>
      <c r="BB505" s="563"/>
      <c r="BD505" s="560">
        <v>10</v>
      </c>
      <c r="BF505" s="576"/>
      <c r="BG505" s="576"/>
      <c r="BH505" s="576"/>
      <c r="BI505" s="576">
        <v>1</v>
      </c>
      <c r="BJ505" s="576"/>
      <c r="BK505" s="576"/>
      <c r="BL505" s="576">
        <v>2.65</v>
      </c>
      <c r="BM505" s="576">
        <f t="shared" si="81"/>
        <v>5.3</v>
      </c>
      <c r="BN505" s="576" t="s">
        <v>796</v>
      </c>
      <c r="BO505" s="611">
        <v>4.7757575757575754</v>
      </c>
      <c r="BP505" s="611">
        <f t="shared" si="82"/>
        <v>0.5242424242424244</v>
      </c>
      <c r="BQ505" s="612"/>
      <c r="BR505" s="612">
        <v>1</v>
      </c>
      <c r="BS505" s="576" t="s">
        <v>778</v>
      </c>
      <c r="BT505" s="576"/>
      <c r="BU505" s="581"/>
      <c r="BV505" s="627" t="s">
        <v>806</v>
      </c>
      <c r="BW505" s="627">
        <f>COUNT(BP496:BP530)</f>
        <v>34</v>
      </c>
    </row>
    <row r="506" spans="17:75" s="560" customFormat="1">
      <c r="Q506" s="562"/>
      <c r="R506" s="562">
        <v>0.34</v>
      </c>
      <c r="S506" s="562"/>
      <c r="T506" s="562"/>
      <c r="U506" s="562"/>
      <c r="V506" s="562"/>
      <c r="W506" s="562"/>
      <c r="X506" s="562"/>
      <c r="Y506" s="562"/>
      <c r="Z506" s="562"/>
      <c r="AA506" s="562"/>
      <c r="AB506" s="562"/>
      <c r="AC506" s="562"/>
      <c r="AD506" s="563"/>
      <c r="AE506" s="561"/>
      <c r="AF506" s="562"/>
      <c r="AG506" s="562"/>
      <c r="AH506" s="562"/>
      <c r="AI506" s="562"/>
      <c r="AJ506" s="562"/>
      <c r="AK506" s="562"/>
      <c r="AL506" s="562"/>
      <c r="AM506" s="562"/>
      <c r="AN506" s="562"/>
      <c r="AO506" s="562"/>
      <c r="AP506" s="562"/>
      <c r="AQ506" s="562"/>
      <c r="AR506" s="562"/>
      <c r="AS506" s="562"/>
      <c r="AT506" s="562"/>
      <c r="AU506" s="562"/>
      <c r="AV506" s="562"/>
      <c r="AW506" s="562"/>
      <c r="AX506" s="562"/>
      <c r="AY506" s="562"/>
      <c r="AZ506" s="562"/>
      <c r="BA506" s="562"/>
      <c r="BB506" s="563"/>
      <c r="BD506" s="560">
        <v>11</v>
      </c>
      <c r="BF506" s="576">
        <v>0.1</v>
      </c>
      <c r="BG506" s="576" t="s">
        <v>777</v>
      </c>
      <c r="BH506" s="576">
        <v>1</v>
      </c>
      <c r="BI506" s="576"/>
      <c r="BJ506" s="576"/>
      <c r="BK506" s="576"/>
      <c r="BL506" s="576">
        <v>2.4</v>
      </c>
      <c r="BM506" s="576">
        <f t="shared" si="81"/>
        <v>4.8</v>
      </c>
      <c r="BN506" s="576" t="s">
        <v>796</v>
      </c>
      <c r="BO506" s="611">
        <v>4.7727272727272725</v>
      </c>
      <c r="BP506" s="611">
        <f t="shared" si="82"/>
        <v>2.7272727272727337E-2</v>
      </c>
      <c r="BQ506" s="612"/>
      <c r="BR506" s="612">
        <v>1</v>
      </c>
      <c r="BS506" s="576" t="s">
        <v>778</v>
      </c>
      <c r="BT506" s="576">
        <v>1706</v>
      </c>
      <c r="BU506" s="581"/>
      <c r="BV506" s="627" t="s">
        <v>812</v>
      </c>
      <c r="BW506" s="605">
        <f>SUM(BP496:BP501,BP503:BP530)</f>
        <v>14.431212121212123</v>
      </c>
    </row>
    <row r="507" spans="17:75" s="560" customFormat="1">
      <c r="Q507" s="562"/>
      <c r="R507" s="562">
        <v>0.46</v>
      </c>
      <c r="S507" s="562"/>
      <c r="T507" s="562"/>
      <c r="U507" s="562"/>
      <c r="V507" s="562"/>
      <c r="W507" s="562"/>
      <c r="X507" s="562"/>
      <c r="Y507" s="562"/>
      <c r="Z507" s="562"/>
      <c r="AA507" s="562"/>
      <c r="AB507" s="562"/>
      <c r="AC507" s="562"/>
      <c r="AD507" s="563"/>
      <c r="AE507" s="561"/>
      <c r="AF507" s="562"/>
      <c r="AG507" s="562"/>
      <c r="AH507" s="562"/>
      <c r="AI507" s="562"/>
      <c r="AJ507" s="562"/>
      <c r="AK507" s="562"/>
      <c r="AL507" s="562"/>
      <c r="AM507" s="562"/>
      <c r="AN507" s="562"/>
      <c r="AO507" s="562"/>
      <c r="AP507" s="562"/>
      <c r="AQ507" s="562"/>
      <c r="AR507" s="562"/>
      <c r="AS507" s="562"/>
      <c r="AT507" s="562"/>
      <c r="AU507" s="562"/>
      <c r="AV507" s="562"/>
      <c r="AW507" s="562"/>
      <c r="AX507" s="562"/>
      <c r="AY507" s="562"/>
      <c r="AZ507" s="562"/>
      <c r="BA507" s="562"/>
      <c r="BB507" s="563"/>
      <c r="BD507" s="560">
        <v>12</v>
      </c>
      <c r="BF507" s="576">
        <v>0.2</v>
      </c>
      <c r="BG507" s="576" t="s">
        <v>778</v>
      </c>
      <c r="BH507" s="576">
        <v>1</v>
      </c>
      <c r="BI507" s="576"/>
      <c r="BJ507" s="576"/>
      <c r="BK507" s="576"/>
      <c r="BL507" s="576">
        <v>2.6</v>
      </c>
      <c r="BM507" s="576">
        <f t="shared" si="81"/>
        <v>5.2</v>
      </c>
      <c r="BN507" s="576" t="s">
        <v>796</v>
      </c>
      <c r="BO507" s="611">
        <v>4.7696969696969695</v>
      </c>
      <c r="BP507" s="611">
        <f t="shared" si="82"/>
        <v>0.43030303030303063</v>
      </c>
      <c r="BQ507" s="612"/>
      <c r="BR507" s="612">
        <v>1</v>
      </c>
      <c r="BS507" s="576" t="s">
        <v>778</v>
      </c>
      <c r="BT507" s="576">
        <v>1705</v>
      </c>
      <c r="BU507" s="581"/>
      <c r="BV507" s="627" t="s">
        <v>811</v>
      </c>
      <c r="BW507" s="628">
        <f>MAX(BP496:BP530)</f>
        <v>3.2</v>
      </c>
    </row>
    <row r="508" spans="17:75" s="560" customFormat="1">
      <c r="Q508" s="562"/>
      <c r="R508" s="562">
        <v>0.8</v>
      </c>
      <c r="S508" s="562"/>
      <c r="T508" s="562"/>
      <c r="U508" s="562"/>
      <c r="V508" s="562"/>
      <c r="W508" s="562"/>
      <c r="X508" s="562"/>
      <c r="Y508" s="562"/>
      <c r="Z508" s="562"/>
      <c r="AA508" s="562"/>
      <c r="AB508" s="562"/>
      <c r="AC508" s="562"/>
      <c r="AD508" s="563"/>
      <c r="AE508" s="561"/>
      <c r="AF508" s="562"/>
      <c r="AG508" s="562"/>
      <c r="AH508" s="562"/>
      <c r="AI508" s="562"/>
      <c r="AJ508" s="562"/>
      <c r="AK508" s="562"/>
      <c r="AL508" s="562"/>
      <c r="AM508" s="562"/>
      <c r="AN508" s="562"/>
      <c r="AO508" s="562"/>
      <c r="AP508" s="562"/>
      <c r="AQ508" s="562"/>
      <c r="AR508" s="562"/>
      <c r="AS508" s="562"/>
      <c r="AT508" s="562"/>
      <c r="AU508" s="562"/>
      <c r="AV508" s="562"/>
      <c r="AW508" s="562"/>
      <c r="AX508" s="562"/>
      <c r="AY508" s="562"/>
      <c r="AZ508" s="562"/>
      <c r="BA508" s="562"/>
      <c r="BB508" s="563"/>
      <c r="BD508" s="560">
        <v>13</v>
      </c>
      <c r="BF508" s="576"/>
      <c r="BG508" s="576"/>
      <c r="BH508" s="576"/>
      <c r="BI508" s="576">
        <v>1</v>
      </c>
      <c r="BJ508" s="576"/>
      <c r="BK508" s="576"/>
      <c r="BL508" s="576">
        <v>2.5</v>
      </c>
      <c r="BM508" s="576">
        <f t="shared" si="81"/>
        <v>5</v>
      </c>
      <c r="BN508" s="576" t="s">
        <v>779</v>
      </c>
      <c r="BO508" s="611">
        <v>3.84</v>
      </c>
      <c r="BP508" s="611">
        <f t="shared" si="82"/>
        <v>1.1600000000000001</v>
      </c>
      <c r="BQ508" s="612">
        <v>1</v>
      </c>
      <c r="BR508" s="612"/>
      <c r="BS508" s="576" t="s">
        <v>778</v>
      </c>
      <c r="BT508" s="576"/>
      <c r="BU508" s="581"/>
      <c r="BV508" s="627" t="s">
        <v>814</v>
      </c>
      <c r="BW508" s="628">
        <f>MIN(BP496:BP501,BP503:BP530)</f>
        <v>-1.1939393939393939</v>
      </c>
    </row>
    <row r="509" spans="17:75" s="560" customFormat="1">
      <c r="Q509" s="562" t="s">
        <v>821</v>
      </c>
      <c r="R509" s="562"/>
      <c r="S509" s="562"/>
      <c r="T509" s="562"/>
      <c r="U509" s="562"/>
      <c r="V509" s="562"/>
      <c r="W509" s="562"/>
      <c r="X509" s="562"/>
      <c r="Y509" s="562"/>
      <c r="Z509" s="562"/>
      <c r="AA509" s="562"/>
      <c r="AB509" s="562"/>
      <c r="AC509" s="562"/>
      <c r="AD509" s="563"/>
      <c r="AE509" s="561"/>
      <c r="AF509" s="562"/>
      <c r="AG509" s="562"/>
      <c r="AH509" s="562"/>
      <c r="AI509" s="562"/>
      <c r="AJ509" s="562"/>
      <c r="AK509" s="562"/>
      <c r="AL509" s="562"/>
      <c r="AM509" s="562"/>
      <c r="AN509" s="562"/>
      <c r="AO509" s="562"/>
      <c r="AP509" s="562"/>
      <c r="AQ509" s="562"/>
      <c r="AR509" s="562"/>
      <c r="AS509" s="562"/>
      <c r="AT509" s="562"/>
      <c r="AU509" s="562"/>
      <c r="AV509" s="562"/>
      <c r="AW509" s="562"/>
      <c r="AX509" s="562"/>
      <c r="AY509" s="562"/>
      <c r="AZ509" s="562"/>
      <c r="BA509" s="562"/>
      <c r="BB509" s="563"/>
      <c r="BD509" s="560">
        <v>14</v>
      </c>
      <c r="BF509" s="576">
        <v>0.25</v>
      </c>
      <c r="BG509" s="576" t="s">
        <v>793</v>
      </c>
      <c r="BH509" s="576"/>
      <c r="BI509" s="576">
        <v>1</v>
      </c>
      <c r="BJ509" s="576"/>
      <c r="BK509" s="576">
        <v>1</v>
      </c>
      <c r="BL509" s="576">
        <v>2.7</v>
      </c>
      <c r="BM509" s="576">
        <f t="shared" si="81"/>
        <v>5.4</v>
      </c>
      <c r="BN509" s="576" t="s">
        <v>796</v>
      </c>
      <c r="BO509" s="611">
        <v>4.7636363636363637</v>
      </c>
      <c r="BP509" s="611">
        <f t="shared" si="82"/>
        <v>0.63636363636363669</v>
      </c>
      <c r="BQ509" s="612"/>
      <c r="BR509" s="612">
        <v>1</v>
      </c>
      <c r="BS509" s="576" t="s">
        <v>778</v>
      </c>
      <c r="BT509" s="576">
        <v>1704</v>
      </c>
      <c r="BU509" s="581"/>
      <c r="BV509" s="627" t="s">
        <v>817</v>
      </c>
      <c r="BW509" s="628">
        <f>AVERAGE(BP496:BP501,BP503:BP530)</f>
        <v>0.43730945821854922</v>
      </c>
    </row>
    <row r="510" spans="17:75" s="560" customFormat="1">
      <c r="Q510" s="562"/>
      <c r="R510" s="562">
        <v>0.75</v>
      </c>
      <c r="S510" s="562"/>
      <c r="T510" s="562"/>
      <c r="U510" s="562"/>
      <c r="V510" s="562"/>
      <c r="W510" s="562"/>
      <c r="X510" s="562"/>
      <c r="Y510" s="562"/>
      <c r="Z510" s="562"/>
      <c r="AA510" s="562"/>
      <c r="AB510" s="562"/>
      <c r="AC510" s="562"/>
      <c r="AD510" s="563"/>
      <c r="AE510" s="561"/>
      <c r="AF510" s="562"/>
      <c r="AG510" s="562"/>
      <c r="AH510" s="562"/>
      <c r="AI510" s="562"/>
      <c r="AJ510" s="562"/>
      <c r="AK510" s="562"/>
      <c r="AL510" s="562"/>
      <c r="AM510" s="562"/>
      <c r="AN510" s="562"/>
      <c r="AO510" s="562"/>
      <c r="AP510" s="562"/>
      <c r="AQ510" s="562"/>
      <c r="AR510" s="562"/>
      <c r="AS510" s="562"/>
      <c r="AT510" s="562"/>
      <c r="AU510" s="562"/>
      <c r="AV510" s="562"/>
      <c r="AW510" s="562"/>
      <c r="AX510" s="562"/>
      <c r="AY510" s="562"/>
      <c r="AZ510" s="562"/>
      <c r="BA510" s="562"/>
      <c r="BB510" s="563"/>
      <c r="BD510" s="560">
        <v>15</v>
      </c>
      <c r="BF510" s="576"/>
      <c r="BG510" s="576"/>
      <c r="BH510" s="576"/>
      <c r="BI510" s="576">
        <v>1</v>
      </c>
      <c r="BJ510" s="576"/>
      <c r="BK510" s="576"/>
      <c r="BL510" s="576">
        <v>2.7</v>
      </c>
      <c r="BM510" s="576">
        <f t="shared" si="81"/>
        <v>5.4</v>
      </c>
      <c r="BN510" s="576" t="s">
        <v>796</v>
      </c>
      <c r="BO510" s="611">
        <v>4.7606060606060607</v>
      </c>
      <c r="BP510" s="611">
        <f t="shared" si="82"/>
        <v>0.63939393939393963</v>
      </c>
      <c r="BQ510" s="612"/>
      <c r="BR510" s="612">
        <v>1</v>
      </c>
      <c r="BS510" s="576" t="s">
        <v>778</v>
      </c>
      <c r="BT510" s="576"/>
      <c r="BU510" s="581"/>
      <c r="BV510" s="627" t="s">
        <v>818</v>
      </c>
      <c r="BW510" s="627" t="e">
        <f ca="1">_xlfn.STDEV.S(BP496:BP501,BP503:BP530)</f>
        <v>#NAME?</v>
      </c>
    </row>
    <row r="511" spans="17:75" s="560" customFormat="1">
      <c r="Q511" s="562"/>
      <c r="R511" s="562">
        <v>0.45</v>
      </c>
      <c r="S511" s="562"/>
      <c r="T511" s="562"/>
      <c r="U511" s="562"/>
      <c r="V511" s="562"/>
      <c r="W511" s="562"/>
      <c r="X511" s="562"/>
      <c r="Y511" s="562"/>
      <c r="Z511" s="562"/>
      <c r="AA511" s="562"/>
      <c r="AB511" s="562"/>
      <c r="AC511" s="562"/>
      <c r="AD511" s="563"/>
      <c r="AE511" s="561"/>
      <c r="AF511" s="562"/>
      <c r="AG511" s="562"/>
      <c r="AH511" s="562"/>
      <c r="AI511" s="562"/>
      <c r="AJ511" s="562"/>
      <c r="AK511" s="562"/>
      <c r="AL511" s="562"/>
      <c r="AM511" s="562"/>
      <c r="AN511" s="562"/>
      <c r="AO511" s="562"/>
      <c r="AP511" s="562"/>
      <c r="AQ511" s="562"/>
      <c r="AR511" s="562"/>
      <c r="AS511" s="562"/>
      <c r="AT511" s="562"/>
      <c r="AU511" s="562"/>
      <c r="AV511" s="562"/>
      <c r="AW511" s="562"/>
      <c r="AX511" s="562"/>
      <c r="AY511" s="562"/>
      <c r="AZ511" s="562"/>
      <c r="BA511" s="562"/>
      <c r="BB511" s="563"/>
      <c r="BD511" s="560">
        <v>16</v>
      </c>
      <c r="BF511" s="576">
        <v>0.1</v>
      </c>
      <c r="BG511" s="576" t="s">
        <v>777</v>
      </c>
      <c r="BH511" s="576">
        <v>1</v>
      </c>
      <c r="BI511" s="576"/>
      <c r="BJ511" s="576"/>
      <c r="BK511" s="576"/>
      <c r="BL511" s="576">
        <v>2.4500000000000002</v>
      </c>
      <c r="BM511" s="576">
        <f t="shared" si="81"/>
        <v>4.9000000000000004</v>
      </c>
      <c r="BN511" s="576" t="s">
        <v>796</v>
      </c>
      <c r="BO511" s="611">
        <v>4.7575757575757578</v>
      </c>
      <c r="BP511" s="611">
        <f t="shared" si="82"/>
        <v>0.14242424242424256</v>
      </c>
      <c r="BQ511" s="612"/>
      <c r="BR511" s="612">
        <v>1</v>
      </c>
      <c r="BS511" s="576" t="s">
        <v>778</v>
      </c>
      <c r="BT511" s="576"/>
      <c r="BU511" s="581"/>
    </row>
    <row r="512" spans="17:75" s="560" customFormat="1">
      <c r="Q512" s="562"/>
      <c r="R512" s="562">
        <v>0.4</v>
      </c>
      <c r="S512" s="562"/>
      <c r="T512" s="562"/>
      <c r="U512" s="562"/>
      <c r="V512" s="562"/>
      <c r="W512" s="562"/>
      <c r="X512" s="562"/>
      <c r="Y512" s="562"/>
      <c r="Z512" s="562"/>
      <c r="AA512" s="562"/>
      <c r="AB512" s="562"/>
      <c r="AC512" s="562"/>
      <c r="AD512" s="563"/>
      <c r="AE512" s="561"/>
      <c r="AF512" s="562"/>
      <c r="AG512" s="562"/>
      <c r="AH512" s="562"/>
      <c r="AI512" s="562"/>
      <c r="AJ512" s="562"/>
      <c r="AK512" s="562"/>
      <c r="AL512" s="562"/>
      <c r="AM512" s="562"/>
      <c r="AN512" s="562"/>
      <c r="AO512" s="562"/>
      <c r="AP512" s="562"/>
      <c r="AQ512" s="562"/>
      <c r="AR512" s="562"/>
      <c r="AS512" s="562"/>
      <c r="AT512" s="562"/>
      <c r="AU512" s="562"/>
      <c r="AV512" s="562"/>
      <c r="AW512" s="562"/>
      <c r="AX512" s="562"/>
      <c r="AY512" s="562"/>
      <c r="AZ512" s="562"/>
      <c r="BA512" s="562"/>
      <c r="BB512" s="563"/>
      <c r="BD512" s="560">
        <v>17</v>
      </c>
      <c r="BF512" s="576">
        <v>0.1</v>
      </c>
      <c r="BG512" s="576" t="s">
        <v>777</v>
      </c>
      <c r="BH512" s="576">
        <v>1</v>
      </c>
      <c r="BI512" s="576"/>
      <c r="BJ512" s="576"/>
      <c r="BK512" s="576"/>
      <c r="BL512" s="576">
        <v>2.6</v>
      </c>
      <c r="BM512" s="576">
        <f t="shared" si="81"/>
        <v>5.2</v>
      </c>
      <c r="BN512" s="576" t="s">
        <v>796</v>
      </c>
      <c r="BO512" s="611">
        <v>4.7545454545454549</v>
      </c>
      <c r="BP512" s="611">
        <f t="shared" si="82"/>
        <v>0.44545454545454533</v>
      </c>
      <c r="BQ512" s="612"/>
      <c r="BR512" s="612">
        <v>1</v>
      </c>
      <c r="BS512" s="576" t="s">
        <v>778</v>
      </c>
      <c r="BT512" s="576"/>
      <c r="BU512" s="581"/>
    </row>
    <row r="513" spans="18:73" s="560" customFormat="1">
      <c r="R513" s="562">
        <v>0.35</v>
      </c>
      <c r="S513" s="562"/>
      <c r="T513" s="562"/>
      <c r="U513" s="562"/>
      <c r="V513" s="562"/>
      <c r="W513" s="562"/>
      <c r="X513" s="562"/>
      <c r="Y513" s="562"/>
      <c r="Z513" s="562"/>
      <c r="AA513" s="562"/>
      <c r="AB513" s="562"/>
      <c r="AC513" s="562"/>
      <c r="AD513" s="563"/>
      <c r="AE513" s="561"/>
      <c r="AF513" s="562"/>
      <c r="AG513" s="562"/>
      <c r="AH513" s="562"/>
      <c r="AI513" s="562"/>
      <c r="AJ513" s="562"/>
      <c r="AK513" s="562"/>
      <c r="AL513" s="562"/>
      <c r="AM513" s="562"/>
      <c r="AN513" s="562"/>
      <c r="AO513" s="562"/>
      <c r="AP513" s="562"/>
      <c r="AQ513" s="562"/>
      <c r="AR513" s="562"/>
      <c r="AS513" s="562"/>
      <c r="AT513" s="562"/>
      <c r="AU513" s="562"/>
      <c r="AV513" s="562"/>
      <c r="AW513" s="562"/>
      <c r="AX513" s="562"/>
      <c r="AY513" s="562"/>
      <c r="AZ513" s="562"/>
      <c r="BA513" s="562"/>
      <c r="BB513" s="563"/>
      <c r="BD513" s="560" t="s">
        <v>778</v>
      </c>
      <c r="BF513" s="576">
        <v>0.1</v>
      </c>
      <c r="BG513" s="576" t="s">
        <v>793</v>
      </c>
      <c r="BH513" s="576"/>
      <c r="BI513" s="576"/>
      <c r="BJ513" s="576"/>
      <c r="BK513" s="576">
        <v>1</v>
      </c>
      <c r="BL513" s="576"/>
      <c r="BM513" s="576"/>
      <c r="BN513" s="576"/>
      <c r="BO513" s="611"/>
      <c r="BP513" s="611"/>
      <c r="BQ513" s="612"/>
      <c r="BR513" s="612"/>
      <c r="BS513" s="576"/>
      <c r="BT513" s="576">
        <v>1703</v>
      </c>
      <c r="BU513" s="581"/>
    </row>
    <row r="514" spans="18:73" s="560" customFormat="1">
      <c r="R514" s="562">
        <v>0.5</v>
      </c>
      <c r="S514" s="562"/>
      <c r="T514" s="562"/>
      <c r="U514" s="562"/>
      <c r="V514" s="562"/>
      <c r="W514" s="562"/>
      <c r="X514" s="562"/>
      <c r="Y514" s="562"/>
      <c r="Z514" s="562"/>
      <c r="AA514" s="562"/>
      <c r="AB514" s="562"/>
      <c r="AC514" s="562"/>
      <c r="AD514" s="563"/>
      <c r="AE514" s="561"/>
      <c r="AF514" s="562"/>
      <c r="AG514" s="562"/>
      <c r="AH514" s="562"/>
      <c r="AI514" s="562"/>
      <c r="AJ514" s="562"/>
      <c r="AK514" s="562"/>
      <c r="AL514" s="562"/>
      <c r="AM514" s="562"/>
      <c r="AN514" s="562"/>
      <c r="AO514" s="562"/>
      <c r="AP514" s="562"/>
      <c r="AQ514" s="562"/>
      <c r="AR514" s="562"/>
      <c r="AS514" s="562"/>
      <c r="AT514" s="562"/>
      <c r="AU514" s="562"/>
      <c r="AV514" s="562"/>
      <c r="AW514" s="562"/>
      <c r="AX514" s="562"/>
      <c r="AY514" s="562"/>
      <c r="AZ514" s="562"/>
      <c r="BA514" s="562"/>
      <c r="BB514" s="563"/>
      <c r="BD514" s="560">
        <v>18</v>
      </c>
      <c r="BF514" s="576">
        <v>0.1</v>
      </c>
      <c r="BG514" s="576" t="s">
        <v>777</v>
      </c>
      <c r="BH514" s="576">
        <v>1</v>
      </c>
      <c r="BI514" s="576"/>
      <c r="BJ514" s="576"/>
      <c r="BK514" s="576"/>
      <c r="BL514" s="576">
        <v>2.4500000000000002</v>
      </c>
      <c r="BM514" s="576">
        <f t="shared" ref="BM514:BM530" si="83">BL514+BL514</f>
        <v>4.9000000000000004</v>
      </c>
      <c r="BN514" s="576" t="s">
        <v>796</v>
      </c>
      <c r="BO514" s="611">
        <v>4.7484848484848481</v>
      </c>
      <c r="BP514" s="611">
        <f t="shared" ref="BP514:BP530" si="84">BM514-BO514</f>
        <v>0.15151515151515227</v>
      </c>
      <c r="BQ514" s="612"/>
      <c r="BR514" s="612">
        <v>1</v>
      </c>
      <c r="BS514" s="576" t="s">
        <v>778</v>
      </c>
      <c r="BT514" s="576">
        <v>1702</v>
      </c>
      <c r="BU514" s="581"/>
    </row>
    <row r="515" spans="18:73" s="560" customFormat="1">
      <c r="R515" s="562">
        <v>0.5</v>
      </c>
      <c r="S515" s="562"/>
      <c r="T515" s="562"/>
      <c r="U515" s="562"/>
      <c r="V515" s="562"/>
      <c r="W515" s="562"/>
      <c r="X515" s="562"/>
      <c r="Y515" s="562"/>
      <c r="Z515" s="562"/>
      <c r="AA515" s="562"/>
      <c r="AB515" s="562"/>
      <c r="AC515" s="562"/>
      <c r="AD515" s="563"/>
      <c r="AE515" s="561"/>
      <c r="AF515" s="562"/>
      <c r="AG515" s="562"/>
      <c r="AH515" s="562"/>
      <c r="AI515" s="562"/>
      <c r="AJ515" s="562"/>
      <c r="AK515" s="562"/>
      <c r="AL515" s="562"/>
      <c r="AM515" s="562"/>
      <c r="AN515" s="562"/>
      <c r="AO515" s="562"/>
      <c r="AP515" s="562"/>
      <c r="AQ515" s="562"/>
      <c r="AR515" s="562"/>
      <c r="AS515" s="562"/>
      <c r="AT515" s="562"/>
      <c r="AU515" s="562"/>
      <c r="AV515" s="562"/>
      <c r="AW515" s="562"/>
      <c r="AX515" s="562"/>
      <c r="AY515" s="562"/>
      <c r="AZ515" s="562"/>
      <c r="BA515" s="562"/>
      <c r="BB515" s="563"/>
      <c r="BD515" s="560">
        <v>19</v>
      </c>
      <c r="BF515" s="576">
        <v>0.2</v>
      </c>
      <c r="BG515" s="576" t="s">
        <v>777</v>
      </c>
      <c r="BH515" s="576">
        <v>1</v>
      </c>
      <c r="BI515" s="576"/>
      <c r="BJ515" s="576"/>
      <c r="BK515" s="576"/>
      <c r="BL515" s="576">
        <v>2.5</v>
      </c>
      <c r="BM515" s="576">
        <f t="shared" si="83"/>
        <v>5</v>
      </c>
      <c r="BN515" s="576" t="s">
        <v>796</v>
      </c>
      <c r="BO515" s="611">
        <v>4.7454545454545451</v>
      </c>
      <c r="BP515" s="611">
        <f t="shared" si="84"/>
        <v>0.25454545454545485</v>
      </c>
      <c r="BQ515" s="612"/>
      <c r="BR515" s="612">
        <v>1</v>
      </c>
      <c r="BS515" s="576" t="s">
        <v>778</v>
      </c>
      <c r="BT515" s="576">
        <v>1698</v>
      </c>
      <c r="BU515" s="581"/>
    </row>
    <row r="516" spans="18:73" s="560" customFormat="1">
      <c r="R516" s="562">
        <v>0.6</v>
      </c>
      <c r="S516" s="562"/>
      <c r="T516" s="562"/>
      <c r="U516" s="562"/>
      <c r="V516" s="562"/>
      <c r="W516" s="562"/>
      <c r="X516" s="562"/>
      <c r="Y516" s="562"/>
      <c r="Z516" s="562"/>
      <c r="AA516" s="562"/>
      <c r="AB516" s="562"/>
      <c r="AC516" s="562"/>
      <c r="AD516" s="563"/>
      <c r="AE516" s="561"/>
      <c r="AF516" s="562"/>
      <c r="AG516" s="562"/>
      <c r="AH516" s="562"/>
      <c r="AI516" s="562"/>
      <c r="AJ516" s="562"/>
      <c r="AK516" s="562"/>
      <c r="AL516" s="562"/>
      <c r="AM516" s="562"/>
      <c r="AN516" s="562"/>
      <c r="AO516" s="562"/>
      <c r="AP516" s="562"/>
      <c r="AQ516" s="562"/>
      <c r="AR516" s="562"/>
      <c r="AS516" s="562"/>
      <c r="AT516" s="562"/>
      <c r="AU516" s="562"/>
      <c r="AV516" s="562"/>
      <c r="AW516" s="562"/>
      <c r="AX516" s="562"/>
      <c r="AY516" s="562"/>
      <c r="AZ516" s="562"/>
      <c r="BA516" s="562"/>
      <c r="BB516" s="563"/>
      <c r="BD516" s="560">
        <v>20</v>
      </c>
      <c r="BF516" s="576"/>
      <c r="BG516" s="576"/>
      <c r="BH516" s="576"/>
      <c r="BI516" s="576">
        <v>1</v>
      </c>
      <c r="BJ516" s="576"/>
      <c r="BK516" s="576"/>
      <c r="BL516" s="576">
        <v>2.5</v>
      </c>
      <c r="BM516" s="576">
        <f t="shared" si="83"/>
        <v>5</v>
      </c>
      <c r="BN516" s="576" t="s">
        <v>796</v>
      </c>
      <c r="BO516" s="611">
        <v>4.7424242424242422</v>
      </c>
      <c r="BP516" s="611">
        <f t="shared" si="84"/>
        <v>0.25757575757575779</v>
      </c>
      <c r="BQ516" s="612"/>
      <c r="BR516" s="612">
        <v>1</v>
      </c>
      <c r="BS516" s="576" t="s">
        <v>778</v>
      </c>
      <c r="BT516" s="576"/>
      <c r="BU516" s="581"/>
    </row>
    <row r="517" spans="18:73" s="560" customFormat="1">
      <c r="R517" s="562">
        <v>0.52</v>
      </c>
      <c r="S517" s="562"/>
      <c r="T517" s="562"/>
      <c r="U517" s="562"/>
      <c r="V517" s="562"/>
      <c r="W517" s="562"/>
      <c r="X517" s="562"/>
      <c r="Y517" s="562"/>
      <c r="Z517" s="562"/>
      <c r="AA517" s="562"/>
      <c r="AB517" s="562"/>
      <c r="AC517" s="562"/>
      <c r="AD517" s="563"/>
      <c r="AE517" s="561"/>
      <c r="AF517" s="562"/>
      <c r="AG517" s="562"/>
      <c r="AH517" s="562"/>
      <c r="AI517" s="562"/>
      <c r="AJ517" s="562"/>
      <c r="AK517" s="562"/>
      <c r="AL517" s="562"/>
      <c r="AM517" s="562"/>
      <c r="AN517" s="562"/>
      <c r="AO517" s="562"/>
      <c r="AP517" s="562"/>
      <c r="AQ517" s="562"/>
      <c r="AR517" s="562"/>
      <c r="AS517" s="562"/>
      <c r="AT517" s="562"/>
      <c r="AU517" s="562"/>
      <c r="AV517" s="562"/>
      <c r="AW517" s="562"/>
      <c r="AX517" s="562"/>
      <c r="AY517" s="562"/>
      <c r="AZ517" s="562"/>
      <c r="BA517" s="562"/>
      <c r="BB517" s="563"/>
      <c r="BD517" s="560">
        <v>21</v>
      </c>
      <c r="BF517" s="576">
        <v>0.1</v>
      </c>
      <c r="BG517" s="576" t="s">
        <v>777</v>
      </c>
      <c r="BH517" s="576">
        <v>1</v>
      </c>
      <c r="BI517" s="576"/>
      <c r="BJ517" s="576"/>
      <c r="BK517" s="576"/>
      <c r="BL517" s="576">
        <v>2.6</v>
      </c>
      <c r="BM517" s="576">
        <f t="shared" si="83"/>
        <v>5.2</v>
      </c>
      <c r="BN517" s="576" t="s">
        <v>796</v>
      </c>
      <c r="BO517" s="611">
        <v>4.7393939393939393</v>
      </c>
      <c r="BP517" s="611">
        <f t="shared" si="84"/>
        <v>0.46060606060606091</v>
      </c>
      <c r="BQ517" s="612"/>
      <c r="BR517" s="612">
        <v>1</v>
      </c>
      <c r="BS517" s="576" t="s">
        <v>778</v>
      </c>
      <c r="BT517" s="576">
        <v>1697</v>
      </c>
      <c r="BU517" s="581"/>
    </row>
    <row r="518" spans="18:73" s="560" customFormat="1">
      <c r="R518" s="562">
        <v>0.5</v>
      </c>
      <c r="S518" s="562"/>
      <c r="T518" s="562"/>
      <c r="U518" s="562"/>
      <c r="V518" s="562"/>
      <c r="W518" s="562"/>
      <c r="X518" s="562"/>
      <c r="Y518" s="562"/>
      <c r="Z518" s="562"/>
      <c r="AA518" s="562"/>
      <c r="AB518" s="562"/>
      <c r="AC518" s="562"/>
      <c r="AD518" s="563"/>
      <c r="AE518" s="561"/>
      <c r="AF518" s="562"/>
      <c r="AG518" s="562"/>
      <c r="AH518" s="562"/>
      <c r="AI518" s="562"/>
      <c r="AJ518" s="562"/>
      <c r="AK518" s="562"/>
      <c r="AL518" s="562"/>
      <c r="AM518" s="562"/>
      <c r="AN518" s="562"/>
      <c r="AO518" s="562"/>
      <c r="AP518" s="562"/>
      <c r="AQ518" s="562"/>
      <c r="AR518" s="562"/>
      <c r="AS518" s="562"/>
      <c r="AT518" s="562"/>
      <c r="AU518" s="562"/>
      <c r="AV518" s="562"/>
      <c r="AW518" s="562"/>
      <c r="AX518" s="562"/>
      <c r="AY518" s="562"/>
      <c r="AZ518" s="562"/>
      <c r="BA518" s="562"/>
      <c r="BB518" s="563"/>
      <c r="BD518" s="560">
        <v>22</v>
      </c>
      <c r="BF518" s="576">
        <v>0.3</v>
      </c>
      <c r="BG518" s="576" t="s">
        <v>802</v>
      </c>
      <c r="BH518" s="576"/>
      <c r="BI518" s="576">
        <v>1</v>
      </c>
      <c r="BJ518" s="576">
        <v>1</v>
      </c>
      <c r="BK518" s="576"/>
      <c r="BL518" s="576">
        <v>2.65</v>
      </c>
      <c r="BM518" s="576">
        <f t="shared" si="83"/>
        <v>5.3</v>
      </c>
      <c r="BN518" s="576" t="s">
        <v>796</v>
      </c>
      <c r="BO518" s="611">
        <v>4.7363636363636363</v>
      </c>
      <c r="BP518" s="611">
        <f t="shared" si="84"/>
        <v>0.56363636363636349</v>
      </c>
      <c r="BQ518" s="612"/>
      <c r="BR518" s="612">
        <v>1</v>
      </c>
      <c r="BS518" s="576" t="s">
        <v>778</v>
      </c>
      <c r="BT518" s="576">
        <v>1693</v>
      </c>
      <c r="BU518" s="581"/>
    </row>
    <row r="519" spans="18:73" s="560" customFormat="1">
      <c r="R519" s="562">
        <v>0.47</v>
      </c>
      <c r="S519" s="562"/>
      <c r="T519" s="562"/>
      <c r="U519" s="562"/>
      <c r="V519" s="562"/>
      <c r="W519" s="562"/>
      <c r="X519" s="562"/>
      <c r="Y519" s="562"/>
      <c r="Z519" s="562"/>
      <c r="AA519" s="562"/>
      <c r="AB519" s="562"/>
      <c r="AC519" s="562"/>
      <c r="AD519" s="563"/>
      <c r="AE519" s="561"/>
      <c r="AF519" s="562"/>
      <c r="AG519" s="562"/>
      <c r="AH519" s="562"/>
      <c r="AI519" s="562"/>
      <c r="AJ519" s="562"/>
      <c r="AK519" s="562"/>
      <c r="AL519" s="562"/>
      <c r="AM519" s="562"/>
      <c r="AN519" s="562"/>
      <c r="AO519" s="562"/>
      <c r="AP519" s="562"/>
      <c r="AQ519" s="562"/>
      <c r="AR519" s="562"/>
      <c r="AS519" s="562"/>
      <c r="AT519" s="562"/>
      <c r="AU519" s="562"/>
      <c r="AV519" s="562"/>
      <c r="AW519" s="562"/>
      <c r="AX519" s="562"/>
      <c r="AY519" s="562"/>
      <c r="AZ519" s="562"/>
      <c r="BA519" s="562"/>
      <c r="BB519" s="563"/>
      <c r="BD519" s="560">
        <v>23</v>
      </c>
      <c r="BF519" s="576">
        <v>25</v>
      </c>
      <c r="BG519" s="576" t="s">
        <v>777</v>
      </c>
      <c r="BH519" s="576">
        <v>1</v>
      </c>
      <c r="BI519" s="576"/>
      <c r="BJ519" s="576"/>
      <c r="BK519" s="576"/>
      <c r="BL519" s="576">
        <v>2.7</v>
      </c>
      <c r="BM519" s="576">
        <f t="shared" si="83"/>
        <v>5.4</v>
      </c>
      <c r="BN519" s="576" t="s">
        <v>796</v>
      </c>
      <c r="BO519" s="611">
        <v>4.7333333333333334</v>
      </c>
      <c r="BP519" s="611">
        <f t="shared" si="84"/>
        <v>0.66666666666666696</v>
      </c>
      <c r="BQ519" s="612"/>
      <c r="BR519" s="612">
        <v>1</v>
      </c>
      <c r="BS519" s="576" t="s">
        <v>778</v>
      </c>
      <c r="BT519" s="576">
        <v>1692</v>
      </c>
      <c r="BU519" s="581"/>
    </row>
    <row r="520" spans="18:73" s="560" customFormat="1">
      <c r="R520" s="562">
        <v>0.5</v>
      </c>
      <c r="S520" s="562"/>
      <c r="T520" s="562"/>
      <c r="U520" s="562"/>
      <c r="V520" s="562"/>
      <c r="W520" s="562"/>
      <c r="X520" s="562"/>
      <c r="Y520" s="562"/>
      <c r="Z520" s="562"/>
      <c r="AA520" s="562"/>
      <c r="AB520" s="562"/>
      <c r="AC520" s="562"/>
      <c r="AD520" s="563"/>
      <c r="AE520" s="561"/>
      <c r="AF520" s="562"/>
      <c r="AG520" s="562"/>
      <c r="AH520" s="562"/>
      <c r="AI520" s="562"/>
      <c r="AJ520" s="562"/>
      <c r="AK520" s="562"/>
      <c r="AL520" s="562"/>
      <c r="AM520" s="562"/>
      <c r="AN520" s="562"/>
      <c r="AO520" s="562"/>
      <c r="AP520" s="562"/>
      <c r="AQ520" s="562"/>
      <c r="AR520" s="562"/>
      <c r="AS520" s="562"/>
      <c r="AT520" s="562"/>
      <c r="AU520" s="562"/>
      <c r="AV520" s="562"/>
      <c r="AW520" s="562"/>
      <c r="AX520" s="562"/>
      <c r="AY520" s="562"/>
      <c r="AZ520" s="562"/>
      <c r="BA520" s="562"/>
      <c r="BB520" s="563"/>
      <c r="BD520" s="560">
        <v>24</v>
      </c>
      <c r="BF520" s="576">
        <v>0.25</v>
      </c>
      <c r="BG520" s="576" t="s">
        <v>793</v>
      </c>
      <c r="BH520" s="576"/>
      <c r="BI520" s="576">
        <v>1</v>
      </c>
      <c r="BJ520" s="576"/>
      <c r="BK520" s="576">
        <v>1</v>
      </c>
      <c r="BL520" s="576">
        <v>2.75</v>
      </c>
      <c r="BM520" s="576">
        <f t="shared" si="83"/>
        <v>5.5</v>
      </c>
      <c r="BN520" s="576" t="s">
        <v>796</v>
      </c>
      <c r="BO520" s="611">
        <v>4.7303030303030305</v>
      </c>
      <c r="BP520" s="611">
        <f t="shared" si="84"/>
        <v>0.76969696969696955</v>
      </c>
      <c r="BQ520" s="612"/>
      <c r="BR520" s="612">
        <v>1</v>
      </c>
      <c r="BS520" s="576" t="s">
        <v>778</v>
      </c>
      <c r="BT520" s="576">
        <v>1691</v>
      </c>
      <c r="BU520" s="581"/>
    </row>
    <row r="521" spans="18:73" s="560" customFormat="1">
      <c r="R521" s="562">
        <v>0.45</v>
      </c>
      <c r="S521" s="562"/>
      <c r="T521" s="562"/>
      <c r="U521" s="562"/>
      <c r="V521" s="562"/>
      <c r="W521" s="562"/>
      <c r="X521" s="562"/>
      <c r="Y521" s="562"/>
      <c r="Z521" s="562"/>
      <c r="AA521" s="562"/>
      <c r="AB521" s="562"/>
      <c r="AC521" s="562"/>
      <c r="AD521" s="563"/>
      <c r="AE521" s="561"/>
      <c r="AF521" s="562"/>
      <c r="AG521" s="562"/>
      <c r="AH521" s="562"/>
      <c r="AI521" s="562"/>
      <c r="AJ521" s="562"/>
      <c r="AK521" s="562"/>
      <c r="AL521" s="562"/>
      <c r="AM521" s="562"/>
      <c r="AN521" s="562"/>
      <c r="AO521" s="562"/>
      <c r="AP521" s="562"/>
      <c r="AQ521" s="562"/>
      <c r="AR521" s="562"/>
      <c r="AS521" s="562"/>
      <c r="AT521" s="562"/>
      <c r="AU521" s="562"/>
      <c r="AV521" s="562"/>
      <c r="AW521" s="562"/>
      <c r="AX521" s="562"/>
      <c r="AY521" s="562"/>
      <c r="AZ521" s="562"/>
      <c r="BA521" s="562"/>
      <c r="BB521" s="563"/>
      <c r="BD521" s="560">
        <v>25</v>
      </c>
      <c r="BF521" s="576"/>
      <c r="BG521" s="576"/>
      <c r="BH521" s="576"/>
      <c r="BI521" s="576">
        <v>1</v>
      </c>
      <c r="BJ521" s="576"/>
      <c r="BK521" s="576"/>
      <c r="BL521" s="576">
        <v>2.2000000000000002</v>
      </c>
      <c r="BM521" s="576">
        <f t="shared" si="83"/>
        <v>4.4000000000000004</v>
      </c>
      <c r="BN521" s="576" t="s">
        <v>796</v>
      </c>
      <c r="BO521" s="611">
        <v>4.7272727272727275</v>
      </c>
      <c r="BP521" s="611">
        <f t="shared" si="84"/>
        <v>-0.32727272727272716</v>
      </c>
      <c r="BQ521" s="612"/>
      <c r="BR521" s="612">
        <v>1</v>
      </c>
      <c r="BS521" s="576"/>
      <c r="BT521" s="576"/>
      <c r="BU521" s="581"/>
    </row>
    <row r="522" spans="18:73" s="560" customFormat="1">
      <c r="R522" s="562">
        <v>0.5</v>
      </c>
      <c r="S522" s="562"/>
      <c r="T522" s="562"/>
      <c r="U522" s="562"/>
      <c r="V522" s="562"/>
      <c r="W522" s="562"/>
      <c r="X522" s="562"/>
      <c r="Y522" s="562"/>
      <c r="Z522" s="562"/>
      <c r="AA522" s="562"/>
      <c r="AB522" s="562"/>
      <c r="AC522" s="562"/>
      <c r="AD522" s="563"/>
      <c r="AE522" s="561"/>
      <c r="AF522" s="562"/>
      <c r="AG522" s="562"/>
      <c r="AH522" s="562"/>
      <c r="AI522" s="562"/>
      <c r="AJ522" s="562"/>
      <c r="AK522" s="562"/>
      <c r="AL522" s="562"/>
      <c r="AM522" s="562"/>
      <c r="AN522" s="562"/>
      <c r="AO522" s="562"/>
      <c r="AP522" s="562"/>
      <c r="AQ522" s="562"/>
      <c r="AR522" s="562"/>
      <c r="AS522" s="562"/>
      <c r="AT522" s="562"/>
      <c r="AU522" s="562"/>
      <c r="AV522" s="562"/>
      <c r="AW522" s="562"/>
      <c r="AX522" s="562"/>
      <c r="AY522" s="562"/>
      <c r="AZ522" s="562"/>
      <c r="BA522" s="562"/>
      <c r="BB522" s="563"/>
      <c r="BD522" s="560">
        <v>26</v>
      </c>
      <c r="BF522" s="576">
        <v>0.1</v>
      </c>
      <c r="BG522" s="576" t="s">
        <v>777</v>
      </c>
      <c r="BH522" s="576">
        <v>1</v>
      </c>
      <c r="BI522" s="576"/>
      <c r="BJ522" s="576"/>
      <c r="BK522" s="576"/>
      <c r="BL522" s="576">
        <v>3.7</v>
      </c>
      <c r="BM522" s="576">
        <f t="shared" si="83"/>
        <v>7.4</v>
      </c>
      <c r="BN522" s="576" t="s">
        <v>796</v>
      </c>
      <c r="BO522" s="611">
        <v>4.7242424242424246</v>
      </c>
      <c r="BP522" s="611">
        <f t="shared" si="84"/>
        <v>2.6757575757575758</v>
      </c>
      <c r="BQ522" s="612"/>
      <c r="BR522" s="612">
        <v>1</v>
      </c>
      <c r="BS522" s="576" t="s">
        <v>778</v>
      </c>
      <c r="BT522" s="576">
        <v>1690</v>
      </c>
      <c r="BU522" s="581"/>
    </row>
    <row r="523" spans="18:73" s="560" customFormat="1">
      <c r="R523" s="562">
        <v>0.47</v>
      </c>
      <c r="S523" s="562"/>
      <c r="T523" s="562"/>
      <c r="U523" s="562"/>
      <c r="V523" s="562"/>
      <c r="W523" s="562"/>
      <c r="X523" s="562"/>
      <c r="Y523" s="562"/>
      <c r="Z523" s="562"/>
      <c r="AA523" s="562"/>
      <c r="AB523" s="562"/>
      <c r="AC523" s="562"/>
      <c r="AD523" s="563"/>
      <c r="AE523" s="561"/>
      <c r="AF523" s="562"/>
      <c r="AG523" s="562"/>
      <c r="AH523" s="562"/>
      <c r="AI523" s="562"/>
      <c r="AJ523" s="562"/>
      <c r="AK523" s="562"/>
      <c r="AL523" s="562"/>
      <c r="AM523" s="562"/>
      <c r="AN523" s="562"/>
      <c r="AO523" s="562"/>
      <c r="AP523" s="562"/>
      <c r="AQ523" s="562"/>
      <c r="AR523" s="562"/>
      <c r="AS523" s="562"/>
      <c r="AT523" s="562"/>
      <c r="AU523" s="562"/>
      <c r="AV523" s="562"/>
      <c r="AW523" s="562"/>
      <c r="AX523" s="562"/>
      <c r="AY523" s="562"/>
      <c r="AZ523" s="562"/>
      <c r="BA523" s="562"/>
      <c r="BB523" s="563"/>
      <c r="BD523" s="560">
        <v>27</v>
      </c>
      <c r="BF523" s="576">
        <v>18</v>
      </c>
      <c r="BG523" s="576" t="s">
        <v>802</v>
      </c>
      <c r="BH523" s="576"/>
      <c r="BI523" s="576">
        <v>1</v>
      </c>
      <c r="BJ523" s="576">
        <v>1</v>
      </c>
      <c r="BK523" s="576"/>
      <c r="BL523" s="576">
        <v>2</v>
      </c>
      <c r="BM523" s="576">
        <f t="shared" si="83"/>
        <v>4</v>
      </c>
      <c r="BN523" s="576" t="s">
        <v>796</v>
      </c>
      <c r="BO523" s="611">
        <v>4.7212121212121216</v>
      </c>
      <c r="BP523" s="611">
        <f t="shared" si="84"/>
        <v>-0.72121212121212164</v>
      </c>
      <c r="BQ523" s="612"/>
      <c r="BR523" s="612">
        <v>1</v>
      </c>
      <c r="BS523" s="576" t="s">
        <v>778</v>
      </c>
      <c r="BT523" s="576">
        <v>1689</v>
      </c>
      <c r="BU523" s="581"/>
    </row>
    <row r="524" spans="18:73" s="560" customFormat="1">
      <c r="R524" s="562">
        <v>0.45</v>
      </c>
      <c r="S524" s="562"/>
      <c r="T524" s="562"/>
      <c r="U524" s="562"/>
      <c r="V524" s="562"/>
      <c r="W524" s="562"/>
      <c r="X524" s="562"/>
      <c r="Y524" s="562"/>
      <c r="Z524" s="562"/>
      <c r="AA524" s="562"/>
      <c r="AB524" s="562"/>
      <c r="AC524" s="562"/>
      <c r="AD524" s="563"/>
      <c r="AE524" s="561"/>
      <c r="AF524" s="562"/>
      <c r="AG524" s="562"/>
      <c r="AH524" s="562"/>
      <c r="AI524" s="562"/>
      <c r="AJ524" s="562"/>
      <c r="AK524" s="562"/>
      <c r="AL524" s="562"/>
      <c r="AM524" s="562"/>
      <c r="AN524" s="562"/>
      <c r="AO524" s="562"/>
      <c r="AP524" s="562"/>
      <c r="AQ524" s="562"/>
      <c r="AR524" s="562"/>
      <c r="AS524" s="562"/>
      <c r="AT524" s="562"/>
      <c r="AU524" s="562"/>
      <c r="AV524" s="562"/>
      <c r="AW524" s="562"/>
      <c r="AX524" s="562"/>
      <c r="AY524" s="562"/>
      <c r="AZ524" s="562"/>
      <c r="BA524" s="562"/>
      <c r="BB524" s="563"/>
      <c r="BD524" s="560">
        <v>28</v>
      </c>
      <c r="BF524" s="576"/>
      <c r="BG524" s="576"/>
      <c r="BH524" s="576"/>
      <c r="BI524" s="576">
        <v>1</v>
      </c>
      <c r="BJ524" s="576"/>
      <c r="BK524" s="576"/>
      <c r="BL524" s="576">
        <v>2.5</v>
      </c>
      <c r="BM524" s="576">
        <f t="shared" si="83"/>
        <v>5</v>
      </c>
      <c r="BN524" s="576" t="s">
        <v>796</v>
      </c>
      <c r="BO524" s="611">
        <v>4.7181818181818178</v>
      </c>
      <c r="BP524" s="611">
        <f t="shared" si="84"/>
        <v>0.28181818181818219</v>
      </c>
      <c r="BQ524" s="612"/>
      <c r="BR524" s="612">
        <v>1</v>
      </c>
      <c r="BS524" s="576" t="s">
        <v>778</v>
      </c>
      <c r="BT524" s="576"/>
      <c r="BU524" s="581"/>
    </row>
    <row r="525" spans="18:73" s="560" customFormat="1">
      <c r="R525" s="562">
        <v>0.4</v>
      </c>
      <c r="S525" s="562"/>
      <c r="T525" s="562"/>
      <c r="U525" s="562"/>
      <c r="V525" s="562"/>
      <c r="W525" s="562"/>
      <c r="X525" s="562"/>
      <c r="Y525" s="562"/>
      <c r="Z525" s="562"/>
      <c r="AA525" s="562"/>
      <c r="AB525" s="562"/>
      <c r="AC525" s="562"/>
      <c r="AD525" s="563"/>
      <c r="AE525" s="561"/>
      <c r="AF525" s="562"/>
      <c r="AG525" s="562"/>
      <c r="AH525" s="562"/>
      <c r="AI525" s="562"/>
      <c r="AJ525" s="562"/>
      <c r="AK525" s="562"/>
      <c r="AL525" s="562"/>
      <c r="AM525" s="562"/>
      <c r="AN525" s="562"/>
      <c r="AO525" s="562"/>
      <c r="AP525" s="562"/>
      <c r="AQ525" s="562"/>
      <c r="AR525" s="562"/>
      <c r="AS525" s="562"/>
      <c r="AT525" s="562"/>
      <c r="AU525" s="562"/>
      <c r="AV525" s="562"/>
      <c r="AW525" s="562"/>
      <c r="AX525" s="562"/>
      <c r="AY525" s="562"/>
      <c r="AZ525" s="562"/>
      <c r="BA525" s="562"/>
      <c r="BB525" s="563"/>
      <c r="BD525" s="560">
        <v>29</v>
      </c>
      <c r="BF525" s="576"/>
      <c r="BG525" s="576"/>
      <c r="BH525" s="576"/>
      <c r="BI525" s="576">
        <v>1</v>
      </c>
      <c r="BJ525" s="576"/>
      <c r="BK525" s="576"/>
      <c r="BL525" s="576">
        <v>2.9</v>
      </c>
      <c r="BM525" s="576">
        <f t="shared" si="83"/>
        <v>5.8</v>
      </c>
      <c r="BN525" s="576" t="s">
        <v>796</v>
      </c>
      <c r="BO525" s="611">
        <v>4.7151515151515149</v>
      </c>
      <c r="BP525" s="611">
        <f t="shared" si="84"/>
        <v>1.084848484848485</v>
      </c>
      <c r="BQ525" s="612"/>
      <c r="BR525" s="612">
        <v>1</v>
      </c>
      <c r="BS525" s="576" t="s">
        <v>778</v>
      </c>
      <c r="BT525" s="576"/>
      <c r="BU525" s="581"/>
    </row>
    <row r="526" spans="18:73" s="560" customFormat="1">
      <c r="R526" s="562">
        <v>0.7</v>
      </c>
      <c r="S526" s="562"/>
      <c r="T526" s="562"/>
      <c r="U526" s="562"/>
      <c r="V526" s="562"/>
      <c r="W526" s="562"/>
      <c r="X526" s="562"/>
      <c r="Y526" s="562"/>
      <c r="Z526" s="562"/>
      <c r="AA526" s="562"/>
      <c r="AB526" s="562"/>
      <c r="AC526" s="562"/>
      <c r="AD526" s="563"/>
      <c r="AE526" s="561"/>
      <c r="AF526" s="562"/>
      <c r="AG526" s="562"/>
      <c r="AH526" s="562"/>
      <c r="AI526" s="562"/>
      <c r="AJ526" s="562"/>
      <c r="AK526" s="562"/>
      <c r="AL526" s="562"/>
      <c r="AM526" s="562"/>
      <c r="AN526" s="562"/>
      <c r="AO526" s="562"/>
      <c r="AP526" s="562"/>
      <c r="AQ526" s="562"/>
      <c r="AR526" s="562"/>
      <c r="AS526" s="562"/>
      <c r="AT526" s="562"/>
      <c r="AU526" s="562"/>
      <c r="AV526" s="562"/>
      <c r="AW526" s="562"/>
      <c r="AX526" s="562"/>
      <c r="AY526" s="562"/>
      <c r="AZ526" s="562"/>
      <c r="BA526" s="562"/>
      <c r="BB526" s="563"/>
      <c r="BD526" s="560">
        <v>30</v>
      </c>
      <c r="BF526" s="576">
        <v>0.1</v>
      </c>
      <c r="BG526" s="576" t="s">
        <v>777</v>
      </c>
      <c r="BH526" s="576">
        <v>1</v>
      </c>
      <c r="BI526" s="576"/>
      <c r="BJ526" s="576"/>
      <c r="BK526" s="576"/>
      <c r="BL526" s="576">
        <v>1.6</v>
      </c>
      <c r="BM526" s="576">
        <f t="shared" si="83"/>
        <v>3.2</v>
      </c>
      <c r="BN526" s="576" t="s">
        <v>797</v>
      </c>
      <c r="BO526" s="611">
        <v>3</v>
      </c>
      <c r="BP526" s="611">
        <f t="shared" si="84"/>
        <v>0.20000000000000018</v>
      </c>
      <c r="BQ526" s="612">
        <v>1</v>
      </c>
      <c r="BR526" s="612"/>
      <c r="BS526" s="576" t="s">
        <v>778</v>
      </c>
      <c r="BT526" s="576">
        <v>1688</v>
      </c>
      <c r="BU526" s="581"/>
    </row>
    <row r="527" spans="18:73" s="560" customFormat="1">
      <c r="R527" s="562">
        <v>0.6</v>
      </c>
      <c r="S527" s="562"/>
      <c r="T527" s="562"/>
      <c r="U527" s="562"/>
      <c r="V527" s="562"/>
      <c r="W527" s="562"/>
      <c r="X527" s="562"/>
      <c r="Y527" s="562"/>
      <c r="Z527" s="562"/>
      <c r="AA527" s="562"/>
      <c r="AB527" s="562"/>
      <c r="AC527" s="562"/>
      <c r="AD527" s="563"/>
      <c r="AE527" s="561"/>
      <c r="AF527" s="562"/>
      <c r="AG527" s="562"/>
      <c r="AH527" s="562"/>
      <c r="AI527" s="562"/>
      <c r="AJ527" s="562"/>
      <c r="AK527" s="562"/>
      <c r="AL527" s="562"/>
      <c r="AM527" s="562"/>
      <c r="AN527" s="562"/>
      <c r="AO527" s="562"/>
      <c r="AP527" s="562"/>
      <c r="AQ527" s="562"/>
      <c r="AR527" s="562"/>
      <c r="AS527" s="562"/>
      <c r="AT527" s="562"/>
      <c r="AU527" s="562"/>
      <c r="AV527" s="562"/>
      <c r="AW527" s="562"/>
      <c r="AX527" s="562"/>
      <c r="AY527" s="562"/>
      <c r="AZ527" s="562"/>
      <c r="BA527" s="562"/>
      <c r="BB527" s="563"/>
      <c r="BD527" s="560">
        <v>31</v>
      </c>
      <c r="BF527" s="576">
        <v>0.1</v>
      </c>
      <c r="BG527" s="576" t="s">
        <v>777</v>
      </c>
      <c r="BH527" s="576">
        <v>1</v>
      </c>
      <c r="BI527" s="576"/>
      <c r="BJ527" s="576"/>
      <c r="BK527" s="576"/>
      <c r="BL527" s="576">
        <v>2.25</v>
      </c>
      <c r="BM527" s="576">
        <f t="shared" si="83"/>
        <v>4.5</v>
      </c>
      <c r="BN527" s="576" t="s">
        <v>796</v>
      </c>
      <c r="BO527" s="611">
        <v>4.709090909090909</v>
      </c>
      <c r="BP527" s="611">
        <f t="shared" si="84"/>
        <v>-0.20909090909090899</v>
      </c>
      <c r="BQ527" s="612"/>
      <c r="BR527" s="612">
        <v>1</v>
      </c>
      <c r="BS527" s="576" t="s">
        <v>778</v>
      </c>
      <c r="BT527" s="576">
        <v>1687</v>
      </c>
      <c r="BU527" s="581"/>
    </row>
    <row r="528" spans="18:73" s="560" customFormat="1">
      <c r="R528" s="562">
        <v>0.5</v>
      </c>
      <c r="S528" s="562"/>
      <c r="T528" s="562"/>
      <c r="U528" s="562"/>
      <c r="V528" s="562"/>
      <c r="W528" s="562"/>
      <c r="X528" s="562"/>
      <c r="Y528" s="562"/>
      <c r="Z528" s="562"/>
      <c r="AA528" s="562"/>
      <c r="AB528" s="562"/>
      <c r="AC528" s="562"/>
      <c r="AD528" s="563"/>
      <c r="AE528" s="561"/>
      <c r="AF528" s="562"/>
      <c r="AG528" s="562"/>
      <c r="AH528" s="562"/>
      <c r="AI528" s="562"/>
      <c r="AJ528" s="562"/>
      <c r="AK528" s="562"/>
      <c r="AL528" s="562"/>
      <c r="AM528" s="562"/>
      <c r="AN528" s="562"/>
      <c r="AO528" s="562"/>
      <c r="AP528" s="562"/>
      <c r="AQ528" s="562"/>
      <c r="AR528" s="562"/>
      <c r="AS528" s="562"/>
      <c r="AT528" s="562"/>
      <c r="AU528" s="562"/>
      <c r="AV528" s="562"/>
      <c r="AW528" s="562"/>
      <c r="AX528" s="562"/>
      <c r="AY528" s="562"/>
      <c r="AZ528" s="562"/>
      <c r="BA528" s="562"/>
      <c r="BB528" s="563"/>
      <c r="BD528" s="560">
        <v>32</v>
      </c>
      <c r="BF528" s="576"/>
      <c r="BG528" s="576"/>
      <c r="BH528" s="576"/>
      <c r="BI528" s="576">
        <v>1</v>
      </c>
      <c r="BJ528" s="576"/>
      <c r="BK528" s="576"/>
      <c r="BL528" s="576">
        <v>3.5</v>
      </c>
      <c r="BM528" s="576">
        <f t="shared" si="83"/>
        <v>7</v>
      </c>
      <c r="BN528" s="576" t="s">
        <v>779</v>
      </c>
      <c r="BO528" s="611">
        <v>3.8</v>
      </c>
      <c r="BP528" s="611">
        <f t="shared" si="84"/>
        <v>3.2</v>
      </c>
      <c r="BQ528" s="612">
        <v>1</v>
      </c>
      <c r="BR528" s="612"/>
      <c r="BS528" s="576" t="s">
        <v>778</v>
      </c>
      <c r="BT528" s="576"/>
      <c r="BU528" s="581"/>
    </row>
    <row r="529" spans="16:78" s="560" customFormat="1">
      <c r="P529" s="561"/>
      <c r="Q529" s="562" t="s">
        <v>799</v>
      </c>
      <c r="R529" s="562"/>
      <c r="S529" s="562"/>
      <c r="T529" s="562"/>
      <c r="U529" s="562"/>
      <c r="V529" s="562"/>
      <c r="W529" s="562"/>
      <c r="X529" s="562"/>
      <c r="Y529" s="562"/>
      <c r="Z529" s="562"/>
      <c r="AA529" s="562"/>
      <c r="AB529" s="562"/>
      <c r="AC529" s="562"/>
      <c r="AD529" s="563"/>
      <c r="AE529" s="561"/>
      <c r="AF529" s="562"/>
      <c r="AG529" s="562"/>
      <c r="AH529" s="562"/>
      <c r="AI529" s="562"/>
      <c r="AJ529" s="562"/>
      <c r="AK529" s="562"/>
      <c r="AL529" s="562"/>
      <c r="AM529" s="562"/>
      <c r="AN529" s="562"/>
      <c r="AO529" s="562"/>
      <c r="AP529" s="562"/>
      <c r="AQ529" s="562"/>
      <c r="AR529" s="562"/>
      <c r="AS529" s="562"/>
      <c r="AT529" s="562"/>
      <c r="AU529" s="562"/>
      <c r="AV529" s="562"/>
      <c r="AW529" s="562"/>
      <c r="AX529" s="562"/>
      <c r="AY529" s="562"/>
      <c r="AZ529" s="562"/>
      <c r="BA529" s="562"/>
      <c r="BB529" s="563"/>
      <c r="BD529" s="560">
        <v>33</v>
      </c>
      <c r="BF529" s="576"/>
      <c r="BG529" s="576"/>
      <c r="BH529" s="576"/>
      <c r="BI529" s="576">
        <v>1</v>
      </c>
      <c r="BJ529" s="576"/>
      <c r="BK529" s="576"/>
      <c r="BL529" s="576">
        <v>2.5</v>
      </c>
      <c r="BM529" s="576">
        <f t="shared" si="83"/>
        <v>5</v>
      </c>
      <c r="BN529" s="576" t="s">
        <v>796</v>
      </c>
      <c r="BO529" s="611">
        <v>4.7030303030303031</v>
      </c>
      <c r="BP529" s="611">
        <f t="shared" si="84"/>
        <v>0.29696969696969688</v>
      </c>
      <c r="BQ529" s="612"/>
      <c r="BR529" s="612">
        <v>1</v>
      </c>
      <c r="BS529" s="576" t="s">
        <v>778</v>
      </c>
      <c r="BT529" s="576"/>
      <c r="BU529" s="581"/>
    </row>
    <row r="530" spans="16:78" s="560" customFormat="1">
      <c r="P530" s="561"/>
      <c r="Q530" s="562"/>
      <c r="R530" s="562">
        <v>0.6</v>
      </c>
      <c r="S530" s="562"/>
      <c r="T530" s="562"/>
      <c r="U530" s="562"/>
      <c r="V530" s="562"/>
      <c r="W530" s="562"/>
      <c r="X530" s="562"/>
      <c r="Y530" s="562"/>
      <c r="Z530" s="562"/>
      <c r="AA530" s="562"/>
      <c r="AB530" s="562"/>
      <c r="AC530" s="562"/>
      <c r="AD530" s="563"/>
      <c r="AE530" s="561"/>
      <c r="AF530" s="562"/>
      <c r="AG530" s="562"/>
      <c r="AH530" s="562"/>
      <c r="AI530" s="562"/>
      <c r="AJ530" s="562"/>
      <c r="AK530" s="562"/>
      <c r="AL530" s="562"/>
      <c r="AM530" s="562"/>
      <c r="AN530" s="562"/>
      <c r="AO530" s="562"/>
      <c r="AP530" s="562"/>
      <c r="AQ530" s="562"/>
      <c r="AR530" s="562"/>
      <c r="AS530" s="562"/>
      <c r="AT530" s="562"/>
      <c r="AU530" s="562"/>
      <c r="AV530" s="562"/>
      <c r="AW530" s="562"/>
      <c r="AX530" s="562"/>
      <c r="AY530" s="562"/>
      <c r="AZ530" s="562"/>
      <c r="BA530" s="562"/>
      <c r="BB530" s="563"/>
      <c r="BD530" s="560">
        <v>34</v>
      </c>
      <c r="BG530" s="576"/>
      <c r="BH530" s="576"/>
      <c r="BI530" s="576">
        <v>1</v>
      </c>
      <c r="BJ530" s="576"/>
      <c r="BK530" s="576"/>
      <c r="BL530" s="576">
        <v>2.8</v>
      </c>
      <c r="BM530" s="576">
        <f t="shared" si="83"/>
        <v>5.6</v>
      </c>
      <c r="BN530" s="576" t="s">
        <v>796</v>
      </c>
      <c r="BO530" s="611">
        <v>4.7</v>
      </c>
      <c r="BP530" s="611">
        <f t="shared" si="84"/>
        <v>0.89999999999999947</v>
      </c>
      <c r="BQ530" s="612"/>
      <c r="BR530" s="612">
        <v>1</v>
      </c>
      <c r="BS530" s="576" t="s">
        <v>778</v>
      </c>
      <c r="BT530" s="576"/>
      <c r="BU530" s="581"/>
    </row>
    <row r="531" spans="16:78" s="560" customFormat="1">
      <c r="P531" s="561"/>
      <c r="Q531" s="562"/>
      <c r="R531" s="562">
        <v>0.55000000000000004</v>
      </c>
      <c r="S531" s="562"/>
      <c r="T531" s="562"/>
      <c r="U531" s="562"/>
      <c r="V531" s="562"/>
      <c r="W531" s="562"/>
      <c r="X531" s="562"/>
      <c r="Y531" s="562"/>
      <c r="Z531" s="562"/>
      <c r="AA531" s="562"/>
      <c r="AB531" s="562"/>
      <c r="AC531" s="562"/>
      <c r="AD531" s="563"/>
      <c r="AE531" s="561"/>
      <c r="AF531" s="562"/>
      <c r="AG531" s="562"/>
      <c r="AH531" s="562"/>
      <c r="AI531" s="562"/>
      <c r="AJ531" s="562"/>
      <c r="AK531" s="562"/>
      <c r="AL531" s="562"/>
      <c r="AM531" s="562"/>
      <c r="AN531" s="562"/>
      <c r="AO531" s="562"/>
      <c r="AP531" s="562"/>
      <c r="AQ531" s="562"/>
      <c r="AR531" s="562"/>
      <c r="AS531" s="562"/>
      <c r="AT531" s="562"/>
      <c r="AU531" s="562"/>
      <c r="AV531" s="562"/>
      <c r="AW531" s="562"/>
      <c r="AX531" s="562"/>
      <c r="AY531" s="562"/>
      <c r="AZ531" s="562"/>
      <c r="BA531" s="562"/>
      <c r="BB531" s="563"/>
      <c r="BH531" s="640">
        <f>SUM(BH494:BH530)</f>
        <v>15</v>
      </c>
      <c r="BI531" s="640">
        <f>SUM(BI494:BI530)</f>
        <v>19</v>
      </c>
      <c r="BJ531" s="641">
        <f>SUM(BJ494:BJ530)</f>
        <v>2</v>
      </c>
      <c r="BK531" s="642">
        <f>SUM(BK494:BK530)</f>
        <v>3</v>
      </c>
      <c r="BL531" s="576"/>
      <c r="BM531" s="643">
        <f>SUM(BM496:BM530)</f>
        <v>170.10000000000002</v>
      </c>
      <c r="BN531" s="576"/>
      <c r="BO531" s="611"/>
      <c r="BP531" s="611"/>
      <c r="BQ531" s="612"/>
      <c r="BR531" s="612"/>
      <c r="BS531" s="576"/>
      <c r="BT531" s="576"/>
      <c r="BU531" s="576"/>
    </row>
    <row r="532" spans="16:78" s="560" customFormat="1">
      <c r="P532" s="561"/>
      <c r="Q532" s="562"/>
      <c r="R532" s="562">
        <v>0.55000000000000004</v>
      </c>
      <c r="S532" s="562"/>
      <c r="T532" s="562"/>
      <c r="U532" s="562"/>
      <c r="V532" s="562"/>
      <c r="W532" s="562"/>
      <c r="X532" s="562"/>
      <c r="Y532" s="562"/>
      <c r="Z532" s="562"/>
      <c r="AA532" s="562"/>
      <c r="AB532" s="562"/>
      <c r="AC532" s="562"/>
      <c r="AD532" s="563"/>
      <c r="AE532" s="561"/>
      <c r="AF532" s="562"/>
      <c r="AG532" s="562"/>
      <c r="AH532" s="562"/>
      <c r="AI532" s="562"/>
      <c r="AJ532" s="562"/>
      <c r="AK532" s="562"/>
      <c r="AL532" s="562"/>
      <c r="AM532" s="562"/>
      <c r="AN532" s="562"/>
      <c r="AO532" s="562"/>
      <c r="AP532" s="562"/>
      <c r="AQ532" s="562"/>
      <c r="AR532" s="562"/>
      <c r="AS532" s="562"/>
      <c r="AT532" s="562"/>
      <c r="AU532" s="562"/>
      <c r="AV532" s="562"/>
      <c r="AW532" s="562"/>
      <c r="AX532" s="562"/>
      <c r="AY532" s="562"/>
      <c r="AZ532" s="562"/>
      <c r="BA532" s="562"/>
      <c r="BB532" s="563"/>
      <c r="BJ532" s="623"/>
      <c r="BK532" s="623"/>
      <c r="BO532" s="644">
        <f>SUM(BO496:BO531)</f>
        <v>157.05363636363637</v>
      </c>
      <c r="BP532" s="644">
        <f>SUM(BP496:BP501,BP503:BP530)</f>
        <v>14.431212121212123</v>
      </c>
      <c r="BQ532" s="645">
        <f>SUM(BQ494:BQ531)</f>
        <v>4</v>
      </c>
      <c r="BR532" s="645">
        <f>SUM(BR494:BR531)</f>
        <v>30</v>
      </c>
    </row>
    <row r="533" spans="16:78" s="560" customFormat="1">
      <c r="P533" s="561"/>
      <c r="Q533" s="562"/>
      <c r="R533" s="562">
        <v>0.55000000000000004</v>
      </c>
      <c r="S533" s="562"/>
      <c r="T533" s="562"/>
      <c r="U533" s="562"/>
      <c r="V533" s="562"/>
      <c r="W533" s="562"/>
      <c r="X533" s="562"/>
      <c r="Y533" s="562"/>
      <c r="Z533" s="562"/>
      <c r="AA533" s="562"/>
      <c r="AB533" s="562"/>
      <c r="AC533" s="562"/>
      <c r="AD533" s="563"/>
      <c r="AE533" s="561"/>
      <c r="AF533" s="562"/>
      <c r="AG533" s="562"/>
      <c r="AH533" s="562"/>
      <c r="AI533" s="562"/>
      <c r="AJ533" s="562"/>
      <c r="AK533" s="562"/>
      <c r="AL533" s="562"/>
      <c r="AM533" s="562"/>
      <c r="AN533" s="562"/>
      <c r="AO533" s="562"/>
      <c r="AP533" s="562"/>
      <c r="AQ533" s="562"/>
      <c r="AR533" s="562"/>
      <c r="AS533" s="562"/>
      <c r="AT533" s="562"/>
      <c r="AU533" s="562"/>
      <c r="AV533" s="562"/>
      <c r="AW533" s="562"/>
      <c r="AX533" s="562"/>
      <c r="AY533" s="562"/>
      <c r="AZ533" s="562"/>
      <c r="BA533" s="562"/>
      <c r="BB533" s="563"/>
      <c r="BC533" s="564">
        <v>41095</v>
      </c>
      <c r="BD533" s="565" t="s">
        <v>725</v>
      </c>
      <c r="BE533" s="565"/>
      <c r="BF533" s="565" t="s">
        <v>726</v>
      </c>
      <c r="BG533" s="566" t="s">
        <v>727</v>
      </c>
      <c r="BH533" s="566"/>
      <c r="BI533" s="566"/>
      <c r="BJ533" s="566"/>
      <c r="BK533" s="566"/>
      <c r="BL533" s="566" t="s">
        <v>728</v>
      </c>
      <c r="BM533" s="566"/>
      <c r="BN533" s="566" t="s">
        <v>729</v>
      </c>
      <c r="BO533" s="603"/>
      <c r="BP533" s="646">
        <f>+BP532/BO532</f>
        <v>9.1887156867852524E-2</v>
      </c>
      <c r="BQ533" s="604"/>
      <c r="BR533" s="604"/>
      <c r="BS533" s="566" t="s">
        <v>730</v>
      </c>
      <c r="BT533" s="566" t="s">
        <v>731</v>
      </c>
      <c r="BU533" s="565"/>
    </row>
    <row r="534" spans="16:78" s="560" customFormat="1">
      <c r="P534" s="561"/>
      <c r="Q534" s="562"/>
      <c r="R534" s="562">
        <v>0.55000000000000004</v>
      </c>
      <c r="S534" s="562"/>
      <c r="T534" s="562"/>
      <c r="U534" s="562"/>
      <c r="V534" s="562"/>
      <c r="W534" s="562"/>
      <c r="X534" s="562"/>
      <c r="Y534" s="562"/>
      <c r="Z534" s="562"/>
      <c r="AA534" s="562"/>
      <c r="AB534" s="562"/>
      <c r="AC534" s="562"/>
      <c r="AD534" s="563"/>
      <c r="AE534" s="561"/>
      <c r="AF534" s="562"/>
      <c r="AG534" s="562"/>
      <c r="AH534" s="562"/>
      <c r="AI534" s="562"/>
      <c r="AJ534" s="562"/>
      <c r="AK534" s="562"/>
      <c r="AL534" s="562"/>
      <c r="AM534" s="562"/>
      <c r="AN534" s="562"/>
      <c r="AO534" s="562"/>
      <c r="AP534" s="562"/>
      <c r="AQ534" s="562"/>
      <c r="AR534" s="562"/>
      <c r="AS534" s="562"/>
      <c r="AT534" s="562"/>
      <c r="AU534" s="562"/>
      <c r="AV534" s="562"/>
      <c r="AW534" s="562"/>
      <c r="AX534" s="562"/>
      <c r="AY534" s="562"/>
      <c r="AZ534" s="562"/>
      <c r="BA534" s="562"/>
      <c r="BB534" s="563"/>
      <c r="BD534" s="565"/>
      <c r="BE534" s="565"/>
      <c r="BF534" s="565"/>
      <c r="BG534" s="576" t="s">
        <v>1130</v>
      </c>
      <c r="BH534" s="576"/>
      <c r="BI534" s="576"/>
      <c r="BJ534" s="576"/>
      <c r="BK534" s="576"/>
      <c r="BL534" s="576" t="s">
        <v>1131</v>
      </c>
      <c r="BM534" s="576"/>
      <c r="BN534" s="576">
        <v>34</v>
      </c>
      <c r="BO534" s="611"/>
      <c r="BP534" s="611"/>
      <c r="BQ534" s="612"/>
      <c r="BR534" s="612"/>
      <c r="BS534" s="576">
        <v>30</v>
      </c>
      <c r="BT534" s="576"/>
      <c r="BU534" s="565"/>
    </row>
    <row r="535" spans="16:78" s="560" customFormat="1">
      <c r="P535" s="561"/>
      <c r="Q535" s="562"/>
      <c r="R535" s="562">
        <v>0.43</v>
      </c>
      <c r="S535" s="562"/>
      <c r="T535" s="562"/>
      <c r="U535" s="562"/>
      <c r="V535" s="562"/>
      <c r="W535" s="562"/>
      <c r="X535" s="562"/>
      <c r="Y535" s="562"/>
      <c r="Z535" s="562"/>
      <c r="AA535" s="562"/>
      <c r="AB535" s="562"/>
      <c r="AC535" s="562"/>
      <c r="AD535" s="563"/>
      <c r="AE535" s="561"/>
      <c r="AF535" s="562"/>
      <c r="AG535" s="562"/>
      <c r="AH535" s="562"/>
      <c r="AI535" s="562"/>
      <c r="AJ535" s="562"/>
      <c r="AK535" s="562"/>
      <c r="AL535" s="562"/>
      <c r="AM535" s="562"/>
      <c r="AN535" s="562"/>
      <c r="AO535" s="562"/>
      <c r="AP535" s="562"/>
      <c r="AQ535" s="562"/>
      <c r="AR535" s="562"/>
      <c r="AS535" s="562"/>
      <c r="AT535" s="562"/>
      <c r="AU535" s="562"/>
      <c r="AV535" s="562"/>
      <c r="AW535" s="562"/>
      <c r="AX535" s="562"/>
      <c r="AY535" s="562"/>
      <c r="AZ535" s="562"/>
      <c r="BA535" s="562"/>
      <c r="BB535" s="563"/>
      <c r="BD535" s="581" t="s">
        <v>1132</v>
      </c>
      <c r="BE535" s="582"/>
      <c r="BF535" s="566"/>
      <c r="BG535" s="565"/>
      <c r="BH535" s="565"/>
      <c r="BI535" s="565"/>
      <c r="BJ535" s="565"/>
      <c r="BK535" s="565"/>
      <c r="BL535" s="565"/>
      <c r="BM535" s="565"/>
      <c r="BN535" s="566"/>
      <c r="BO535" s="603"/>
      <c r="BP535" s="581" t="s">
        <v>1133</v>
      </c>
      <c r="BQ535" s="604"/>
      <c r="BR535" s="604"/>
      <c r="BS535" s="566"/>
      <c r="BT535" s="576"/>
      <c r="BU535" s="566"/>
    </row>
    <row r="536" spans="16:78" s="560" customFormat="1">
      <c r="P536" s="561"/>
      <c r="Q536" s="562"/>
      <c r="R536" s="562">
        <v>0.4</v>
      </c>
      <c r="S536" s="562"/>
      <c r="T536" s="562"/>
      <c r="U536" s="562"/>
      <c r="V536" s="562"/>
      <c r="W536" s="562"/>
      <c r="X536" s="562"/>
      <c r="Y536" s="562"/>
      <c r="Z536" s="562"/>
      <c r="AA536" s="562"/>
      <c r="AB536" s="562"/>
      <c r="AC536" s="562"/>
      <c r="AD536" s="563"/>
      <c r="AE536" s="561"/>
      <c r="AF536" s="562"/>
      <c r="AG536" s="562"/>
      <c r="AH536" s="562"/>
      <c r="AI536" s="562"/>
      <c r="AJ536" s="562"/>
      <c r="AK536" s="562"/>
      <c r="AL536" s="562"/>
      <c r="AM536" s="562"/>
      <c r="AN536" s="562"/>
      <c r="AO536" s="562"/>
      <c r="AP536" s="562"/>
      <c r="AQ536" s="562"/>
      <c r="AR536" s="562"/>
      <c r="AS536" s="562"/>
      <c r="AT536" s="562"/>
      <c r="AU536" s="562"/>
      <c r="AV536" s="562"/>
      <c r="AW536" s="562"/>
      <c r="AX536" s="562"/>
      <c r="AY536" s="562"/>
      <c r="AZ536" s="562"/>
      <c r="BA536" s="562"/>
      <c r="BB536" s="563"/>
      <c r="BC536" s="585" t="s">
        <v>510</v>
      </c>
      <c r="BD536" s="586" t="s">
        <v>755</v>
      </c>
      <c r="BE536" s="586" t="s">
        <v>756</v>
      </c>
      <c r="BF536" s="615" t="s">
        <v>757</v>
      </c>
      <c r="BG536" s="615" t="s">
        <v>758</v>
      </c>
      <c r="BH536" s="615" t="s">
        <v>765</v>
      </c>
      <c r="BI536" s="615" t="s">
        <v>766</v>
      </c>
      <c r="BJ536" s="616" t="s">
        <v>767</v>
      </c>
      <c r="BK536" s="617" t="s">
        <v>768</v>
      </c>
      <c r="BL536" s="586" t="s">
        <v>759</v>
      </c>
      <c r="BM536" s="618" t="s">
        <v>769</v>
      </c>
      <c r="BN536" s="586" t="s">
        <v>760</v>
      </c>
      <c r="BO536" s="619" t="s">
        <v>770</v>
      </c>
      <c r="BP536" s="619" t="s">
        <v>771</v>
      </c>
      <c r="BQ536" s="620" t="s">
        <v>772</v>
      </c>
      <c r="BR536" s="620" t="s">
        <v>773</v>
      </c>
      <c r="BS536" s="586" t="s">
        <v>761</v>
      </c>
      <c r="BT536" s="586" t="s">
        <v>762</v>
      </c>
      <c r="BU536" s="586" t="s">
        <v>763</v>
      </c>
      <c r="BY536" s="586" t="s">
        <v>764</v>
      </c>
      <c r="BZ536" s="576"/>
    </row>
    <row r="537" spans="16:78" s="560" customFormat="1">
      <c r="P537" s="561"/>
      <c r="Q537" s="562"/>
      <c r="R537" s="562">
        <f>COUNT(R490:R536)</f>
        <v>45</v>
      </c>
      <c r="S537" s="562"/>
      <c r="T537" s="562"/>
      <c r="U537" s="562"/>
      <c r="V537" s="562"/>
      <c r="W537" s="562"/>
      <c r="X537" s="562"/>
      <c r="Y537" s="562"/>
      <c r="Z537" s="562"/>
      <c r="AA537" s="562"/>
      <c r="AB537" s="562"/>
      <c r="AC537" s="562"/>
      <c r="AD537" s="563"/>
      <c r="AE537" s="561"/>
      <c r="AF537" s="562"/>
      <c r="AG537" s="562"/>
      <c r="AH537" s="562"/>
      <c r="AI537" s="562"/>
      <c r="AJ537" s="562"/>
      <c r="AK537" s="562"/>
      <c r="AL537" s="562"/>
      <c r="AM537" s="562"/>
      <c r="AN537" s="562"/>
      <c r="AO537" s="562"/>
      <c r="AP537" s="562"/>
      <c r="AQ537" s="562"/>
      <c r="AR537" s="562"/>
      <c r="AS537" s="562"/>
      <c r="AT537" s="562"/>
      <c r="AU537" s="562"/>
      <c r="AV537" s="562"/>
      <c r="AW537" s="562"/>
      <c r="AX537" s="562"/>
      <c r="AY537" s="562"/>
      <c r="AZ537" s="562"/>
      <c r="BA537" s="562"/>
      <c r="BB537" s="563"/>
      <c r="BD537" s="565">
        <v>1</v>
      </c>
      <c r="BF537" s="576"/>
      <c r="BG537" s="576"/>
      <c r="BH537" s="576"/>
      <c r="BI537" s="576">
        <v>1</v>
      </c>
      <c r="BJ537" s="576"/>
      <c r="BK537" s="576"/>
      <c r="BL537" s="560">
        <v>2.5</v>
      </c>
      <c r="BM537" s="560">
        <f>BL537+BL537</f>
        <v>5</v>
      </c>
      <c r="BN537" s="652" t="s">
        <v>1134</v>
      </c>
      <c r="BO537" s="611">
        <v>3.3000000000000003</v>
      </c>
      <c r="BP537" s="611">
        <f>BM537-BO537</f>
        <v>1.6999999999999997</v>
      </c>
      <c r="BQ537" s="612"/>
      <c r="BR537" s="612">
        <v>1</v>
      </c>
      <c r="BS537" s="576" t="s">
        <v>778</v>
      </c>
      <c r="BT537" s="622"/>
      <c r="BY537" s="576"/>
      <c r="BZ537" s="576"/>
    </row>
    <row r="538" spans="16:78" s="560" customFormat="1">
      <c r="P538" s="567">
        <v>41148</v>
      </c>
      <c r="Q538" s="568" t="s">
        <v>725</v>
      </c>
      <c r="R538" s="568"/>
      <c r="S538" s="568" t="s">
        <v>832</v>
      </c>
      <c r="T538" s="569" t="s">
        <v>727</v>
      </c>
      <c r="U538" s="569" t="s">
        <v>728</v>
      </c>
      <c r="V538" s="569" t="s">
        <v>729</v>
      </c>
      <c r="W538" s="569" t="s">
        <v>730</v>
      </c>
      <c r="X538" s="569" t="s">
        <v>731</v>
      </c>
      <c r="Y538" s="568"/>
      <c r="Z538" s="562"/>
      <c r="AA538" s="562"/>
      <c r="AB538" s="562"/>
      <c r="AC538" s="562"/>
      <c r="AD538" s="563"/>
      <c r="AE538" s="561"/>
      <c r="AF538" s="562"/>
      <c r="AG538" s="562"/>
      <c r="AH538" s="562"/>
      <c r="AI538" s="562"/>
      <c r="AJ538" s="562"/>
      <c r="AK538" s="562"/>
      <c r="AL538" s="562"/>
      <c r="AM538" s="562"/>
      <c r="AN538" s="562"/>
      <c r="AO538" s="562"/>
      <c r="AP538" s="562"/>
      <c r="AQ538" s="562"/>
      <c r="AR538" s="562"/>
      <c r="AS538" s="562"/>
      <c r="AT538" s="562"/>
      <c r="AU538" s="562"/>
      <c r="AV538" s="562"/>
      <c r="AW538" s="562"/>
      <c r="AX538" s="562"/>
      <c r="AY538" s="562"/>
      <c r="AZ538" s="562"/>
      <c r="BA538" s="562"/>
      <c r="BB538" s="563"/>
      <c r="BD538" s="565">
        <v>2</v>
      </c>
      <c r="BF538" s="576">
        <v>1.3</v>
      </c>
      <c r="BG538" s="576" t="s">
        <v>778</v>
      </c>
      <c r="BH538" s="576">
        <v>1</v>
      </c>
      <c r="BI538" s="576"/>
      <c r="BJ538" s="576"/>
      <c r="BK538" s="576"/>
      <c r="BL538" s="560">
        <v>2</v>
      </c>
      <c r="BM538" s="560">
        <f>BL538+BL538</f>
        <v>4</v>
      </c>
      <c r="BN538" s="652" t="s">
        <v>1134</v>
      </c>
      <c r="BO538" s="611">
        <v>3.2945945945945949</v>
      </c>
      <c r="BP538" s="611">
        <f>BM538-BO538</f>
        <v>0.70540540540540508</v>
      </c>
      <c r="BQ538" s="612"/>
      <c r="BR538" s="612">
        <v>1</v>
      </c>
      <c r="BS538" s="576" t="s">
        <v>778</v>
      </c>
      <c r="BT538" s="624">
        <v>774</v>
      </c>
      <c r="BY538" s="585" t="s">
        <v>780</v>
      </c>
      <c r="BZ538" s="585" t="s">
        <v>616</v>
      </c>
    </row>
    <row r="539" spans="16:78" s="560" customFormat="1">
      <c r="P539" s="561"/>
      <c r="Q539" s="568"/>
      <c r="R539" s="568"/>
      <c r="S539" s="568"/>
      <c r="T539" s="569" t="s">
        <v>1086</v>
      </c>
      <c r="U539" s="569" t="s">
        <v>1135</v>
      </c>
      <c r="V539" s="577"/>
      <c r="W539" s="577"/>
      <c r="X539" s="569"/>
      <c r="Y539" s="578" t="s">
        <v>1136</v>
      </c>
      <c r="Z539" s="562"/>
      <c r="AA539" s="562"/>
      <c r="AB539" s="562"/>
      <c r="AC539" s="562"/>
      <c r="AD539" s="563"/>
      <c r="AE539" s="561"/>
      <c r="AF539" s="562"/>
      <c r="AG539" s="562"/>
      <c r="AH539" s="562"/>
      <c r="AI539" s="562"/>
      <c r="AJ539" s="562"/>
      <c r="AK539" s="562"/>
      <c r="AL539" s="562"/>
      <c r="AM539" s="562"/>
      <c r="AN539" s="562"/>
      <c r="AO539" s="562"/>
      <c r="AP539" s="562"/>
      <c r="AQ539" s="562"/>
      <c r="AR539" s="562"/>
      <c r="AS539" s="562"/>
      <c r="AT539" s="562"/>
      <c r="AU539" s="562"/>
      <c r="AV539" s="562"/>
      <c r="AW539" s="562"/>
      <c r="AX539" s="562"/>
      <c r="AY539" s="562"/>
      <c r="AZ539" s="562"/>
      <c r="BA539" s="562"/>
      <c r="BB539" s="563"/>
      <c r="BD539" s="560" t="s">
        <v>778</v>
      </c>
      <c r="BF539" s="576">
        <v>3</v>
      </c>
      <c r="BG539" s="576" t="s">
        <v>802</v>
      </c>
      <c r="BH539" s="576"/>
      <c r="BI539" s="576"/>
      <c r="BJ539" s="576">
        <v>1</v>
      </c>
      <c r="BK539" s="576"/>
      <c r="BN539" s="652"/>
      <c r="BO539" s="611"/>
      <c r="BP539" s="611"/>
      <c r="BQ539" s="612"/>
      <c r="BR539" s="612"/>
      <c r="BS539" s="576"/>
      <c r="BT539" s="622">
        <v>775</v>
      </c>
      <c r="BY539" s="585" t="s">
        <v>785</v>
      </c>
      <c r="BZ539" s="585" t="s">
        <v>542</v>
      </c>
    </row>
    <row r="540" spans="16:78" s="560" customFormat="1">
      <c r="P540" s="561" t="s">
        <v>587</v>
      </c>
      <c r="Q540" s="583" t="s">
        <v>1137</v>
      </c>
      <c r="R540" s="578"/>
      <c r="S540" s="569"/>
      <c r="T540" s="568"/>
      <c r="U540" s="568"/>
      <c r="V540" s="569"/>
      <c r="W540" s="569"/>
      <c r="X540" s="569"/>
      <c r="Y540" s="569"/>
      <c r="Z540" s="562"/>
      <c r="AA540" s="562"/>
      <c r="AB540" s="562"/>
      <c r="AC540" s="562"/>
      <c r="AD540" s="563"/>
      <c r="AE540" s="561"/>
      <c r="AF540" s="562"/>
      <c r="AG540" s="562"/>
      <c r="AH540" s="562"/>
      <c r="AI540" s="562"/>
      <c r="AJ540" s="562"/>
      <c r="AK540" s="562"/>
      <c r="AL540" s="562"/>
      <c r="AM540" s="562"/>
      <c r="AN540" s="562"/>
      <c r="AO540" s="562"/>
      <c r="AP540" s="562"/>
      <c r="AQ540" s="562"/>
      <c r="AR540" s="562"/>
      <c r="AS540" s="562"/>
      <c r="AT540" s="562"/>
      <c r="AU540" s="562"/>
      <c r="AV540" s="562"/>
      <c r="AW540" s="562"/>
      <c r="AX540" s="562"/>
      <c r="AY540" s="562"/>
      <c r="AZ540" s="562"/>
      <c r="BA540" s="562"/>
      <c r="BB540" s="563"/>
      <c r="BD540" s="565">
        <v>3</v>
      </c>
      <c r="BF540" s="576">
        <v>0.1</v>
      </c>
      <c r="BG540" s="576" t="s">
        <v>777</v>
      </c>
      <c r="BH540" s="576">
        <v>1</v>
      </c>
      <c r="BI540" s="576"/>
      <c r="BJ540" s="576"/>
      <c r="BK540" s="576"/>
      <c r="BL540" s="560">
        <v>2.2000000000000002</v>
      </c>
      <c r="BM540" s="560">
        <f t="shared" ref="BM540:BM547" si="85">BL540+BL540</f>
        <v>4.4000000000000004</v>
      </c>
      <c r="BN540" s="652" t="s">
        <v>1134</v>
      </c>
      <c r="BO540" s="611">
        <v>3.2837837837837842</v>
      </c>
      <c r="BP540" s="611">
        <f t="shared" ref="BP540:BP547" si="86">BM540-BO540</f>
        <v>1.1162162162162161</v>
      </c>
      <c r="BQ540" s="612"/>
      <c r="BR540" s="612">
        <v>1</v>
      </c>
      <c r="BS540" s="576" t="s">
        <v>778</v>
      </c>
      <c r="BT540" s="622">
        <v>773</v>
      </c>
      <c r="BY540" s="585" t="s">
        <v>789</v>
      </c>
      <c r="BZ540" s="585" t="s">
        <v>790</v>
      </c>
    </row>
    <row r="541" spans="16:78" s="560" customFormat="1">
      <c r="P541" s="587"/>
      <c r="Q541" s="588" t="s">
        <v>755</v>
      </c>
      <c r="R541" s="588" t="s">
        <v>756</v>
      </c>
      <c r="S541" s="588" t="s">
        <v>757</v>
      </c>
      <c r="T541" s="588" t="s">
        <v>758</v>
      </c>
      <c r="U541" s="588" t="s">
        <v>759</v>
      </c>
      <c r="V541" s="588" t="s">
        <v>760</v>
      </c>
      <c r="W541" s="588" t="s">
        <v>761</v>
      </c>
      <c r="X541" s="588" t="s">
        <v>762</v>
      </c>
      <c r="Y541" s="588" t="s">
        <v>763</v>
      </c>
      <c r="Z541" s="562"/>
      <c r="AA541" s="562"/>
      <c r="AB541" s="562"/>
      <c r="AC541" s="588" t="s">
        <v>764</v>
      </c>
      <c r="AD541" s="589"/>
      <c r="AE541" s="561"/>
      <c r="AF541" s="562"/>
      <c r="AG541" s="562"/>
      <c r="AH541" s="562"/>
      <c r="AI541" s="562"/>
      <c r="AJ541" s="562"/>
      <c r="AK541" s="562"/>
      <c r="AL541" s="562"/>
      <c r="AM541" s="562"/>
      <c r="AN541" s="562"/>
      <c r="AO541" s="562"/>
      <c r="AP541" s="562"/>
      <c r="AQ541" s="562"/>
      <c r="AR541" s="562"/>
      <c r="AS541" s="562"/>
      <c r="AT541" s="562"/>
      <c r="AU541" s="562"/>
      <c r="AV541" s="562"/>
      <c r="AW541" s="562"/>
      <c r="AX541" s="562"/>
      <c r="AY541" s="562"/>
      <c r="AZ541" s="562"/>
      <c r="BA541" s="562"/>
      <c r="BB541" s="563"/>
      <c r="BD541" s="565">
        <v>4</v>
      </c>
      <c r="BF541" s="576"/>
      <c r="BG541" s="576"/>
      <c r="BH541" s="576"/>
      <c r="BI541" s="576">
        <v>1</v>
      </c>
      <c r="BJ541" s="576"/>
      <c r="BK541" s="576"/>
      <c r="BL541" s="560">
        <v>1.9</v>
      </c>
      <c r="BM541" s="560">
        <f t="shared" si="85"/>
        <v>3.8</v>
      </c>
      <c r="BN541" s="652" t="s">
        <v>1134</v>
      </c>
      <c r="BO541" s="611">
        <v>3.2783783783783784</v>
      </c>
      <c r="BP541" s="611">
        <f t="shared" si="86"/>
        <v>0.5216216216216214</v>
      </c>
      <c r="BQ541" s="612"/>
      <c r="BR541" s="612">
        <v>1</v>
      </c>
      <c r="BS541" s="576" t="s">
        <v>778</v>
      </c>
      <c r="BT541" s="622"/>
      <c r="BY541" s="585" t="s">
        <v>791</v>
      </c>
      <c r="BZ541" s="585" t="s">
        <v>792</v>
      </c>
    </row>
    <row r="542" spans="16:78" s="560" customFormat="1">
      <c r="P542" s="561"/>
      <c r="Q542" s="568" t="s">
        <v>1138</v>
      </c>
      <c r="R542" s="562"/>
      <c r="S542" s="562">
        <v>0.1</v>
      </c>
      <c r="T542" s="562" t="s">
        <v>988</v>
      </c>
      <c r="U542" s="562"/>
      <c r="V542" s="562"/>
      <c r="W542" s="562"/>
      <c r="X542" s="629">
        <v>2480</v>
      </c>
      <c r="Y542" s="562"/>
      <c r="Z542" s="562"/>
      <c r="AA542" s="562"/>
      <c r="AB542" s="562"/>
      <c r="AC542" s="577"/>
      <c r="AD542" s="589"/>
      <c r="AE542" s="561"/>
      <c r="AF542" s="562"/>
      <c r="AG542" s="562"/>
      <c r="AH542" s="562"/>
      <c r="AI542" s="562"/>
      <c r="AJ542" s="562"/>
      <c r="AK542" s="562"/>
      <c r="AL542" s="562"/>
      <c r="AM542" s="562"/>
      <c r="AN542" s="562"/>
      <c r="AO542" s="562"/>
      <c r="AP542" s="562"/>
      <c r="AQ542" s="562"/>
      <c r="AR542" s="562"/>
      <c r="AS542" s="562"/>
      <c r="AT542" s="562"/>
      <c r="AU542" s="562"/>
      <c r="AV542" s="562"/>
      <c r="AW542" s="562"/>
      <c r="AX542" s="562"/>
      <c r="AY542" s="562"/>
      <c r="AZ542" s="562"/>
      <c r="BA542" s="562"/>
      <c r="BB542" s="563"/>
      <c r="BD542" s="565">
        <v>5</v>
      </c>
      <c r="BF542" s="576">
        <v>0.3</v>
      </c>
      <c r="BG542" s="576" t="s">
        <v>802</v>
      </c>
      <c r="BH542" s="576"/>
      <c r="BI542" s="576">
        <v>1</v>
      </c>
      <c r="BJ542" s="576">
        <v>1</v>
      </c>
      <c r="BK542" s="576"/>
      <c r="BL542" s="560">
        <v>2.1</v>
      </c>
      <c r="BM542" s="560">
        <f t="shared" si="85"/>
        <v>4.2</v>
      </c>
      <c r="BN542" s="652" t="s">
        <v>1134</v>
      </c>
      <c r="BO542" s="611">
        <v>3.2729729729729731</v>
      </c>
      <c r="BP542" s="611">
        <f t="shared" si="86"/>
        <v>0.92702702702702711</v>
      </c>
      <c r="BQ542" s="612"/>
      <c r="BR542" s="612">
        <v>1</v>
      </c>
      <c r="BS542" s="576" t="s">
        <v>778</v>
      </c>
      <c r="BT542" s="576">
        <v>772</v>
      </c>
      <c r="BY542" s="585" t="s">
        <v>794</v>
      </c>
      <c r="BZ542" s="585" t="s">
        <v>795</v>
      </c>
    </row>
    <row r="543" spans="16:78" s="560" customFormat="1">
      <c r="P543" s="561"/>
      <c r="Q543" s="568" t="s">
        <v>1139</v>
      </c>
      <c r="R543" s="568"/>
      <c r="S543" s="562">
        <v>0.3</v>
      </c>
      <c r="T543" s="562" t="s">
        <v>802</v>
      </c>
      <c r="U543" s="562"/>
      <c r="V543" s="562"/>
      <c r="W543" s="562"/>
      <c r="X543" s="629">
        <v>2481</v>
      </c>
      <c r="Y543" s="562"/>
      <c r="Z543" s="562"/>
      <c r="AA543" s="562"/>
      <c r="AB543" s="562"/>
      <c r="AC543" s="607" t="s">
        <v>780</v>
      </c>
      <c r="AD543" s="608" t="s">
        <v>616</v>
      </c>
      <c r="AE543" s="561"/>
      <c r="AF543" s="562"/>
      <c r="AG543" s="562"/>
      <c r="AH543" s="562"/>
      <c r="AI543" s="562"/>
      <c r="AJ543" s="562"/>
      <c r="AK543" s="562"/>
      <c r="AL543" s="562"/>
      <c r="AM543" s="562"/>
      <c r="AN543" s="562"/>
      <c r="AO543" s="562"/>
      <c r="AP543" s="562"/>
      <c r="AQ543" s="562"/>
      <c r="AR543" s="562"/>
      <c r="AS543" s="562"/>
      <c r="AT543" s="562"/>
      <c r="AU543" s="562"/>
      <c r="AV543" s="562"/>
      <c r="AW543" s="562"/>
      <c r="AX543" s="562"/>
      <c r="AY543" s="562"/>
      <c r="AZ543" s="562"/>
      <c r="BA543" s="562"/>
      <c r="BB543" s="563"/>
      <c r="BD543" s="565">
        <v>6</v>
      </c>
      <c r="BF543" s="576"/>
      <c r="BG543" s="576"/>
      <c r="BH543" s="576"/>
      <c r="BI543" s="576">
        <v>1</v>
      </c>
      <c r="BJ543" s="576"/>
      <c r="BK543" s="576"/>
      <c r="BL543" s="560">
        <v>1.5</v>
      </c>
      <c r="BM543" s="560">
        <f t="shared" si="85"/>
        <v>3</v>
      </c>
      <c r="BN543" s="652" t="s">
        <v>1140</v>
      </c>
      <c r="BO543" s="611">
        <v>2.5499999999999998</v>
      </c>
      <c r="BP543" s="611">
        <f t="shared" si="86"/>
        <v>0.45000000000000018</v>
      </c>
      <c r="BQ543" s="612">
        <v>1</v>
      </c>
      <c r="BR543" s="612"/>
      <c r="BS543" s="576" t="s">
        <v>778</v>
      </c>
      <c r="BT543" s="576"/>
      <c r="BU543" s="560" t="s">
        <v>889</v>
      </c>
      <c r="BY543" s="585" t="s">
        <v>798</v>
      </c>
      <c r="BZ543" s="585" t="s">
        <v>546</v>
      </c>
    </row>
    <row r="544" spans="16:78" s="560" customFormat="1">
      <c r="P544" s="561"/>
      <c r="Q544" s="568" t="s">
        <v>1096</v>
      </c>
      <c r="R544" s="562"/>
      <c r="S544" s="562">
        <v>0.2</v>
      </c>
      <c r="T544" s="562" t="s">
        <v>802</v>
      </c>
      <c r="U544" s="562"/>
      <c r="V544" s="562"/>
      <c r="W544" s="562"/>
      <c r="X544" s="629">
        <v>2482</v>
      </c>
      <c r="Y544" s="562"/>
      <c r="Z544" s="562"/>
      <c r="AA544" s="562"/>
      <c r="AB544" s="562"/>
      <c r="AC544" s="607" t="s">
        <v>785</v>
      </c>
      <c r="AD544" s="608" t="s">
        <v>542</v>
      </c>
      <c r="AE544" s="561"/>
      <c r="AF544" s="562"/>
      <c r="AG544" s="562"/>
      <c r="AH544" s="562"/>
      <c r="AI544" s="562"/>
      <c r="AJ544" s="562"/>
      <c r="AK544" s="562"/>
      <c r="AL544" s="562"/>
      <c r="AM544" s="562"/>
      <c r="AN544" s="562"/>
      <c r="AO544" s="562"/>
      <c r="AP544" s="562"/>
      <c r="AQ544" s="562"/>
      <c r="AR544" s="562"/>
      <c r="AS544" s="562"/>
      <c r="AT544" s="562"/>
      <c r="AU544" s="562"/>
      <c r="AV544" s="562"/>
      <c r="AW544" s="562"/>
      <c r="AX544" s="562"/>
      <c r="AY544" s="562"/>
      <c r="AZ544" s="562"/>
      <c r="BA544" s="562"/>
      <c r="BB544" s="563"/>
      <c r="BD544" s="565">
        <v>7</v>
      </c>
      <c r="BF544" s="576"/>
      <c r="BG544" s="576"/>
      <c r="BH544" s="576"/>
      <c r="BI544" s="576">
        <v>1</v>
      </c>
      <c r="BJ544" s="576"/>
      <c r="BK544" s="576"/>
      <c r="BL544" s="560">
        <v>1.5</v>
      </c>
      <c r="BM544" s="560">
        <f t="shared" si="85"/>
        <v>3</v>
      </c>
      <c r="BN544" s="652" t="s">
        <v>1140</v>
      </c>
      <c r="BO544" s="611">
        <v>2.5499999999999998</v>
      </c>
      <c r="BP544" s="611">
        <f t="shared" si="86"/>
        <v>0.45000000000000018</v>
      </c>
      <c r="BQ544" s="612">
        <v>1</v>
      </c>
      <c r="BR544" s="612"/>
      <c r="BS544" s="576" t="s">
        <v>778</v>
      </c>
      <c r="BT544" s="576"/>
      <c r="BY544" s="585" t="s">
        <v>800</v>
      </c>
      <c r="BZ544" s="585" t="s">
        <v>801</v>
      </c>
    </row>
    <row r="545" spans="16:78" s="560" customFormat="1">
      <c r="P545" s="561"/>
      <c r="Q545" s="562"/>
      <c r="R545" s="562"/>
      <c r="S545" s="562"/>
      <c r="T545" s="562"/>
      <c r="U545" s="562"/>
      <c r="V545" s="562"/>
      <c r="W545" s="562"/>
      <c r="X545" s="629"/>
      <c r="Y545" s="562"/>
      <c r="Z545" s="562"/>
      <c r="AA545" s="562"/>
      <c r="AB545" s="562"/>
      <c r="AC545" s="607" t="s">
        <v>789</v>
      </c>
      <c r="AD545" s="608" t="s">
        <v>790</v>
      </c>
      <c r="AE545" s="561"/>
      <c r="AF545" s="562"/>
      <c r="AG545" s="562"/>
      <c r="AH545" s="562"/>
      <c r="AI545" s="562"/>
      <c r="AJ545" s="562"/>
      <c r="AK545" s="562"/>
      <c r="AL545" s="562"/>
      <c r="AM545" s="562"/>
      <c r="AN545" s="562"/>
      <c r="AO545" s="562"/>
      <c r="AP545" s="562"/>
      <c r="AQ545" s="562"/>
      <c r="AR545" s="562"/>
      <c r="AS545" s="562"/>
      <c r="AT545" s="562"/>
      <c r="AU545" s="562"/>
      <c r="AV545" s="562"/>
      <c r="AW545" s="562"/>
      <c r="AX545" s="562"/>
      <c r="AY545" s="562"/>
      <c r="AZ545" s="562"/>
      <c r="BA545" s="562"/>
      <c r="BB545" s="563"/>
      <c r="BD545" s="565">
        <v>8</v>
      </c>
      <c r="BF545" s="576"/>
      <c r="BG545" s="576"/>
      <c r="BH545" s="576"/>
      <c r="BI545" s="576">
        <v>1</v>
      </c>
      <c r="BJ545" s="576"/>
      <c r="BK545" s="576"/>
      <c r="BL545" s="560">
        <v>2</v>
      </c>
      <c r="BM545" s="560">
        <f t="shared" si="85"/>
        <v>4</v>
      </c>
      <c r="BN545" s="652" t="s">
        <v>1134</v>
      </c>
      <c r="BO545" s="611">
        <v>3.256756756756757</v>
      </c>
      <c r="BP545" s="611">
        <f t="shared" si="86"/>
        <v>0.74324324324324298</v>
      </c>
      <c r="BQ545" s="612"/>
      <c r="BR545" s="612">
        <v>1</v>
      </c>
      <c r="BS545" s="576" t="s">
        <v>778</v>
      </c>
      <c r="BT545" s="576"/>
      <c r="BY545" s="585" t="s">
        <v>804</v>
      </c>
      <c r="BZ545" s="585" t="s">
        <v>805</v>
      </c>
    </row>
    <row r="546" spans="16:78" s="560" customFormat="1">
      <c r="P546" s="561"/>
      <c r="Q546" s="562"/>
      <c r="R546" s="562"/>
      <c r="S546" s="562">
        <f>SUM(S542:S545)</f>
        <v>0.60000000000000009</v>
      </c>
      <c r="T546" s="562"/>
      <c r="U546" s="562"/>
      <c r="V546" s="562"/>
      <c r="W546" s="562"/>
      <c r="X546" s="629"/>
      <c r="Y546" s="562"/>
      <c r="Z546" s="562"/>
      <c r="AA546" s="562"/>
      <c r="AB546" s="562"/>
      <c r="AC546" s="607" t="s">
        <v>791</v>
      </c>
      <c r="AD546" s="608" t="s">
        <v>792</v>
      </c>
      <c r="AE546" s="561"/>
      <c r="AF546" s="562"/>
      <c r="AG546" s="562"/>
      <c r="AH546" s="562"/>
      <c r="AI546" s="562"/>
      <c r="AJ546" s="562"/>
      <c r="AK546" s="562"/>
      <c r="AL546" s="562"/>
      <c r="AM546" s="562"/>
      <c r="AN546" s="562"/>
      <c r="AO546" s="562"/>
      <c r="AP546" s="562"/>
      <c r="AQ546" s="562"/>
      <c r="AR546" s="562"/>
      <c r="AS546" s="562"/>
      <c r="AT546" s="562"/>
      <c r="AU546" s="562"/>
      <c r="AV546" s="562"/>
      <c r="AW546" s="562"/>
      <c r="AX546" s="562"/>
      <c r="AY546" s="562"/>
      <c r="AZ546" s="562"/>
      <c r="BA546" s="562"/>
      <c r="BB546" s="563"/>
      <c r="BD546" s="565">
        <v>9</v>
      </c>
      <c r="BF546" s="576">
        <v>1</v>
      </c>
      <c r="BG546" s="576" t="s">
        <v>802</v>
      </c>
      <c r="BH546" s="576"/>
      <c r="BI546" s="576">
        <v>1</v>
      </c>
      <c r="BJ546" s="576">
        <v>1</v>
      </c>
      <c r="BK546" s="576"/>
      <c r="BL546" s="560">
        <v>2.1</v>
      </c>
      <c r="BM546" s="560">
        <f t="shared" si="85"/>
        <v>4.2</v>
      </c>
      <c r="BN546" s="652" t="s">
        <v>1134</v>
      </c>
      <c r="BO546" s="611">
        <v>3.2513513513513517</v>
      </c>
      <c r="BP546" s="611">
        <f t="shared" si="86"/>
        <v>0.94864864864864851</v>
      </c>
      <c r="BQ546" s="612"/>
      <c r="BR546" s="612">
        <v>1</v>
      </c>
      <c r="BS546" s="576" t="s">
        <v>778</v>
      </c>
      <c r="BT546" s="576">
        <v>771</v>
      </c>
      <c r="BY546" s="585" t="s">
        <v>807</v>
      </c>
      <c r="BZ546" s="585" t="s">
        <v>808</v>
      </c>
    </row>
    <row r="547" spans="16:78" s="560" customFormat="1">
      <c r="P547" s="561"/>
      <c r="Q547" s="562"/>
      <c r="R547" s="562"/>
      <c r="S547" s="562"/>
      <c r="T547" s="562"/>
      <c r="U547" s="562"/>
      <c r="V547" s="562"/>
      <c r="W547" s="562"/>
      <c r="X547" s="562"/>
      <c r="Y547" s="562"/>
      <c r="Z547" s="562"/>
      <c r="AA547" s="562"/>
      <c r="AB547" s="562"/>
      <c r="AC547" s="607" t="s">
        <v>794</v>
      </c>
      <c r="AD547" s="608" t="s">
        <v>795</v>
      </c>
      <c r="AE547" s="561"/>
      <c r="AF547" s="562"/>
      <c r="AG547" s="562"/>
      <c r="AH547" s="562"/>
      <c r="AI547" s="562"/>
      <c r="AJ547" s="562"/>
      <c r="AK547" s="562"/>
      <c r="AL547" s="562"/>
      <c r="AM547" s="562"/>
      <c r="AN547" s="562"/>
      <c r="AO547" s="562"/>
      <c r="AP547" s="562"/>
      <c r="AQ547" s="562"/>
      <c r="AR547" s="562"/>
      <c r="AS547" s="562"/>
      <c r="AT547" s="562"/>
      <c r="AU547" s="562"/>
      <c r="AV547" s="562"/>
      <c r="AW547" s="562"/>
      <c r="AX547" s="562"/>
      <c r="AY547" s="562"/>
      <c r="AZ547" s="562"/>
      <c r="BA547" s="562"/>
      <c r="BB547" s="563"/>
      <c r="BD547" s="565">
        <v>10</v>
      </c>
      <c r="BF547" s="576">
        <v>1.5</v>
      </c>
      <c r="BG547" s="576" t="s">
        <v>802</v>
      </c>
      <c r="BH547" s="576"/>
      <c r="BI547" s="576"/>
      <c r="BJ547" s="576">
        <v>1</v>
      </c>
      <c r="BK547" s="576"/>
      <c r="BL547" s="560">
        <v>2</v>
      </c>
      <c r="BM547" s="560">
        <f t="shared" si="85"/>
        <v>4</v>
      </c>
      <c r="BN547" s="652" t="s">
        <v>1134</v>
      </c>
      <c r="BO547" s="611">
        <v>3.2459459459459463</v>
      </c>
      <c r="BP547" s="611">
        <f t="shared" si="86"/>
        <v>0.75405405405405368</v>
      </c>
      <c r="BQ547" s="612"/>
      <c r="BR547" s="612">
        <v>1</v>
      </c>
      <c r="BS547" s="576" t="s">
        <v>778</v>
      </c>
      <c r="BT547" s="576">
        <v>770</v>
      </c>
      <c r="BY547" s="585" t="s">
        <v>810</v>
      </c>
      <c r="BZ547" s="585" t="s">
        <v>550</v>
      </c>
    </row>
    <row r="548" spans="16:78" s="560" customFormat="1">
      <c r="P548" s="561"/>
      <c r="Q548" s="562"/>
      <c r="R548" s="562"/>
      <c r="S548" s="562"/>
      <c r="T548" s="562"/>
      <c r="U548" s="562"/>
      <c r="V548" s="562"/>
      <c r="W548" s="562"/>
      <c r="X548" s="562"/>
      <c r="Y548" s="562"/>
      <c r="Z548" s="562"/>
      <c r="AA548" s="562"/>
      <c r="AB548" s="562"/>
      <c r="AC548" s="607" t="s">
        <v>798</v>
      </c>
      <c r="AD548" s="608" t="s">
        <v>546</v>
      </c>
      <c r="AE548" s="561"/>
      <c r="AF548" s="562"/>
      <c r="AG548" s="562"/>
      <c r="AH548" s="562"/>
      <c r="AI548" s="562"/>
      <c r="AJ548" s="562"/>
      <c r="AK548" s="562"/>
      <c r="AL548" s="562"/>
      <c r="AM548" s="562"/>
      <c r="AN548" s="562"/>
      <c r="AO548" s="562"/>
      <c r="AP548" s="562"/>
      <c r="AQ548" s="562"/>
      <c r="AR548" s="562"/>
      <c r="AS548" s="562"/>
      <c r="AT548" s="562"/>
      <c r="AU548" s="562"/>
      <c r="AV548" s="562"/>
      <c r="AW548" s="562"/>
      <c r="AX548" s="562"/>
      <c r="AY548" s="562"/>
      <c r="AZ548" s="562"/>
      <c r="BA548" s="562"/>
      <c r="BB548" s="563"/>
      <c r="BD548" s="560" t="s">
        <v>778</v>
      </c>
      <c r="BF548" s="576">
        <v>0.5</v>
      </c>
      <c r="BG548" s="576" t="s">
        <v>778</v>
      </c>
      <c r="BH548" s="576">
        <v>1</v>
      </c>
      <c r="BI548" s="576"/>
      <c r="BJ548" s="576"/>
      <c r="BK548" s="576"/>
      <c r="BN548" s="652"/>
      <c r="BO548" s="611"/>
      <c r="BP548" s="611"/>
      <c r="BQ548" s="612"/>
      <c r="BR548" s="612"/>
      <c r="BS548" s="576"/>
      <c r="BT548" s="576"/>
      <c r="BY548" s="585" t="s">
        <v>813</v>
      </c>
      <c r="BZ548" s="585" t="s">
        <v>552</v>
      </c>
    </row>
    <row r="549" spans="16:78" s="560" customFormat="1">
      <c r="P549" s="561"/>
      <c r="Q549" s="562"/>
      <c r="R549" s="562"/>
      <c r="S549" s="562"/>
      <c r="T549" s="562"/>
      <c r="U549" s="562"/>
      <c r="V549" s="562"/>
      <c r="W549" s="562"/>
      <c r="X549" s="562"/>
      <c r="Y549" s="562"/>
      <c r="Z549" s="562"/>
      <c r="AA549" s="562"/>
      <c r="AB549" s="562"/>
      <c r="AC549" s="607" t="s">
        <v>800</v>
      </c>
      <c r="AD549" s="608" t="s">
        <v>801</v>
      </c>
      <c r="AE549" s="561"/>
      <c r="AF549" s="562"/>
      <c r="AG549" s="562"/>
      <c r="AH549" s="562"/>
      <c r="AI549" s="562"/>
      <c r="AJ549" s="562"/>
      <c r="AK549" s="562"/>
      <c r="AL549" s="562"/>
      <c r="AM549" s="562"/>
      <c r="AN549" s="562"/>
      <c r="AO549" s="562"/>
      <c r="AP549" s="562"/>
      <c r="AQ549" s="562"/>
      <c r="AR549" s="562"/>
      <c r="AS549" s="562"/>
      <c r="AT549" s="562"/>
      <c r="AU549" s="562"/>
      <c r="AV549" s="562"/>
      <c r="AW549" s="562"/>
      <c r="AX549" s="562"/>
      <c r="AY549" s="562"/>
      <c r="AZ549" s="562"/>
      <c r="BA549" s="562"/>
      <c r="BB549" s="563"/>
      <c r="BD549" s="565">
        <v>11</v>
      </c>
      <c r="BF549" s="576">
        <v>0.2</v>
      </c>
      <c r="BG549" s="576" t="s">
        <v>778</v>
      </c>
      <c r="BH549" s="576">
        <v>1</v>
      </c>
      <c r="BI549" s="576"/>
      <c r="BJ549" s="576"/>
      <c r="BK549" s="576"/>
      <c r="BL549" s="560">
        <v>2.35</v>
      </c>
      <c r="BM549" s="560">
        <f>BL549+BL549</f>
        <v>4.7</v>
      </c>
      <c r="BN549" s="652" t="s">
        <v>1134</v>
      </c>
      <c r="BO549" s="611">
        <v>3.2351351351351356</v>
      </c>
      <c r="BP549" s="611">
        <f>BM549-BO549</f>
        <v>1.4648648648648646</v>
      </c>
      <c r="BQ549" s="612"/>
      <c r="BR549" s="612">
        <v>1</v>
      </c>
      <c r="BS549" s="576" t="s">
        <v>778</v>
      </c>
      <c r="BT549" s="576">
        <v>766</v>
      </c>
      <c r="BY549" s="585" t="s">
        <v>815</v>
      </c>
      <c r="BZ549" s="585" t="s">
        <v>816</v>
      </c>
    </row>
    <row r="550" spans="16:78" s="560" customFormat="1">
      <c r="P550" s="561"/>
      <c r="Q550" s="562"/>
      <c r="R550" s="562"/>
      <c r="S550" s="562"/>
      <c r="T550" s="562"/>
      <c r="U550" s="562"/>
      <c r="V550" s="562"/>
      <c r="W550" s="562"/>
      <c r="X550" s="562"/>
      <c r="Y550" s="562"/>
      <c r="Z550" s="562"/>
      <c r="AA550" s="562"/>
      <c r="AB550" s="562"/>
      <c r="AC550" s="607" t="s">
        <v>804</v>
      </c>
      <c r="AD550" s="608" t="s">
        <v>805</v>
      </c>
      <c r="AE550" s="561"/>
      <c r="AF550" s="562"/>
      <c r="AG550" s="562"/>
      <c r="AH550" s="562"/>
      <c r="AI550" s="562"/>
      <c r="AJ550" s="562"/>
      <c r="AK550" s="562"/>
      <c r="AL550" s="562"/>
      <c r="AM550" s="562"/>
      <c r="AN550" s="562"/>
      <c r="AO550" s="562"/>
      <c r="AP550" s="562"/>
      <c r="AQ550" s="562"/>
      <c r="AR550" s="562"/>
      <c r="AS550" s="562"/>
      <c r="AT550" s="562"/>
      <c r="AU550" s="562"/>
      <c r="AV550" s="562"/>
      <c r="AW550" s="562"/>
      <c r="AX550" s="562"/>
      <c r="AY550" s="562"/>
      <c r="AZ550" s="562"/>
      <c r="BA550" s="562"/>
      <c r="BB550" s="563"/>
      <c r="BD550" s="565">
        <v>12</v>
      </c>
      <c r="BF550" s="576"/>
      <c r="BG550" s="576"/>
      <c r="BH550" s="576"/>
      <c r="BI550" s="576">
        <v>1</v>
      </c>
      <c r="BJ550" s="576"/>
      <c r="BK550" s="576"/>
      <c r="BL550" s="560">
        <v>2.2999999999999998</v>
      </c>
      <c r="BM550" s="560">
        <f>BL550+BL550</f>
        <v>4.5999999999999996</v>
      </c>
      <c r="BN550" s="652" t="s">
        <v>1134</v>
      </c>
      <c r="BO550" s="611">
        <v>3.2297297297297298</v>
      </c>
      <c r="BP550" s="611">
        <f>BM550-BO550</f>
        <v>1.3702702702702698</v>
      </c>
      <c r="BQ550" s="612"/>
      <c r="BR550" s="612">
        <v>1</v>
      </c>
      <c r="BS550" s="576" t="s">
        <v>778</v>
      </c>
      <c r="BT550" s="576"/>
      <c r="BV550" s="627" t="s">
        <v>806</v>
      </c>
      <c r="BW550" s="627">
        <f>COUNT(BP537:BP574)</f>
        <v>31</v>
      </c>
    </row>
    <row r="551" spans="16:78" s="560" customFormat="1">
      <c r="P551" s="561"/>
      <c r="Q551" s="562"/>
      <c r="R551" s="562"/>
      <c r="S551" s="562"/>
      <c r="T551" s="562"/>
      <c r="U551" s="562"/>
      <c r="V551" s="562"/>
      <c r="W551" s="562"/>
      <c r="X551" s="562"/>
      <c r="Y551" s="562"/>
      <c r="Z551" s="562"/>
      <c r="AA551" s="562"/>
      <c r="AB551" s="562"/>
      <c r="AC551" s="607" t="s">
        <v>807</v>
      </c>
      <c r="AD551" s="608" t="s">
        <v>808</v>
      </c>
      <c r="AE551" s="561"/>
      <c r="AF551" s="562"/>
      <c r="AG551" s="562"/>
      <c r="AH551" s="562"/>
      <c r="AI551" s="562"/>
      <c r="AJ551" s="562"/>
      <c r="AK551" s="562"/>
      <c r="AL551" s="562"/>
      <c r="AM551" s="562"/>
      <c r="AN551" s="562"/>
      <c r="AO551" s="562"/>
      <c r="AP551" s="562"/>
      <c r="AQ551" s="562"/>
      <c r="AR551" s="562"/>
      <c r="AS551" s="562"/>
      <c r="AT551" s="562"/>
      <c r="AU551" s="562"/>
      <c r="AV551" s="562"/>
      <c r="AW551" s="562"/>
      <c r="AX551" s="562"/>
      <c r="AY551" s="562"/>
      <c r="AZ551" s="562"/>
      <c r="BA551" s="562"/>
      <c r="BB551" s="563"/>
      <c r="BD551" s="565">
        <v>13</v>
      </c>
      <c r="BF551" s="576"/>
      <c r="BG551" s="576"/>
      <c r="BH551" s="576"/>
      <c r="BI551" s="576">
        <v>1</v>
      </c>
      <c r="BJ551" s="576"/>
      <c r="BK551" s="576"/>
      <c r="BL551" s="560">
        <v>2</v>
      </c>
      <c r="BM551" s="560">
        <f>BL551+BL551</f>
        <v>4</v>
      </c>
      <c r="BN551" s="652" t="s">
        <v>1134</v>
      </c>
      <c r="BO551" s="611">
        <v>3.2243243243243245</v>
      </c>
      <c r="BP551" s="611">
        <f>BM551-BO551</f>
        <v>0.77567567567567552</v>
      </c>
      <c r="BQ551" s="612"/>
      <c r="BR551" s="612">
        <v>1</v>
      </c>
      <c r="BS551" s="576" t="s">
        <v>778</v>
      </c>
      <c r="BT551" s="576"/>
      <c r="BV551" s="627" t="s">
        <v>812</v>
      </c>
      <c r="BW551" s="628">
        <f>SUM(BP537:BP574)</f>
        <v>33.248648648648633</v>
      </c>
    </row>
    <row r="552" spans="16:78" s="560" customFormat="1">
      <c r="P552" s="561"/>
      <c r="Q552" s="562"/>
      <c r="R552" s="562"/>
      <c r="S552" s="562"/>
      <c r="T552" s="562"/>
      <c r="U552" s="562"/>
      <c r="V552" s="562"/>
      <c r="W552" s="562"/>
      <c r="X552" s="562"/>
      <c r="Y552" s="562"/>
      <c r="Z552" s="562"/>
      <c r="AA552" s="562"/>
      <c r="AB552" s="562"/>
      <c r="AC552" s="607" t="s">
        <v>810</v>
      </c>
      <c r="AD552" s="608" t="s">
        <v>550</v>
      </c>
      <c r="AE552" s="561"/>
      <c r="AF552" s="562"/>
      <c r="AG552" s="562"/>
      <c r="AH552" s="562"/>
      <c r="AI552" s="562"/>
      <c r="AJ552" s="562"/>
      <c r="AK552" s="562"/>
      <c r="AL552" s="562"/>
      <c r="AM552" s="562"/>
      <c r="AN552" s="562"/>
      <c r="AO552" s="562"/>
      <c r="AP552" s="562"/>
      <c r="AQ552" s="562"/>
      <c r="AR552" s="562"/>
      <c r="AS552" s="562"/>
      <c r="AT552" s="562"/>
      <c r="AU552" s="562"/>
      <c r="AV552" s="562"/>
      <c r="AW552" s="562"/>
      <c r="AX552" s="562"/>
      <c r="AY552" s="562"/>
      <c r="AZ552" s="562"/>
      <c r="BA552" s="562"/>
      <c r="BB552" s="563"/>
      <c r="BD552" s="565">
        <v>14</v>
      </c>
      <c r="BF552" s="576">
        <v>0.6</v>
      </c>
      <c r="BG552" s="576" t="s">
        <v>802</v>
      </c>
      <c r="BH552" s="576"/>
      <c r="BI552" s="576"/>
      <c r="BJ552" s="576">
        <v>1</v>
      </c>
      <c r="BK552" s="576"/>
      <c r="BL552" s="560">
        <v>2.2999999999999998</v>
      </c>
      <c r="BM552" s="560">
        <f>BL552+BL552</f>
        <v>4.5999999999999996</v>
      </c>
      <c r="BN552" s="652" t="s">
        <v>1134</v>
      </c>
      <c r="BO552" s="611">
        <v>3.2189189189189191</v>
      </c>
      <c r="BP552" s="611">
        <f>BM552-BO552</f>
        <v>1.3810810810810805</v>
      </c>
      <c r="BQ552" s="612"/>
      <c r="BR552" s="612">
        <v>1</v>
      </c>
      <c r="BS552" s="576" t="s">
        <v>778</v>
      </c>
      <c r="BT552" s="576">
        <v>765</v>
      </c>
      <c r="BU552" s="560" t="s">
        <v>889</v>
      </c>
      <c r="BV552" s="627" t="s">
        <v>811</v>
      </c>
      <c r="BW552" s="628">
        <f>MAX(BP537:BP574)</f>
        <v>4.0135135135135132</v>
      </c>
    </row>
    <row r="553" spans="16:78" s="560" customFormat="1">
      <c r="P553" s="561"/>
      <c r="Q553" s="562"/>
      <c r="R553" s="562"/>
      <c r="S553" s="562"/>
      <c r="T553" s="562"/>
      <c r="U553" s="562"/>
      <c r="V553" s="562"/>
      <c r="W553" s="562"/>
      <c r="X553" s="562"/>
      <c r="Y553" s="562"/>
      <c r="Z553" s="562"/>
      <c r="AA553" s="562"/>
      <c r="AB553" s="562"/>
      <c r="AC553" s="607" t="s">
        <v>813</v>
      </c>
      <c r="AD553" s="608" t="s">
        <v>552</v>
      </c>
      <c r="AE553" s="561"/>
      <c r="AF553" s="562"/>
      <c r="AG553" s="562"/>
      <c r="AH553" s="562"/>
      <c r="AI553" s="562"/>
      <c r="AJ553" s="562"/>
      <c r="AK553" s="562"/>
      <c r="AL553" s="562"/>
      <c r="AM553" s="562"/>
      <c r="AN553" s="562"/>
      <c r="AO553" s="562"/>
      <c r="AP553" s="562"/>
      <c r="AQ553" s="562"/>
      <c r="AR553" s="562"/>
      <c r="AS553" s="562"/>
      <c r="AT553" s="562"/>
      <c r="AU553" s="562"/>
      <c r="AV553" s="562"/>
      <c r="AW553" s="562"/>
      <c r="AX553" s="562"/>
      <c r="AY553" s="562"/>
      <c r="AZ553" s="562"/>
      <c r="BA553" s="562"/>
      <c r="BB553" s="563"/>
      <c r="BD553" s="560" t="s">
        <v>778</v>
      </c>
      <c r="BF553" s="576">
        <v>0.25</v>
      </c>
      <c r="BG553" s="576" t="s">
        <v>778</v>
      </c>
      <c r="BH553" s="576">
        <v>1</v>
      </c>
      <c r="BI553" s="576"/>
      <c r="BJ553" s="576"/>
      <c r="BK553" s="576"/>
      <c r="BO553" s="611"/>
      <c r="BP553" s="605"/>
      <c r="BQ553" s="658"/>
      <c r="BR553" s="658"/>
      <c r="BT553" s="576"/>
      <c r="BV553" s="627" t="s">
        <v>814</v>
      </c>
      <c r="BW553" s="628">
        <f>MIN(BP537:BP574)</f>
        <v>0.20810810810810754</v>
      </c>
    </row>
    <row r="554" spans="16:78" s="560" customFormat="1">
      <c r="P554" s="561"/>
      <c r="Q554" s="562"/>
      <c r="R554" s="562"/>
      <c r="S554" s="562"/>
      <c r="T554" s="562"/>
      <c r="U554" s="562"/>
      <c r="V554" s="562"/>
      <c r="W554" s="562"/>
      <c r="X554" s="562"/>
      <c r="Y554" s="562"/>
      <c r="Z554" s="562"/>
      <c r="AA554" s="562"/>
      <c r="AB554" s="562"/>
      <c r="AC554" s="607" t="s">
        <v>815</v>
      </c>
      <c r="AD554" s="608" t="s">
        <v>816</v>
      </c>
      <c r="AE554" s="561"/>
      <c r="AF554" s="562"/>
      <c r="AG554" s="562"/>
      <c r="AH554" s="562"/>
      <c r="AI554" s="562"/>
      <c r="AJ554" s="562"/>
      <c r="AK554" s="562"/>
      <c r="AL554" s="562"/>
      <c r="AM554" s="562"/>
      <c r="AN554" s="562"/>
      <c r="AO554" s="562"/>
      <c r="AP554" s="562"/>
      <c r="AQ554" s="562"/>
      <c r="AR554" s="562"/>
      <c r="AS554" s="562"/>
      <c r="AT554" s="562"/>
      <c r="AU554" s="562"/>
      <c r="AV554" s="562"/>
      <c r="AW554" s="562"/>
      <c r="AX554" s="562"/>
      <c r="AY554" s="562"/>
      <c r="AZ554" s="562"/>
      <c r="BA554" s="562"/>
      <c r="BB554" s="563"/>
      <c r="BD554" s="560">
        <v>15</v>
      </c>
      <c r="BF554" s="576">
        <v>0.2</v>
      </c>
      <c r="BG554" s="576" t="s">
        <v>778</v>
      </c>
      <c r="BH554" s="576">
        <v>1</v>
      </c>
      <c r="BI554" s="576"/>
      <c r="BJ554" s="576"/>
      <c r="BK554" s="576"/>
      <c r="BL554" s="560">
        <v>3</v>
      </c>
      <c r="BM554" s="560">
        <f>BL554+BL554</f>
        <v>6</v>
      </c>
      <c r="BN554" s="652" t="s">
        <v>1141</v>
      </c>
      <c r="BO554" s="611">
        <v>3.9</v>
      </c>
      <c r="BP554" s="611">
        <f>BM554-BO554</f>
        <v>2.1</v>
      </c>
      <c r="BQ554" s="612">
        <v>1</v>
      </c>
      <c r="BR554" s="612"/>
      <c r="BS554" s="576" t="s">
        <v>778</v>
      </c>
      <c r="BT554" s="576"/>
      <c r="BV554" s="627" t="s">
        <v>817</v>
      </c>
      <c r="BW554" s="628">
        <f>AVERAGE(BP537:BP574)</f>
        <v>1.072537053182214</v>
      </c>
    </row>
    <row r="555" spans="16:78" s="560" customFormat="1">
      <c r="P555" s="561"/>
      <c r="Q555" s="562"/>
      <c r="R555" s="562"/>
      <c r="S555" s="562"/>
      <c r="T555" s="562"/>
      <c r="U555" s="562"/>
      <c r="V555" s="562"/>
      <c r="W555" s="562"/>
      <c r="X555" s="562"/>
      <c r="Y555" s="562"/>
      <c r="Z555" s="562"/>
      <c r="AA555" s="562"/>
      <c r="AB555" s="562"/>
      <c r="AC555" s="562"/>
      <c r="AD555" s="563"/>
      <c r="AE555" s="561"/>
      <c r="AF555" s="562"/>
      <c r="AG555" s="562"/>
      <c r="AH555" s="562"/>
      <c r="AI555" s="562"/>
      <c r="AJ555" s="562"/>
      <c r="AK555" s="562"/>
      <c r="AL555" s="562"/>
      <c r="AM555" s="562"/>
      <c r="AN555" s="562"/>
      <c r="AO555" s="562"/>
      <c r="AP555" s="562"/>
      <c r="AQ555" s="562"/>
      <c r="AR555" s="562"/>
      <c r="AS555" s="562"/>
      <c r="AT555" s="562"/>
      <c r="AU555" s="562"/>
      <c r="AV555" s="562"/>
      <c r="AW555" s="562"/>
      <c r="AX555" s="562"/>
      <c r="AY555" s="562"/>
      <c r="AZ555" s="562"/>
      <c r="BA555" s="562"/>
      <c r="BB555" s="563"/>
      <c r="BD555" s="560" t="s">
        <v>778</v>
      </c>
      <c r="BF555" s="576">
        <v>1.3</v>
      </c>
      <c r="BG555" s="576" t="s">
        <v>802</v>
      </c>
      <c r="BH555" s="576"/>
      <c r="BI555" s="576"/>
      <c r="BJ555" s="576">
        <v>1</v>
      </c>
      <c r="BK555" s="576"/>
      <c r="BO555" s="611"/>
      <c r="BP555" s="605"/>
      <c r="BQ555" s="658"/>
      <c r="BR555" s="658"/>
      <c r="BT555" s="576">
        <v>763</v>
      </c>
      <c r="BV555" s="627" t="s">
        <v>818</v>
      </c>
      <c r="BW555" s="627" t="e">
        <f ca="1">_xlfn.STDEV.S(BP537:BP574)</f>
        <v>#NAME?</v>
      </c>
    </row>
    <row r="556" spans="16:78" s="560" customFormat="1">
      <c r="P556" s="567">
        <v>41158</v>
      </c>
      <c r="Q556" s="568" t="s">
        <v>725</v>
      </c>
      <c r="R556" s="568"/>
      <c r="S556" s="568" t="s">
        <v>891</v>
      </c>
      <c r="T556" s="569" t="s">
        <v>727</v>
      </c>
      <c r="U556" s="569" t="s">
        <v>728</v>
      </c>
      <c r="V556" s="569" t="s">
        <v>729</v>
      </c>
      <c r="W556" s="569" t="s">
        <v>730</v>
      </c>
      <c r="X556" s="569" t="s">
        <v>731</v>
      </c>
      <c r="Y556" s="568"/>
      <c r="Z556" s="562"/>
      <c r="AA556" s="562"/>
      <c r="AB556" s="562"/>
      <c r="AC556" s="562"/>
      <c r="AD556" s="563"/>
      <c r="AE556" s="561"/>
      <c r="AF556" s="562"/>
      <c r="AG556" s="562"/>
      <c r="AH556" s="562"/>
      <c r="AI556" s="562"/>
      <c r="AJ556" s="562"/>
      <c r="AK556" s="562"/>
      <c r="AL556" s="562"/>
      <c r="AM556" s="562"/>
      <c r="AN556" s="562"/>
      <c r="AO556" s="562"/>
      <c r="AP556" s="562"/>
      <c r="AQ556" s="562"/>
      <c r="AR556" s="562"/>
      <c r="AS556" s="562"/>
      <c r="AT556" s="562"/>
      <c r="AU556" s="562"/>
      <c r="AV556" s="562"/>
      <c r="AW556" s="562"/>
      <c r="AX556" s="562"/>
      <c r="AY556" s="562"/>
      <c r="AZ556" s="562"/>
      <c r="BA556" s="562"/>
      <c r="BB556" s="563"/>
      <c r="BD556" s="560" t="s">
        <v>856</v>
      </c>
      <c r="BF556" s="576">
        <v>3.2</v>
      </c>
      <c r="BG556" s="576" t="s">
        <v>828</v>
      </c>
      <c r="BH556" s="576"/>
      <c r="BI556" s="576"/>
      <c r="BJ556" s="576"/>
      <c r="BK556" s="576"/>
      <c r="BO556" s="611"/>
      <c r="BP556" s="605"/>
      <c r="BQ556" s="658"/>
      <c r="BR556" s="658"/>
      <c r="BT556" s="576">
        <v>764</v>
      </c>
    </row>
    <row r="557" spans="16:78" s="560" customFormat="1">
      <c r="P557" s="561"/>
      <c r="Q557" s="568"/>
      <c r="R557" s="568"/>
      <c r="S557" s="568"/>
      <c r="T557" s="569" t="s">
        <v>1086</v>
      </c>
      <c r="U557" s="569" t="s">
        <v>1135</v>
      </c>
      <c r="V557" s="577"/>
      <c r="W557" s="577"/>
      <c r="X557" s="569"/>
      <c r="Y557" s="578" t="s">
        <v>1136</v>
      </c>
      <c r="Z557" s="562"/>
      <c r="AA557" s="562"/>
      <c r="AB557" s="562"/>
      <c r="AC557" s="562"/>
      <c r="AD557" s="563"/>
      <c r="AE557" s="561"/>
      <c r="AF557" s="562"/>
      <c r="AG557" s="562"/>
      <c r="AH557" s="562"/>
      <c r="AI557" s="562"/>
      <c r="AJ557" s="562"/>
      <c r="AK557" s="562"/>
      <c r="AL557" s="562"/>
      <c r="AM557" s="562"/>
      <c r="AN557" s="562"/>
      <c r="AO557" s="562"/>
      <c r="AP557" s="562"/>
      <c r="AQ557" s="562"/>
      <c r="AR557" s="562"/>
      <c r="AS557" s="562"/>
      <c r="AT557" s="562"/>
      <c r="AU557" s="562"/>
      <c r="AV557" s="562"/>
      <c r="AW557" s="562"/>
      <c r="AX557" s="562"/>
      <c r="AY557" s="562"/>
      <c r="AZ557" s="562"/>
      <c r="BA557" s="562"/>
      <c r="BB557" s="563"/>
      <c r="BD557" s="560">
        <v>16</v>
      </c>
      <c r="BF557" s="576"/>
      <c r="BG557" s="576"/>
      <c r="BH557" s="576"/>
      <c r="BI557" s="576">
        <v>1</v>
      </c>
      <c r="BJ557" s="576"/>
      <c r="BK557" s="576"/>
      <c r="BL557" s="560">
        <v>1.7</v>
      </c>
      <c r="BM557" s="560">
        <f t="shared" ref="BM557:BM563" si="87">BL557+BL557</f>
        <v>3.4</v>
      </c>
      <c r="BN557" s="652" t="s">
        <v>1134</v>
      </c>
      <c r="BO557" s="611">
        <v>3.1918918918918924</v>
      </c>
      <c r="BP557" s="611">
        <f>BM557-BO557</f>
        <v>0.20810810810810754</v>
      </c>
      <c r="BQ557" s="612"/>
      <c r="BR557" s="612">
        <v>1</v>
      </c>
      <c r="BS557" s="576" t="s">
        <v>778</v>
      </c>
      <c r="BT557" s="576"/>
    </row>
    <row r="558" spans="16:78" s="560" customFormat="1">
      <c r="P558" s="561" t="s">
        <v>587</v>
      </c>
      <c r="Q558" s="583" t="s">
        <v>1142</v>
      </c>
      <c r="R558" s="578"/>
      <c r="S558" s="569"/>
      <c r="T558" s="568"/>
      <c r="U558" s="568"/>
      <c r="V558" s="569"/>
      <c r="W558" s="569"/>
      <c r="X558" s="569"/>
      <c r="Y558" s="569"/>
      <c r="Z558" s="562"/>
      <c r="AA558" s="562"/>
      <c r="AB558" s="562"/>
      <c r="AC558" s="562"/>
      <c r="AD558" s="563"/>
      <c r="AE558" s="561"/>
      <c r="AF558" s="562"/>
      <c r="AG558" s="562"/>
      <c r="AH558" s="562"/>
      <c r="AI558" s="562"/>
      <c r="AJ558" s="562"/>
      <c r="AK558" s="562"/>
      <c r="AL558" s="562"/>
      <c r="AM558" s="562"/>
      <c r="AN558" s="562"/>
      <c r="AO558" s="562"/>
      <c r="AP558" s="562"/>
      <c r="AQ558" s="562"/>
      <c r="AR558" s="562"/>
      <c r="AS558" s="562"/>
      <c r="AT558" s="562"/>
      <c r="AU558" s="562"/>
      <c r="AV558" s="562"/>
      <c r="AW558" s="562"/>
      <c r="AX558" s="562"/>
      <c r="AY558" s="562"/>
      <c r="AZ558" s="562"/>
      <c r="BA558" s="562"/>
      <c r="BB558" s="563"/>
      <c r="BD558" s="560">
        <v>17</v>
      </c>
      <c r="BF558" s="576">
        <v>1.8</v>
      </c>
      <c r="BG558" s="576" t="s">
        <v>802</v>
      </c>
      <c r="BH558" s="576"/>
      <c r="BI558" s="576">
        <v>1</v>
      </c>
      <c r="BJ558" s="576">
        <v>1</v>
      </c>
      <c r="BK558" s="576"/>
      <c r="BL558" s="560">
        <v>3.6</v>
      </c>
      <c r="BM558" s="560">
        <f t="shared" si="87"/>
        <v>7.2</v>
      </c>
      <c r="BN558" s="652" t="s">
        <v>1134</v>
      </c>
      <c r="BO558" s="611">
        <v>3.186486486486487</v>
      </c>
      <c r="BP558" s="611">
        <f>BM558-BO558</f>
        <v>4.0135135135135132</v>
      </c>
      <c r="BQ558" s="612"/>
      <c r="BR558" s="612">
        <v>1</v>
      </c>
      <c r="BS558" s="576" t="s">
        <v>778</v>
      </c>
      <c r="BT558" s="576"/>
    </row>
    <row r="559" spans="16:78" s="560" customFormat="1">
      <c r="P559" s="587"/>
      <c r="Q559" s="588" t="s">
        <v>755</v>
      </c>
      <c r="R559" s="588" t="s">
        <v>756</v>
      </c>
      <c r="S559" s="588" t="s">
        <v>757</v>
      </c>
      <c r="T559" s="588" t="s">
        <v>758</v>
      </c>
      <c r="U559" s="588" t="s">
        <v>759</v>
      </c>
      <c r="V559" s="588" t="s">
        <v>760</v>
      </c>
      <c r="W559" s="588" t="s">
        <v>761</v>
      </c>
      <c r="X559" s="588" t="s">
        <v>762</v>
      </c>
      <c r="Y559" s="588" t="s">
        <v>763</v>
      </c>
      <c r="Z559" s="562"/>
      <c r="AA559" s="562"/>
      <c r="AB559" s="562"/>
      <c r="AC559" s="588" t="s">
        <v>764</v>
      </c>
      <c r="AD559" s="589"/>
      <c r="AE559" s="561"/>
      <c r="AF559" s="562"/>
      <c r="AG559" s="562"/>
      <c r="AH559" s="562"/>
      <c r="AI559" s="562"/>
      <c r="AJ559" s="562"/>
      <c r="AK559" s="562"/>
      <c r="AL559" s="562"/>
      <c r="AM559" s="562"/>
      <c r="AN559" s="562"/>
      <c r="AO559" s="562"/>
      <c r="AP559" s="562"/>
      <c r="AQ559" s="562"/>
      <c r="AR559" s="562"/>
      <c r="AS559" s="562"/>
      <c r="AT559" s="562"/>
      <c r="AU559" s="562"/>
      <c r="AV559" s="562"/>
      <c r="AW559" s="562"/>
      <c r="AX559" s="562"/>
      <c r="AY559" s="562"/>
      <c r="AZ559" s="562"/>
      <c r="BA559" s="562"/>
      <c r="BB559" s="563"/>
      <c r="BD559" s="560">
        <v>18</v>
      </c>
      <c r="BF559" s="576">
        <v>18</v>
      </c>
      <c r="BG559" s="576" t="s">
        <v>802</v>
      </c>
      <c r="BH559" s="576"/>
      <c r="BI559" s="576">
        <v>1</v>
      </c>
      <c r="BJ559" s="576">
        <v>1</v>
      </c>
      <c r="BK559" s="576"/>
      <c r="BL559" s="560">
        <v>2.5</v>
      </c>
      <c r="BM559" s="560">
        <f t="shared" si="87"/>
        <v>5</v>
      </c>
      <c r="BN559" s="652" t="s">
        <v>1134</v>
      </c>
      <c r="BO559" s="611">
        <v>3.1810810810810817</v>
      </c>
      <c r="BP559" s="611">
        <f>BM559-BO559</f>
        <v>1.8189189189189183</v>
      </c>
      <c r="BQ559" s="612"/>
      <c r="BR559" s="612">
        <v>1</v>
      </c>
      <c r="BS559" s="576" t="s">
        <v>778</v>
      </c>
      <c r="BT559" s="576">
        <v>760</v>
      </c>
      <c r="BU559" s="560" t="s">
        <v>889</v>
      </c>
    </row>
    <row r="560" spans="16:78" s="560" customFormat="1">
      <c r="P560" s="561"/>
      <c r="Q560" s="568" t="s">
        <v>775</v>
      </c>
      <c r="R560" s="562"/>
      <c r="S560" s="562"/>
      <c r="T560" s="562"/>
      <c r="U560" s="562"/>
      <c r="V560" s="562"/>
      <c r="W560" s="562"/>
      <c r="X560" s="629"/>
      <c r="Y560" s="562"/>
      <c r="Z560" s="562"/>
      <c r="AA560" s="562"/>
      <c r="AB560" s="562"/>
      <c r="AC560" s="577"/>
      <c r="AD560" s="589"/>
      <c r="AE560" s="561"/>
      <c r="AF560" s="562"/>
      <c r="AG560" s="562"/>
      <c r="AH560" s="562"/>
      <c r="AI560" s="562"/>
      <c r="AJ560" s="562"/>
      <c r="AK560" s="562"/>
      <c r="AL560" s="562"/>
      <c r="AM560" s="562"/>
      <c r="AN560" s="562"/>
      <c r="AO560" s="562"/>
      <c r="AP560" s="562"/>
      <c r="AQ560" s="562"/>
      <c r="AR560" s="562"/>
      <c r="AS560" s="562"/>
      <c r="AT560" s="562"/>
      <c r="AU560" s="562"/>
      <c r="AV560" s="562"/>
      <c r="AW560" s="562"/>
      <c r="AX560" s="562"/>
      <c r="AY560" s="562"/>
      <c r="AZ560" s="562"/>
      <c r="BA560" s="562"/>
      <c r="BB560" s="563"/>
      <c r="BD560" s="560">
        <v>19</v>
      </c>
      <c r="BF560" s="576">
        <v>0.5</v>
      </c>
      <c r="BG560" s="576" t="s">
        <v>793</v>
      </c>
      <c r="BH560" s="576"/>
      <c r="BI560" s="576">
        <v>1</v>
      </c>
      <c r="BJ560" s="576"/>
      <c r="BK560" s="576">
        <v>1</v>
      </c>
      <c r="BL560" s="560">
        <v>2.6</v>
      </c>
      <c r="BM560" s="560">
        <f t="shared" si="87"/>
        <v>5.2</v>
      </c>
      <c r="BN560" s="652" t="s">
        <v>1141</v>
      </c>
      <c r="BO560" s="611"/>
      <c r="BP560" s="611"/>
      <c r="BQ560" s="612">
        <v>1</v>
      </c>
      <c r="BR560" s="612"/>
      <c r="BS560" s="576" t="s">
        <v>778</v>
      </c>
      <c r="BT560" s="576">
        <v>758</v>
      </c>
    </row>
    <row r="561" spans="17:73" s="560" customFormat="1">
      <c r="Q561" s="568"/>
      <c r="R561" s="568">
        <v>0.5</v>
      </c>
      <c r="S561" s="562"/>
      <c r="T561" s="562"/>
      <c r="U561" s="562"/>
      <c r="V561" s="562"/>
      <c r="W561" s="562"/>
      <c r="X561" s="629"/>
      <c r="Y561" s="562"/>
      <c r="Z561" s="562"/>
      <c r="AA561" s="562"/>
      <c r="AB561" s="562"/>
      <c r="AC561" s="607" t="s">
        <v>780</v>
      </c>
      <c r="AD561" s="608" t="s">
        <v>616</v>
      </c>
      <c r="AE561" s="561"/>
      <c r="AF561" s="562"/>
      <c r="AG561" s="562"/>
      <c r="AH561" s="562"/>
      <c r="AI561" s="562"/>
      <c r="AJ561" s="562"/>
      <c r="AK561" s="562"/>
      <c r="AL561" s="562"/>
      <c r="AM561" s="562"/>
      <c r="AN561" s="562"/>
      <c r="AO561" s="562"/>
      <c r="AP561" s="562"/>
      <c r="AQ561" s="562"/>
      <c r="AR561" s="562"/>
      <c r="AS561" s="562"/>
      <c r="AT561" s="562"/>
      <c r="AU561" s="562"/>
      <c r="AV561" s="562"/>
      <c r="AW561" s="562"/>
      <c r="AX561" s="562"/>
      <c r="AY561" s="562"/>
      <c r="AZ561" s="562"/>
      <c r="BA561" s="562"/>
      <c r="BB561" s="563"/>
      <c r="BD561" s="560">
        <v>20</v>
      </c>
      <c r="BF561" s="576"/>
      <c r="BG561" s="576"/>
      <c r="BH561" s="576"/>
      <c r="BI561" s="576">
        <v>1</v>
      </c>
      <c r="BJ561" s="576"/>
      <c r="BK561" s="576"/>
      <c r="BL561" s="560">
        <v>2.7</v>
      </c>
      <c r="BM561" s="560">
        <f t="shared" si="87"/>
        <v>5.4</v>
      </c>
      <c r="BN561" s="652" t="s">
        <v>1134</v>
      </c>
      <c r="BO561" s="611">
        <v>3.1702702702702705</v>
      </c>
      <c r="BP561" s="611">
        <f>BM561-BO561</f>
        <v>2.2297297297297298</v>
      </c>
      <c r="BQ561" s="612"/>
      <c r="BR561" s="612">
        <v>1</v>
      </c>
      <c r="BS561" s="576" t="s">
        <v>778</v>
      </c>
      <c r="BT561" s="576"/>
    </row>
    <row r="562" spans="17:73" s="560" customFormat="1">
      <c r="Q562" s="568"/>
      <c r="R562" s="562">
        <v>0.55000000000000004</v>
      </c>
      <c r="S562" s="562"/>
      <c r="T562" s="562"/>
      <c r="U562" s="562"/>
      <c r="V562" s="562"/>
      <c r="W562" s="562"/>
      <c r="X562" s="629"/>
      <c r="Y562" s="562"/>
      <c r="Z562" s="562"/>
      <c r="AA562" s="562"/>
      <c r="AB562" s="562"/>
      <c r="AC562" s="607" t="s">
        <v>785</v>
      </c>
      <c r="AD562" s="608" t="s">
        <v>542</v>
      </c>
      <c r="AE562" s="561"/>
      <c r="AF562" s="562"/>
      <c r="AG562" s="562"/>
      <c r="AH562" s="562"/>
      <c r="AI562" s="562"/>
      <c r="AJ562" s="562"/>
      <c r="AK562" s="562"/>
      <c r="AL562" s="562"/>
      <c r="AM562" s="562"/>
      <c r="AN562" s="562"/>
      <c r="AO562" s="562"/>
      <c r="AP562" s="562"/>
      <c r="AQ562" s="562"/>
      <c r="AR562" s="562"/>
      <c r="AS562" s="562"/>
      <c r="AT562" s="562"/>
      <c r="AU562" s="562"/>
      <c r="AV562" s="562"/>
      <c r="AW562" s="562"/>
      <c r="AX562" s="562"/>
      <c r="AY562" s="562"/>
      <c r="AZ562" s="562"/>
      <c r="BA562" s="562"/>
      <c r="BB562" s="563"/>
      <c r="BD562" s="560">
        <v>21</v>
      </c>
      <c r="BF562" s="576">
        <v>0.1</v>
      </c>
      <c r="BG562" s="576" t="s">
        <v>778</v>
      </c>
      <c r="BH562" s="576">
        <v>1</v>
      </c>
      <c r="BI562" s="576"/>
      <c r="BJ562" s="576"/>
      <c r="BK562" s="576"/>
      <c r="BL562" s="560">
        <v>2.2000000000000002</v>
      </c>
      <c r="BM562" s="560">
        <f t="shared" si="87"/>
        <v>4.4000000000000004</v>
      </c>
      <c r="BN562" s="652" t="s">
        <v>1134</v>
      </c>
      <c r="BO562" s="611">
        <v>3.1648648648648652</v>
      </c>
      <c r="BP562" s="611">
        <f>BM562-BO562</f>
        <v>1.2351351351351352</v>
      </c>
      <c r="BQ562" s="612"/>
      <c r="BR562" s="612">
        <v>1</v>
      </c>
      <c r="BS562" s="576" t="s">
        <v>778</v>
      </c>
      <c r="BT562" s="576">
        <v>757</v>
      </c>
    </row>
    <row r="563" spans="17:73" s="560" customFormat="1">
      <c r="Q563" s="562"/>
      <c r="R563" s="562">
        <v>0.4</v>
      </c>
      <c r="S563" s="562"/>
      <c r="T563" s="562"/>
      <c r="U563" s="562"/>
      <c r="V563" s="562"/>
      <c r="W563" s="562"/>
      <c r="X563" s="629"/>
      <c r="Y563" s="562"/>
      <c r="Z563" s="562"/>
      <c r="AA563" s="562"/>
      <c r="AB563" s="562"/>
      <c r="AC563" s="607" t="s">
        <v>789</v>
      </c>
      <c r="AD563" s="608" t="s">
        <v>790</v>
      </c>
      <c r="AE563" s="561"/>
      <c r="AF563" s="562"/>
      <c r="AG563" s="562"/>
      <c r="AH563" s="562"/>
      <c r="AI563" s="562"/>
      <c r="AJ563" s="562"/>
      <c r="AK563" s="562"/>
      <c r="AL563" s="562"/>
      <c r="AM563" s="562"/>
      <c r="AN563" s="562"/>
      <c r="AO563" s="562"/>
      <c r="AP563" s="562"/>
      <c r="AQ563" s="562"/>
      <c r="AR563" s="562"/>
      <c r="AS563" s="562"/>
      <c r="AT563" s="562"/>
      <c r="AU563" s="562"/>
      <c r="AV563" s="562"/>
      <c r="AW563" s="562"/>
      <c r="AX563" s="562"/>
      <c r="AY563" s="562"/>
      <c r="AZ563" s="562"/>
      <c r="BA563" s="562"/>
      <c r="BB563" s="563"/>
      <c r="BD563" s="560">
        <v>22</v>
      </c>
      <c r="BF563" s="576">
        <v>0.6</v>
      </c>
      <c r="BG563" s="576" t="s">
        <v>802</v>
      </c>
      <c r="BH563" s="576"/>
      <c r="BI563" s="576"/>
      <c r="BJ563" s="576">
        <v>1</v>
      </c>
      <c r="BK563" s="576"/>
      <c r="BL563" s="560">
        <v>1.9</v>
      </c>
      <c r="BM563" s="560">
        <f t="shared" si="87"/>
        <v>3.8</v>
      </c>
      <c r="BN563" s="652" t="s">
        <v>1134</v>
      </c>
      <c r="BO563" s="611">
        <v>3.1594594594594598</v>
      </c>
      <c r="BP563" s="611">
        <f>BM563-BO563</f>
        <v>0.64054054054053999</v>
      </c>
      <c r="BQ563" s="612"/>
      <c r="BR563" s="612">
        <v>1</v>
      </c>
      <c r="BS563" s="576" t="s">
        <v>778</v>
      </c>
      <c r="BT563" s="576">
        <v>756</v>
      </c>
    </row>
    <row r="564" spans="17:73" s="560" customFormat="1">
      <c r="Q564" s="562"/>
      <c r="R564" s="562">
        <v>0.45</v>
      </c>
      <c r="S564" s="562"/>
      <c r="T564" s="562"/>
      <c r="U564" s="562"/>
      <c r="V564" s="562"/>
      <c r="W564" s="562"/>
      <c r="X564" s="629"/>
      <c r="Y564" s="562"/>
      <c r="Z564" s="562"/>
      <c r="AA564" s="562"/>
      <c r="AB564" s="562"/>
      <c r="AC564" s="607" t="s">
        <v>791</v>
      </c>
      <c r="AD564" s="608" t="s">
        <v>792</v>
      </c>
      <c r="AE564" s="561"/>
      <c r="AF564" s="562"/>
      <c r="AG564" s="562"/>
      <c r="AH564" s="562"/>
      <c r="AI564" s="562"/>
      <c r="AJ564" s="562"/>
      <c r="AK564" s="562"/>
      <c r="AL564" s="562"/>
      <c r="AM564" s="562"/>
      <c r="AN564" s="562"/>
      <c r="AO564" s="562"/>
      <c r="AP564" s="562"/>
      <c r="AQ564" s="562"/>
      <c r="AR564" s="562"/>
      <c r="AS564" s="562"/>
      <c r="AT564" s="562"/>
      <c r="AU564" s="562"/>
      <c r="AV564" s="562"/>
      <c r="AW564" s="562"/>
      <c r="AX564" s="562"/>
      <c r="AY564" s="562"/>
      <c r="AZ564" s="562"/>
      <c r="BA564" s="562"/>
      <c r="BB564" s="563"/>
      <c r="BD564" s="560" t="s">
        <v>778</v>
      </c>
      <c r="BF564" s="576">
        <v>4</v>
      </c>
      <c r="BG564" s="576" t="s">
        <v>826</v>
      </c>
      <c r="BH564" s="576">
        <v>1</v>
      </c>
      <c r="BI564" s="576"/>
      <c r="BJ564" s="576"/>
      <c r="BK564" s="576"/>
      <c r="BO564" s="611"/>
      <c r="BP564" s="605"/>
      <c r="BQ564" s="658"/>
      <c r="BR564" s="658"/>
      <c r="BT564" s="576">
        <v>755</v>
      </c>
    </row>
    <row r="565" spans="17:73" s="560" customFormat="1">
      <c r="Q565" s="562"/>
      <c r="R565" s="562">
        <v>0.4</v>
      </c>
      <c r="S565" s="562"/>
      <c r="T565" s="562"/>
      <c r="U565" s="562"/>
      <c r="V565" s="562"/>
      <c r="W565" s="562"/>
      <c r="X565" s="562"/>
      <c r="Y565" s="562"/>
      <c r="Z565" s="562"/>
      <c r="AA565" s="562"/>
      <c r="AB565" s="562"/>
      <c r="AC565" s="607" t="s">
        <v>794</v>
      </c>
      <c r="AD565" s="608" t="s">
        <v>795</v>
      </c>
      <c r="AE565" s="561"/>
      <c r="AF565" s="562"/>
      <c r="AG565" s="562"/>
      <c r="AH565" s="562"/>
      <c r="AI565" s="562"/>
      <c r="AJ565" s="562"/>
      <c r="AK565" s="562"/>
      <c r="AL565" s="562"/>
      <c r="AM565" s="562"/>
      <c r="AN565" s="562"/>
      <c r="AO565" s="562"/>
      <c r="AP565" s="562"/>
      <c r="AQ565" s="562"/>
      <c r="AR565" s="562"/>
      <c r="AS565" s="562"/>
      <c r="AT565" s="562"/>
      <c r="AU565" s="562"/>
      <c r="AV565" s="562"/>
      <c r="AW565" s="562"/>
      <c r="AX565" s="562"/>
      <c r="AY565" s="562"/>
      <c r="AZ565" s="562"/>
      <c r="BA565" s="562"/>
      <c r="BB565" s="563"/>
      <c r="BD565" s="560">
        <v>23</v>
      </c>
      <c r="BF565" s="576"/>
      <c r="BG565" s="576"/>
      <c r="BH565" s="576"/>
      <c r="BI565" s="576">
        <v>1</v>
      </c>
      <c r="BJ565" s="576"/>
      <c r="BK565" s="576"/>
      <c r="BL565" s="560">
        <v>1.9</v>
      </c>
      <c r="BM565" s="560">
        <f t="shared" ref="BM565:BM574" si="88">BL565+BL565</f>
        <v>3.8</v>
      </c>
      <c r="BN565" s="652" t="s">
        <v>1134</v>
      </c>
      <c r="BO565" s="611">
        <v>3.1486486486486491</v>
      </c>
      <c r="BP565" s="611">
        <f t="shared" ref="BP565:BP574" si="89">BM565-BO565</f>
        <v>0.65135135135135069</v>
      </c>
      <c r="BQ565" s="612"/>
      <c r="BR565" s="612">
        <v>1</v>
      </c>
      <c r="BS565" s="576" t="s">
        <v>778</v>
      </c>
      <c r="BT565" s="576"/>
    </row>
    <row r="566" spans="17:73" s="560" customFormat="1">
      <c r="Q566" s="562"/>
      <c r="R566" s="562">
        <v>0.55000000000000004</v>
      </c>
      <c r="S566" s="562"/>
      <c r="T566" s="562"/>
      <c r="U566" s="562"/>
      <c r="V566" s="562"/>
      <c r="W566" s="562"/>
      <c r="X566" s="562"/>
      <c r="Y566" s="562"/>
      <c r="Z566" s="562"/>
      <c r="AA566" s="562"/>
      <c r="AB566" s="562"/>
      <c r="AC566" s="607" t="s">
        <v>798</v>
      </c>
      <c r="AD566" s="608" t="s">
        <v>546</v>
      </c>
      <c r="AE566" s="561"/>
      <c r="AF566" s="562"/>
      <c r="AG566" s="562"/>
      <c r="AH566" s="562"/>
      <c r="AI566" s="562"/>
      <c r="AJ566" s="562"/>
      <c r="AK566" s="562"/>
      <c r="AL566" s="562"/>
      <c r="AM566" s="562"/>
      <c r="AN566" s="562"/>
      <c r="AO566" s="562"/>
      <c r="AP566" s="562"/>
      <c r="AQ566" s="562"/>
      <c r="AR566" s="562"/>
      <c r="AS566" s="562"/>
      <c r="AT566" s="562"/>
      <c r="AU566" s="562"/>
      <c r="AV566" s="562"/>
      <c r="AW566" s="562"/>
      <c r="AX566" s="562"/>
      <c r="AY566" s="562"/>
      <c r="AZ566" s="562"/>
      <c r="BA566" s="562"/>
      <c r="BB566" s="563"/>
      <c r="BD566" s="560">
        <v>24</v>
      </c>
      <c r="BF566" s="576"/>
      <c r="BG566" s="576"/>
      <c r="BH566" s="576"/>
      <c r="BI566" s="576">
        <v>1</v>
      </c>
      <c r="BJ566" s="576"/>
      <c r="BK566" s="576"/>
      <c r="BL566" s="560">
        <v>2</v>
      </c>
      <c r="BM566" s="560">
        <f t="shared" si="88"/>
        <v>4</v>
      </c>
      <c r="BN566" s="652" t="s">
        <v>1134</v>
      </c>
      <c r="BO566" s="611">
        <v>3.1432432432432438</v>
      </c>
      <c r="BP566" s="611">
        <f t="shared" si="89"/>
        <v>0.85675675675675622</v>
      </c>
      <c r="BQ566" s="612"/>
      <c r="BR566" s="612">
        <v>1</v>
      </c>
      <c r="BS566" s="576" t="s">
        <v>778</v>
      </c>
      <c r="BT566" s="576"/>
    </row>
    <row r="567" spans="17:73" s="560" customFormat="1">
      <c r="Q567" s="562"/>
      <c r="R567" s="562">
        <v>1.3</v>
      </c>
      <c r="S567" s="562"/>
      <c r="T567" s="562"/>
      <c r="U567" s="562"/>
      <c r="V567" s="562"/>
      <c r="W567" s="562"/>
      <c r="X567" s="562"/>
      <c r="Y567" s="562"/>
      <c r="Z567" s="562"/>
      <c r="AA567" s="562"/>
      <c r="AB567" s="562"/>
      <c r="AC567" s="607" t="s">
        <v>800</v>
      </c>
      <c r="AD567" s="608" t="s">
        <v>801</v>
      </c>
      <c r="AE567" s="561"/>
      <c r="AF567" s="562"/>
      <c r="AG567" s="562"/>
      <c r="AH567" s="562"/>
      <c r="AI567" s="562"/>
      <c r="AJ567" s="562"/>
      <c r="AK567" s="562"/>
      <c r="AL567" s="562"/>
      <c r="AM567" s="562"/>
      <c r="AN567" s="562"/>
      <c r="AO567" s="562"/>
      <c r="AP567" s="562"/>
      <c r="AQ567" s="562"/>
      <c r="AR567" s="562"/>
      <c r="AS567" s="562"/>
      <c r="AT567" s="562"/>
      <c r="AU567" s="562"/>
      <c r="AV567" s="562"/>
      <c r="AW567" s="562"/>
      <c r="AX567" s="562"/>
      <c r="AY567" s="562"/>
      <c r="AZ567" s="562"/>
      <c r="BA567" s="562"/>
      <c r="BB567" s="563"/>
      <c r="BD567" s="560">
        <v>25</v>
      </c>
      <c r="BF567" s="576">
        <v>1</v>
      </c>
      <c r="BG567" s="576" t="s">
        <v>802</v>
      </c>
      <c r="BH567" s="576"/>
      <c r="BI567" s="576">
        <v>1</v>
      </c>
      <c r="BJ567" s="576">
        <v>1</v>
      </c>
      <c r="BK567" s="576"/>
      <c r="BL567" s="560">
        <v>2.2999999999999998</v>
      </c>
      <c r="BM567" s="560">
        <f t="shared" si="88"/>
        <v>4.5999999999999996</v>
      </c>
      <c r="BN567" s="652" t="s">
        <v>1141</v>
      </c>
      <c r="BO567" s="611">
        <v>3.8</v>
      </c>
      <c r="BP567" s="611">
        <f t="shared" si="89"/>
        <v>0.79999999999999982</v>
      </c>
      <c r="BQ567" s="612">
        <v>1</v>
      </c>
      <c r="BR567" s="612"/>
      <c r="BS567" s="576" t="s">
        <v>778</v>
      </c>
      <c r="BT567" s="576">
        <v>754</v>
      </c>
    </row>
    <row r="568" spans="17:73" s="560" customFormat="1">
      <c r="Q568" s="562"/>
      <c r="R568" s="562">
        <v>1</v>
      </c>
      <c r="S568" s="562"/>
      <c r="T568" s="562"/>
      <c r="U568" s="562"/>
      <c r="V568" s="562"/>
      <c r="W568" s="562"/>
      <c r="X568" s="562"/>
      <c r="Y568" s="562"/>
      <c r="Z568" s="562"/>
      <c r="AA568" s="562"/>
      <c r="AB568" s="562"/>
      <c r="AC568" s="607" t="s">
        <v>804</v>
      </c>
      <c r="AD568" s="608" t="s">
        <v>805</v>
      </c>
      <c r="AE568" s="561"/>
      <c r="AF568" s="562"/>
      <c r="AG568" s="562"/>
      <c r="AH568" s="562"/>
      <c r="AI568" s="562"/>
      <c r="AJ568" s="562"/>
      <c r="AK568" s="562"/>
      <c r="AL568" s="562"/>
      <c r="AM568" s="562"/>
      <c r="AN568" s="562"/>
      <c r="AO568" s="562"/>
      <c r="AP568" s="562"/>
      <c r="AQ568" s="562"/>
      <c r="AR568" s="562"/>
      <c r="AS568" s="562"/>
      <c r="AT568" s="562"/>
      <c r="AU568" s="562"/>
      <c r="AV568" s="562"/>
      <c r="AW568" s="562"/>
      <c r="AX568" s="562"/>
      <c r="AY568" s="562"/>
      <c r="AZ568" s="562"/>
      <c r="BA568" s="562"/>
      <c r="BB568" s="563"/>
      <c r="BD568" s="560">
        <v>26</v>
      </c>
      <c r="BF568" s="576"/>
      <c r="BG568" s="576"/>
      <c r="BH568" s="576"/>
      <c r="BI568" s="576">
        <v>1</v>
      </c>
      <c r="BJ568" s="576"/>
      <c r="BK568" s="576"/>
      <c r="BL568" s="560">
        <v>2</v>
      </c>
      <c r="BM568" s="560">
        <f t="shared" si="88"/>
        <v>4</v>
      </c>
      <c r="BN568" s="652" t="s">
        <v>1134</v>
      </c>
      <c r="BO568" s="611">
        <v>3.1324324324324331</v>
      </c>
      <c r="BP568" s="611">
        <f t="shared" si="89"/>
        <v>0.86756756756756692</v>
      </c>
      <c r="BQ568" s="612"/>
      <c r="BR568" s="612">
        <v>1</v>
      </c>
      <c r="BS568" s="576" t="s">
        <v>778</v>
      </c>
      <c r="BT568" s="576"/>
    </row>
    <row r="569" spans="17:73" s="560" customFormat="1">
      <c r="Q569" s="562"/>
      <c r="R569" s="562">
        <v>0.6</v>
      </c>
      <c r="S569" s="562"/>
      <c r="T569" s="562"/>
      <c r="U569" s="562"/>
      <c r="V569" s="562"/>
      <c r="W569" s="562"/>
      <c r="X569" s="562"/>
      <c r="Y569" s="562"/>
      <c r="Z569" s="562"/>
      <c r="AA569" s="562"/>
      <c r="AB569" s="562"/>
      <c r="AC569" s="607" t="s">
        <v>807</v>
      </c>
      <c r="AD569" s="608" t="s">
        <v>808</v>
      </c>
      <c r="AE569" s="561"/>
      <c r="AF569" s="562"/>
      <c r="AG569" s="562"/>
      <c r="AH569" s="562"/>
      <c r="AI569" s="562"/>
      <c r="AJ569" s="562"/>
      <c r="AK569" s="562"/>
      <c r="AL569" s="562"/>
      <c r="AM569" s="562"/>
      <c r="AN569" s="562"/>
      <c r="AO569" s="562"/>
      <c r="AP569" s="562"/>
      <c r="AQ569" s="562"/>
      <c r="AR569" s="562"/>
      <c r="AS569" s="562"/>
      <c r="AT569" s="562"/>
      <c r="AU569" s="562"/>
      <c r="AV569" s="562"/>
      <c r="AW569" s="562"/>
      <c r="AX569" s="562"/>
      <c r="AY569" s="562"/>
      <c r="AZ569" s="562"/>
      <c r="BA569" s="562"/>
      <c r="BB569" s="563"/>
      <c r="BD569" s="560">
        <v>27</v>
      </c>
      <c r="BF569" s="576">
        <v>2</v>
      </c>
      <c r="BG569" s="576" t="s">
        <v>802</v>
      </c>
      <c r="BH569" s="576"/>
      <c r="BI569" s="576">
        <v>1</v>
      </c>
      <c r="BJ569" s="576">
        <v>1</v>
      </c>
      <c r="BK569" s="576"/>
      <c r="BL569" s="560">
        <v>1.8</v>
      </c>
      <c r="BM569" s="560">
        <f t="shared" si="88"/>
        <v>3.6</v>
      </c>
      <c r="BN569" s="652" t="s">
        <v>1134</v>
      </c>
      <c r="BO569" s="611">
        <v>3.1270270270270273</v>
      </c>
      <c r="BP569" s="611">
        <f t="shared" si="89"/>
        <v>0.4729729729729728</v>
      </c>
      <c r="BQ569" s="612"/>
      <c r="BR569" s="612">
        <v>1</v>
      </c>
      <c r="BS569" s="576" t="s">
        <v>778</v>
      </c>
      <c r="BT569" s="576">
        <v>753</v>
      </c>
    </row>
    <row r="570" spans="17:73" s="560" customFormat="1">
      <c r="Q570" s="562"/>
      <c r="R570" s="562">
        <v>0.7</v>
      </c>
      <c r="S570" s="562"/>
      <c r="T570" s="562"/>
      <c r="U570" s="562"/>
      <c r="V570" s="562"/>
      <c r="W570" s="562"/>
      <c r="X570" s="562"/>
      <c r="Y570" s="562"/>
      <c r="Z570" s="562"/>
      <c r="AA570" s="562"/>
      <c r="AB570" s="562"/>
      <c r="AC570" s="607" t="s">
        <v>810</v>
      </c>
      <c r="AD570" s="608" t="s">
        <v>550</v>
      </c>
      <c r="AE570" s="561"/>
      <c r="AF570" s="562"/>
      <c r="AG570" s="562"/>
      <c r="AH570" s="562"/>
      <c r="AI570" s="562"/>
      <c r="AJ570" s="562"/>
      <c r="AK570" s="562"/>
      <c r="AL570" s="562"/>
      <c r="AM570" s="562"/>
      <c r="AN570" s="562"/>
      <c r="AO570" s="562"/>
      <c r="AP570" s="562"/>
      <c r="AQ570" s="562"/>
      <c r="AR570" s="562"/>
      <c r="AS570" s="562"/>
      <c r="AT570" s="562"/>
      <c r="AU570" s="562"/>
      <c r="AV570" s="562"/>
      <c r="AW570" s="562"/>
      <c r="AX570" s="562"/>
      <c r="AY570" s="562"/>
      <c r="AZ570" s="562"/>
      <c r="BA570" s="562"/>
      <c r="BB570" s="563"/>
      <c r="BD570" s="560">
        <v>28</v>
      </c>
      <c r="BF570" s="576"/>
      <c r="BG570" s="576"/>
      <c r="BH570" s="576"/>
      <c r="BI570" s="576">
        <v>1</v>
      </c>
      <c r="BJ570" s="576"/>
      <c r="BK570" s="576"/>
      <c r="BL570" s="560">
        <v>1.9</v>
      </c>
      <c r="BM570" s="560">
        <f t="shared" si="88"/>
        <v>3.8</v>
      </c>
      <c r="BN570" s="652" t="s">
        <v>1134</v>
      </c>
      <c r="BO570" s="611">
        <v>3.1216216216216219</v>
      </c>
      <c r="BP570" s="611">
        <f t="shared" si="89"/>
        <v>0.67837837837837789</v>
      </c>
      <c r="BQ570" s="612"/>
      <c r="BR570" s="612">
        <v>1</v>
      </c>
      <c r="BS570" s="576" t="s">
        <v>778</v>
      </c>
      <c r="BT570" s="576"/>
    </row>
    <row r="571" spans="17:73" s="560" customFormat="1">
      <c r="Q571" s="562"/>
      <c r="R571" s="562">
        <v>0.4</v>
      </c>
      <c r="S571" s="562"/>
      <c r="T571" s="562"/>
      <c r="U571" s="562"/>
      <c r="V571" s="562"/>
      <c r="W571" s="562"/>
      <c r="X571" s="562"/>
      <c r="Y571" s="562"/>
      <c r="Z571" s="562"/>
      <c r="AA571" s="562"/>
      <c r="AB571" s="562"/>
      <c r="AC571" s="607" t="s">
        <v>813</v>
      </c>
      <c r="AD571" s="608" t="s">
        <v>552</v>
      </c>
      <c r="AE571" s="561"/>
      <c r="AF571" s="562"/>
      <c r="AG571" s="562"/>
      <c r="AH571" s="562"/>
      <c r="AI571" s="562"/>
      <c r="AJ571" s="562"/>
      <c r="AK571" s="562"/>
      <c r="AL571" s="562"/>
      <c r="AM571" s="562"/>
      <c r="AN571" s="562"/>
      <c r="AO571" s="562"/>
      <c r="AP571" s="562"/>
      <c r="AQ571" s="562"/>
      <c r="AR571" s="562"/>
      <c r="AS571" s="562"/>
      <c r="AT571" s="562"/>
      <c r="AU571" s="562"/>
      <c r="AV571" s="562"/>
      <c r="AW571" s="562"/>
      <c r="AX571" s="562"/>
      <c r="AY571" s="562"/>
      <c r="AZ571" s="562"/>
      <c r="BA571" s="562"/>
      <c r="BB571" s="563"/>
      <c r="BD571" s="560">
        <v>29</v>
      </c>
      <c r="BF571" s="576">
        <v>5</v>
      </c>
      <c r="BG571" s="576" t="s">
        <v>802</v>
      </c>
      <c r="BH571" s="576"/>
      <c r="BI571" s="576">
        <v>1</v>
      </c>
      <c r="BJ571" s="576">
        <v>1</v>
      </c>
      <c r="BK571" s="576"/>
      <c r="BL571" s="560">
        <v>2</v>
      </c>
      <c r="BM571" s="560">
        <f t="shared" si="88"/>
        <v>4</v>
      </c>
      <c r="BN571" s="652" t="s">
        <v>1134</v>
      </c>
      <c r="BO571" s="611">
        <v>3.1162162162162166</v>
      </c>
      <c r="BP571" s="611">
        <f t="shared" si="89"/>
        <v>0.88378378378378342</v>
      </c>
      <c r="BQ571" s="612"/>
      <c r="BR571" s="612">
        <v>1</v>
      </c>
      <c r="BS571" s="576" t="s">
        <v>778</v>
      </c>
      <c r="BT571" s="576">
        <v>752</v>
      </c>
      <c r="BU571" s="560" t="s">
        <v>1143</v>
      </c>
    </row>
    <row r="572" spans="17:73" s="560" customFormat="1">
      <c r="Q572" s="562"/>
      <c r="R572" s="562">
        <v>0.45</v>
      </c>
      <c r="S572" s="562"/>
      <c r="T572" s="562"/>
      <c r="U572" s="562"/>
      <c r="V572" s="562"/>
      <c r="W572" s="562"/>
      <c r="X572" s="562"/>
      <c r="Y572" s="562"/>
      <c r="Z572" s="562"/>
      <c r="AA572" s="562"/>
      <c r="AB572" s="562"/>
      <c r="AC572" s="607" t="s">
        <v>815</v>
      </c>
      <c r="AD572" s="608" t="s">
        <v>816</v>
      </c>
      <c r="AE572" s="561"/>
      <c r="AF572" s="562"/>
      <c r="AG572" s="562"/>
      <c r="AH572" s="562"/>
      <c r="AI572" s="562"/>
      <c r="AJ572" s="562"/>
      <c r="AK572" s="562"/>
      <c r="AL572" s="562"/>
      <c r="AM572" s="562"/>
      <c r="AN572" s="562"/>
      <c r="AO572" s="562"/>
      <c r="AP572" s="562"/>
      <c r="AQ572" s="562"/>
      <c r="AR572" s="562"/>
      <c r="AS572" s="562"/>
      <c r="AT572" s="562"/>
      <c r="AU572" s="562"/>
      <c r="AV572" s="562"/>
      <c r="AW572" s="562"/>
      <c r="AX572" s="562"/>
      <c r="AY572" s="562"/>
      <c r="AZ572" s="562"/>
      <c r="BA572" s="562"/>
      <c r="BB572" s="563"/>
      <c r="BD572" s="560">
        <v>30</v>
      </c>
      <c r="BF572" s="576"/>
      <c r="BG572" s="576"/>
      <c r="BH572" s="576"/>
      <c r="BI572" s="576">
        <v>1</v>
      </c>
      <c r="BJ572" s="576"/>
      <c r="BK572" s="576"/>
      <c r="BL572" s="560">
        <v>2</v>
      </c>
      <c r="BM572" s="560">
        <f t="shared" si="88"/>
        <v>4</v>
      </c>
      <c r="BN572" s="652" t="s">
        <v>1134</v>
      </c>
      <c r="BO572" s="611">
        <v>3.1108108108108112</v>
      </c>
      <c r="BP572" s="611">
        <f t="shared" si="89"/>
        <v>0.88918918918918877</v>
      </c>
      <c r="BQ572" s="612"/>
      <c r="BR572" s="612">
        <v>1</v>
      </c>
      <c r="BS572" s="576" t="s">
        <v>778</v>
      </c>
      <c r="BT572" s="576"/>
    </row>
    <row r="573" spans="17:73" s="560" customFormat="1">
      <c r="Q573" s="562"/>
      <c r="R573" s="562">
        <v>0.4</v>
      </c>
      <c r="S573" s="562"/>
      <c r="T573" s="562"/>
      <c r="U573" s="562"/>
      <c r="V573" s="562"/>
      <c r="W573" s="562"/>
      <c r="X573" s="562"/>
      <c r="Y573" s="562"/>
      <c r="Z573" s="562"/>
      <c r="AA573" s="562"/>
      <c r="AB573" s="562"/>
      <c r="AC573" s="562"/>
      <c r="AD573" s="563"/>
      <c r="AE573" s="561"/>
      <c r="AF573" s="562"/>
      <c r="AG573" s="562"/>
      <c r="AH573" s="562"/>
      <c r="AI573" s="562"/>
      <c r="AJ573" s="562"/>
      <c r="AK573" s="562"/>
      <c r="AL573" s="562"/>
      <c r="AM573" s="562"/>
      <c r="AN573" s="562"/>
      <c r="AO573" s="562"/>
      <c r="AP573" s="562"/>
      <c r="AQ573" s="562"/>
      <c r="AR573" s="562"/>
      <c r="AS573" s="562"/>
      <c r="AT573" s="562"/>
      <c r="AU573" s="562"/>
      <c r="AV573" s="562"/>
      <c r="AW573" s="562"/>
      <c r="AX573" s="562"/>
      <c r="AY573" s="562"/>
      <c r="AZ573" s="562"/>
      <c r="BA573" s="562"/>
      <c r="BB573" s="563"/>
      <c r="BD573" s="560">
        <v>31</v>
      </c>
      <c r="BF573" s="576"/>
      <c r="BG573" s="576"/>
      <c r="BH573" s="576"/>
      <c r="BI573" s="576">
        <v>1</v>
      </c>
      <c r="BJ573" s="576"/>
      <c r="BK573" s="576"/>
      <c r="BL573" s="560">
        <v>1.9</v>
      </c>
      <c r="BM573" s="560">
        <f t="shared" si="88"/>
        <v>3.8</v>
      </c>
      <c r="BN573" s="652" t="s">
        <v>1134</v>
      </c>
      <c r="BO573" s="611">
        <v>3.1054054054054059</v>
      </c>
      <c r="BP573" s="611">
        <f t="shared" si="89"/>
        <v>0.69459459459459394</v>
      </c>
      <c r="BQ573" s="612"/>
      <c r="BR573" s="612">
        <v>1</v>
      </c>
      <c r="BS573" s="576" t="s">
        <v>778</v>
      </c>
      <c r="BT573" s="576"/>
    </row>
    <row r="574" spans="17:73" s="560" customFormat="1">
      <c r="Q574" s="562"/>
      <c r="R574" s="562">
        <v>0.5</v>
      </c>
      <c r="S574" s="562"/>
      <c r="T574" s="562"/>
      <c r="U574" s="562"/>
      <c r="V574" s="562"/>
      <c r="W574" s="562"/>
      <c r="X574" s="562"/>
      <c r="Y574" s="562"/>
      <c r="Z574" s="562"/>
      <c r="AA574" s="562"/>
      <c r="AB574" s="562"/>
      <c r="AC574" s="562"/>
      <c r="AD574" s="563"/>
      <c r="AE574" s="561"/>
      <c r="AF574" s="562"/>
      <c r="AG574" s="562"/>
      <c r="AH574" s="562"/>
      <c r="AI574" s="562"/>
      <c r="AJ574" s="562"/>
      <c r="AK574" s="562"/>
      <c r="AL574" s="562"/>
      <c r="AM574" s="562"/>
      <c r="AN574" s="562"/>
      <c r="AO574" s="562"/>
      <c r="AP574" s="562"/>
      <c r="AQ574" s="562"/>
      <c r="AR574" s="562"/>
      <c r="AS574" s="562"/>
      <c r="AT574" s="562"/>
      <c r="AU574" s="562"/>
      <c r="AV574" s="562"/>
      <c r="AW574" s="562"/>
      <c r="AX574" s="562"/>
      <c r="AY574" s="562"/>
      <c r="AZ574" s="562"/>
      <c r="BA574" s="562"/>
      <c r="BB574" s="563"/>
      <c r="BD574" s="560">
        <v>32</v>
      </c>
      <c r="BF574" s="576"/>
      <c r="BG574" s="576"/>
      <c r="BH574" s="576"/>
      <c r="BI574" s="576">
        <v>1</v>
      </c>
      <c r="BJ574" s="576"/>
      <c r="BK574" s="576"/>
      <c r="BL574" s="560">
        <v>2</v>
      </c>
      <c r="BM574" s="560">
        <f t="shared" si="88"/>
        <v>4</v>
      </c>
      <c r="BN574" s="652" t="s">
        <v>1134</v>
      </c>
      <c r="BO574" s="611">
        <v>3.1000000000000005</v>
      </c>
      <c r="BP574" s="611">
        <f t="shared" si="89"/>
        <v>0.89999999999999947</v>
      </c>
      <c r="BQ574" s="612"/>
      <c r="BR574" s="612">
        <v>1</v>
      </c>
      <c r="BS574" s="576" t="s">
        <v>778</v>
      </c>
      <c r="BT574" s="576"/>
    </row>
    <row r="575" spans="17:73" s="560" customFormat="1">
      <c r="Q575" s="562"/>
      <c r="R575" s="562">
        <v>4</v>
      </c>
      <c r="S575" s="562"/>
      <c r="T575" s="562"/>
      <c r="U575" s="562"/>
      <c r="V575" s="562"/>
      <c r="W575" s="562"/>
      <c r="X575" s="562"/>
      <c r="Y575" s="562"/>
      <c r="Z575" s="562"/>
      <c r="AA575" s="562"/>
      <c r="AB575" s="562"/>
      <c r="AC575" s="562"/>
      <c r="AD575" s="563"/>
      <c r="AE575" s="561"/>
      <c r="AF575" s="562"/>
      <c r="AG575" s="562"/>
      <c r="AH575" s="562"/>
      <c r="AI575" s="562"/>
      <c r="AJ575" s="562"/>
      <c r="AK575" s="562"/>
      <c r="AL575" s="562"/>
      <c r="AM575" s="562"/>
      <c r="AN575" s="562"/>
      <c r="AO575" s="562"/>
      <c r="AP575" s="562"/>
      <c r="AQ575" s="562"/>
      <c r="AR575" s="562"/>
      <c r="AS575" s="562"/>
      <c r="AT575" s="562"/>
      <c r="AU575" s="562"/>
      <c r="AV575" s="562"/>
      <c r="AW575" s="562"/>
      <c r="AX575" s="562"/>
      <c r="AY575" s="562"/>
      <c r="AZ575" s="562"/>
      <c r="BA575" s="562"/>
      <c r="BB575" s="563"/>
      <c r="BD575" s="560">
        <v>33</v>
      </c>
      <c r="BF575" s="576"/>
      <c r="BG575" s="576"/>
      <c r="BH575" s="576"/>
      <c r="BI575" s="576">
        <v>1</v>
      </c>
      <c r="BJ575" s="576"/>
      <c r="BK575" s="576"/>
      <c r="BM575" s="701">
        <v>20</v>
      </c>
      <c r="BO575" s="605"/>
      <c r="BP575" s="605"/>
      <c r="BQ575" s="612">
        <v>1</v>
      </c>
      <c r="BR575" s="658"/>
      <c r="BT575" s="576">
        <v>751</v>
      </c>
      <c r="BU575" s="560" t="s">
        <v>1144</v>
      </c>
    </row>
    <row r="576" spans="17:73" s="560" customFormat="1">
      <c r="Q576" s="562"/>
      <c r="R576" s="562">
        <v>0.2</v>
      </c>
      <c r="S576" s="562"/>
      <c r="T576" s="562"/>
      <c r="U576" s="562"/>
      <c r="V576" s="562"/>
      <c r="W576" s="562"/>
      <c r="X576" s="562"/>
      <c r="Y576" s="562"/>
      <c r="Z576" s="562"/>
      <c r="AA576" s="562"/>
      <c r="AB576" s="562"/>
      <c r="AC576" s="562"/>
      <c r="AD576" s="563"/>
      <c r="AE576" s="561"/>
      <c r="AF576" s="562"/>
      <c r="AG576" s="562"/>
      <c r="AH576" s="562"/>
      <c r="AI576" s="562"/>
      <c r="AJ576" s="562"/>
      <c r="AK576" s="562"/>
      <c r="AL576" s="562"/>
      <c r="AM576" s="562"/>
      <c r="AN576" s="562"/>
      <c r="AO576" s="562"/>
      <c r="AP576" s="562"/>
      <c r="AQ576" s="562"/>
      <c r="AR576" s="562"/>
      <c r="AS576" s="562"/>
      <c r="AT576" s="562"/>
      <c r="AU576" s="562"/>
      <c r="AV576" s="562"/>
      <c r="AW576" s="562"/>
      <c r="AX576" s="562"/>
      <c r="AY576" s="562"/>
      <c r="AZ576" s="562"/>
      <c r="BA576" s="562"/>
      <c r="BB576" s="563"/>
      <c r="BH576" s="640">
        <f>SUM(BH537:BH575)</f>
        <v>8</v>
      </c>
      <c r="BI576" s="640">
        <f>SUM(BI537:BI575)</f>
        <v>25</v>
      </c>
      <c r="BJ576" s="641">
        <f>SUM(BJ537:BJ575)</f>
        <v>12</v>
      </c>
      <c r="BK576" s="642">
        <f>SUM(BK537:BK575)</f>
        <v>1</v>
      </c>
      <c r="BM576" s="676">
        <f>SUM(BM537:BM574)</f>
        <v>137.5</v>
      </c>
      <c r="BO576" s="644">
        <f>SUM(BO537:BO575)</f>
        <v>99.051351351351371</v>
      </c>
      <c r="BP576" s="644">
        <f>SUM(BP537:BP575)</f>
        <v>33.248648648648633</v>
      </c>
      <c r="BQ576" s="645">
        <f>SUM(BQ543:BQ575)</f>
        <v>6</v>
      </c>
      <c r="BR576" s="645">
        <f>SUM(BR537:BR575)</f>
        <v>27</v>
      </c>
    </row>
    <row r="577" spans="17:75" s="560" customFormat="1">
      <c r="Q577" s="562" t="s">
        <v>821</v>
      </c>
      <c r="R577" s="562"/>
      <c r="S577" s="562"/>
      <c r="T577" s="562"/>
      <c r="U577" s="562"/>
      <c r="V577" s="562"/>
      <c r="W577" s="562"/>
      <c r="X577" s="562"/>
      <c r="Y577" s="562"/>
      <c r="Z577" s="562"/>
      <c r="AA577" s="562"/>
      <c r="AB577" s="562"/>
      <c r="AC577" s="562"/>
      <c r="AD577" s="563"/>
      <c r="AE577" s="561"/>
      <c r="AF577" s="562"/>
      <c r="AG577" s="562"/>
      <c r="AH577" s="562"/>
      <c r="AI577" s="562"/>
      <c r="AJ577" s="562"/>
      <c r="AK577" s="562"/>
      <c r="AL577" s="562"/>
      <c r="AM577" s="562"/>
      <c r="AN577" s="562"/>
      <c r="AO577" s="562"/>
      <c r="AP577" s="562"/>
      <c r="AQ577" s="562"/>
      <c r="AR577" s="562"/>
      <c r="AS577" s="562"/>
      <c r="AT577" s="562"/>
      <c r="AU577" s="562"/>
      <c r="AV577" s="562"/>
      <c r="AW577" s="562"/>
      <c r="AX577" s="562"/>
      <c r="AY577" s="562"/>
      <c r="AZ577" s="562"/>
      <c r="BA577" s="562"/>
      <c r="BB577" s="563"/>
      <c r="BC577" s="564">
        <v>41162</v>
      </c>
      <c r="BD577" s="565" t="s">
        <v>725</v>
      </c>
      <c r="BE577" s="565"/>
      <c r="BF577" s="565" t="s">
        <v>832</v>
      </c>
      <c r="BG577" s="566" t="s">
        <v>727</v>
      </c>
      <c r="BH577" s="566"/>
      <c r="BI577" s="566"/>
      <c r="BJ577" s="566"/>
      <c r="BK577" s="566"/>
      <c r="BL577" s="566" t="s">
        <v>728</v>
      </c>
      <c r="BM577" s="566"/>
      <c r="BN577" s="566" t="s">
        <v>729</v>
      </c>
      <c r="BO577" s="603"/>
      <c r="BP577" s="646">
        <f>+BP576/BO576</f>
        <v>0.33567082321482145</v>
      </c>
      <c r="BQ577" s="604"/>
      <c r="BR577" s="604"/>
      <c r="BS577" s="566" t="s">
        <v>730</v>
      </c>
      <c r="BT577" s="566" t="s">
        <v>731</v>
      </c>
      <c r="BU577" s="565"/>
    </row>
    <row r="578" spans="17:75" s="560" customFormat="1">
      <c r="Q578" s="562"/>
      <c r="R578" s="562">
        <v>0.4</v>
      </c>
      <c r="S578" s="562"/>
      <c r="T578" s="562"/>
      <c r="U578" s="562"/>
      <c r="V578" s="562"/>
      <c r="W578" s="562"/>
      <c r="X578" s="562"/>
      <c r="Y578" s="562"/>
      <c r="Z578" s="562"/>
      <c r="AA578" s="562"/>
      <c r="AB578" s="562"/>
      <c r="AC578" s="562"/>
      <c r="AD578" s="563"/>
      <c r="AE578" s="561"/>
      <c r="AF578" s="562"/>
      <c r="AG578" s="562"/>
      <c r="AH578" s="562"/>
      <c r="AI578" s="562"/>
      <c r="AJ578" s="562"/>
      <c r="AK578" s="562"/>
      <c r="AL578" s="562"/>
      <c r="AM578" s="562"/>
      <c r="AN578" s="562"/>
      <c r="AO578" s="562"/>
      <c r="AP578" s="562"/>
      <c r="AQ578" s="562"/>
      <c r="AR578" s="562"/>
      <c r="AS578" s="562"/>
      <c r="AT578" s="562"/>
      <c r="AU578" s="562"/>
      <c r="AV578" s="562"/>
      <c r="AW578" s="562"/>
      <c r="AX578" s="562"/>
      <c r="AY578" s="562"/>
      <c r="AZ578" s="562"/>
      <c r="BA578" s="562"/>
      <c r="BB578" s="563"/>
      <c r="BD578" s="565"/>
      <c r="BE578" s="565"/>
      <c r="BF578" s="565"/>
      <c r="BG578" s="576" t="s">
        <v>1145</v>
      </c>
      <c r="BH578" s="576"/>
      <c r="BI578" s="576"/>
      <c r="BJ578" s="576"/>
      <c r="BK578" s="576"/>
      <c r="BL578" s="576" t="s">
        <v>1146</v>
      </c>
      <c r="BM578" s="576"/>
      <c r="BN578" s="576">
        <v>51</v>
      </c>
      <c r="BO578" s="611"/>
      <c r="BP578" s="702"/>
      <c r="BQ578" s="612"/>
      <c r="BR578" s="612"/>
      <c r="BS578" s="576">
        <v>44</v>
      </c>
      <c r="BT578" s="576" t="s">
        <v>1147</v>
      </c>
      <c r="BU578" s="565"/>
    </row>
    <row r="579" spans="17:75" s="560" customFormat="1">
      <c r="Q579" s="562"/>
      <c r="R579" s="562">
        <v>0.39</v>
      </c>
      <c r="S579" s="562"/>
      <c r="T579" s="562"/>
      <c r="U579" s="562"/>
      <c r="V579" s="562"/>
      <c r="W579" s="562"/>
      <c r="X579" s="562"/>
      <c r="Y579" s="562"/>
      <c r="Z579" s="562"/>
      <c r="AA579" s="562"/>
      <c r="AB579" s="562"/>
      <c r="AC579" s="562"/>
      <c r="AD579" s="563"/>
      <c r="AE579" s="561"/>
      <c r="AF579" s="562"/>
      <c r="AG579" s="562"/>
      <c r="AH579" s="562"/>
      <c r="AI579" s="562"/>
      <c r="AJ579" s="562"/>
      <c r="AK579" s="562"/>
      <c r="AL579" s="562"/>
      <c r="AM579" s="562"/>
      <c r="AN579" s="562"/>
      <c r="AO579" s="562"/>
      <c r="AP579" s="562"/>
      <c r="AQ579" s="562"/>
      <c r="AR579" s="562"/>
      <c r="AS579" s="562"/>
      <c r="AT579" s="562"/>
      <c r="AU579" s="562"/>
      <c r="AV579" s="562"/>
      <c r="AW579" s="562"/>
      <c r="AX579" s="562"/>
      <c r="AY579" s="562"/>
      <c r="AZ579" s="562"/>
      <c r="BA579" s="562"/>
      <c r="BB579" s="563"/>
      <c r="BC579" s="560" t="s">
        <v>511</v>
      </c>
      <c r="BD579" s="581" t="s">
        <v>1148</v>
      </c>
      <c r="BE579" s="582"/>
      <c r="BF579" s="566"/>
      <c r="BG579" s="565"/>
      <c r="BH579" s="565"/>
      <c r="BI579" s="565"/>
      <c r="BJ579" s="565"/>
      <c r="BK579" s="565"/>
      <c r="BL579" s="565"/>
      <c r="BM579" s="565"/>
      <c r="BN579" s="566"/>
      <c r="BO579" s="603"/>
      <c r="BP579" s="581" t="s">
        <v>1149</v>
      </c>
      <c r="BQ579" s="604"/>
      <c r="BR579" s="604"/>
      <c r="BS579" s="566"/>
      <c r="BT579" s="576"/>
      <c r="BU579" s="566"/>
    </row>
    <row r="580" spans="17:75" s="560" customFormat="1">
      <c r="Q580" s="562"/>
      <c r="R580" s="562">
        <v>0.49</v>
      </c>
      <c r="S580" s="562"/>
      <c r="T580" s="562"/>
      <c r="U580" s="562"/>
      <c r="V580" s="562"/>
      <c r="W580" s="562"/>
      <c r="X580" s="562"/>
      <c r="Y580" s="562"/>
      <c r="Z580" s="562"/>
      <c r="AA580" s="562"/>
      <c r="AB580" s="562"/>
      <c r="AC580" s="562"/>
      <c r="AD580" s="563"/>
      <c r="AE580" s="561"/>
      <c r="AF580" s="562"/>
      <c r="AG580" s="562"/>
      <c r="AH580" s="562"/>
      <c r="AI580" s="562"/>
      <c r="AJ580" s="562"/>
      <c r="AK580" s="562"/>
      <c r="AL580" s="562"/>
      <c r="AM580" s="562"/>
      <c r="AN580" s="562"/>
      <c r="AO580" s="562"/>
      <c r="AP580" s="562"/>
      <c r="AQ580" s="562"/>
      <c r="AR580" s="562"/>
      <c r="AS580" s="562"/>
      <c r="AT580" s="562"/>
      <c r="AU580" s="562"/>
      <c r="AV580" s="562"/>
      <c r="AW580" s="562"/>
      <c r="AX580" s="562"/>
      <c r="AY580" s="562"/>
      <c r="AZ580" s="562"/>
      <c r="BA580" s="562"/>
      <c r="BB580" s="563"/>
      <c r="BC580" s="585"/>
      <c r="BD580" s="586" t="s">
        <v>755</v>
      </c>
      <c r="BE580" s="586" t="s">
        <v>756</v>
      </c>
      <c r="BF580" s="615" t="s">
        <v>757</v>
      </c>
      <c r="BG580" s="615" t="s">
        <v>758</v>
      </c>
      <c r="BH580" s="615" t="s">
        <v>765</v>
      </c>
      <c r="BI580" s="615" t="s">
        <v>766</v>
      </c>
      <c r="BJ580" s="616" t="s">
        <v>767</v>
      </c>
      <c r="BK580" s="617" t="s">
        <v>768</v>
      </c>
      <c r="BL580" s="586" t="s">
        <v>759</v>
      </c>
      <c r="BM580" s="618" t="s">
        <v>769</v>
      </c>
      <c r="BN580" s="586" t="s">
        <v>760</v>
      </c>
      <c r="BO580" s="619" t="s">
        <v>770</v>
      </c>
      <c r="BP580" s="619" t="s">
        <v>771</v>
      </c>
      <c r="BQ580" s="620" t="s">
        <v>772</v>
      </c>
      <c r="BR580" s="620" t="s">
        <v>773</v>
      </c>
      <c r="BS580" s="586" t="s">
        <v>761</v>
      </c>
      <c r="BT580" s="586" t="s">
        <v>762</v>
      </c>
      <c r="BU580" s="586" t="s">
        <v>763</v>
      </c>
    </row>
    <row r="581" spans="17:75" s="560" customFormat="1">
      <c r="Q581" s="562"/>
      <c r="R581" s="562">
        <v>0.6</v>
      </c>
      <c r="S581" s="562"/>
      <c r="T581" s="562"/>
      <c r="U581" s="562"/>
      <c r="V581" s="562"/>
      <c r="W581" s="562"/>
      <c r="X581" s="562"/>
      <c r="Y581" s="562"/>
      <c r="Z581" s="562"/>
      <c r="AA581" s="562"/>
      <c r="AB581" s="562"/>
      <c r="AC581" s="562"/>
      <c r="AD581" s="563"/>
      <c r="AE581" s="561"/>
      <c r="AF581" s="562"/>
      <c r="AG581" s="562"/>
      <c r="AH581" s="562"/>
      <c r="AI581" s="562"/>
      <c r="AJ581" s="562"/>
      <c r="AK581" s="562"/>
      <c r="AL581" s="562"/>
      <c r="AM581" s="562"/>
      <c r="AN581" s="562"/>
      <c r="AO581" s="562"/>
      <c r="AP581" s="562"/>
      <c r="AQ581" s="562"/>
      <c r="AR581" s="562"/>
      <c r="AS581" s="562"/>
      <c r="AT581" s="562"/>
      <c r="AU581" s="562"/>
      <c r="AV581" s="562"/>
      <c r="AW581" s="562"/>
      <c r="AX581" s="562"/>
      <c r="AY581" s="562"/>
      <c r="AZ581" s="562"/>
      <c r="BA581" s="562"/>
      <c r="BB581" s="563"/>
      <c r="BD581" s="560">
        <v>1</v>
      </c>
      <c r="BG581" s="576"/>
      <c r="BI581" s="576">
        <v>1</v>
      </c>
      <c r="BJ581" s="576"/>
      <c r="BK581" s="576"/>
      <c r="BL581" s="576">
        <v>2</v>
      </c>
      <c r="BM581" s="560">
        <f t="shared" ref="BM581:BM594" si="90">BL581+BL581</f>
        <v>4</v>
      </c>
      <c r="BN581" s="662">
        <v>0.140625</v>
      </c>
      <c r="BO581" s="611">
        <v>4.0999999999999996</v>
      </c>
      <c r="BP581" s="611">
        <f t="shared" ref="BP581:BP594" si="91">BM581-BO581</f>
        <v>-9.9999999999999645E-2</v>
      </c>
      <c r="BQ581" s="658"/>
      <c r="BR581" s="612">
        <v>1</v>
      </c>
      <c r="BS581" s="560" t="s">
        <v>1150</v>
      </c>
    </row>
    <row r="582" spans="17:75" s="560" customFormat="1">
      <c r="Q582" s="562"/>
      <c r="R582" s="562">
        <v>0.61</v>
      </c>
      <c r="S582" s="562"/>
      <c r="T582" s="562"/>
      <c r="U582" s="562"/>
      <c r="V582" s="562"/>
      <c r="W582" s="562"/>
      <c r="X582" s="562"/>
      <c r="Y582" s="562"/>
      <c r="Z582" s="562"/>
      <c r="AA582" s="562"/>
      <c r="AB582" s="562"/>
      <c r="AC582" s="562"/>
      <c r="AD582" s="563"/>
      <c r="AE582" s="561"/>
      <c r="AF582" s="562"/>
      <c r="AG582" s="562"/>
      <c r="AH582" s="562"/>
      <c r="AI582" s="562"/>
      <c r="AJ582" s="562"/>
      <c r="AK582" s="562"/>
      <c r="AL582" s="562"/>
      <c r="AM582" s="562"/>
      <c r="AN582" s="562"/>
      <c r="AO582" s="562"/>
      <c r="AP582" s="562"/>
      <c r="AQ582" s="562"/>
      <c r="AR582" s="562"/>
      <c r="AS582" s="562"/>
      <c r="AT582" s="562"/>
      <c r="AU582" s="562"/>
      <c r="AV582" s="562"/>
      <c r="AW582" s="562"/>
      <c r="AX582" s="562"/>
      <c r="AY582" s="562"/>
      <c r="AZ582" s="562"/>
      <c r="BA582" s="562"/>
      <c r="BB582" s="563"/>
      <c r="BD582" s="560">
        <v>2</v>
      </c>
      <c r="BG582" s="576"/>
      <c r="BI582" s="576">
        <v>1</v>
      </c>
      <c r="BJ582" s="576"/>
      <c r="BK582" s="576"/>
      <c r="BL582" s="576">
        <v>2</v>
      </c>
      <c r="BM582" s="560">
        <f t="shared" si="90"/>
        <v>4</v>
      </c>
      <c r="BN582" s="662">
        <v>0.140625</v>
      </c>
      <c r="BO582" s="611">
        <v>4.0906250000000002</v>
      </c>
      <c r="BP582" s="611">
        <f t="shared" si="91"/>
        <v>-9.0625000000000178E-2</v>
      </c>
      <c r="BQ582" s="658"/>
      <c r="BR582" s="612">
        <v>1</v>
      </c>
      <c r="BS582" s="566" t="s">
        <v>127</v>
      </c>
    </row>
    <row r="583" spans="17:75" s="560" customFormat="1">
      <c r="Q583" s="562"/>
      <c r="R583" s="562">
        <v>0.93</v>
      </c>
      <c r="S583" s="562"/>
      <c r="T583" s="562"/>
      <c r="U583" s="562"/>
      <c r="V583" s="562"/>
      <c r="W583" s="562"/>
      <c r="X583" s="562"/>
      <c r="Y583" s="562"/>
      <c r="Z583" s="562"/>
      <c r="AA583" s="562"/>
      <c r="AB583" s="562"/>
      <c r="AC583" s="562"/>
      <c r="AD583" s="563"/>
      <c r="AE583" s="561"/>
      <c r="AF583" s="562"/>
      <c r="AG583" s="562"/>
      <c r="AH583" s="562"/>
      <c r="AI583" s="562"/>
      <c r="AJ583" s="562"/>
      <c r="AK583" s="562"/>
      <c r="AL583" s="562"/>
      <c r="AM583" s="562"/>
      <c r="AN583" s="562"/>
      <c r="AO583" s="562"/>
      <c r="AP583" s="562"/>
      <c r="AQ583" s="562"/>
      <c r="AR583" s="562"/>
      <c r="AS583" s="562"/>
      <c r="AT583" s="562"/>
      <c r="AU583" s="562"/>
      <c r="AV583" s="562"/>
      <c r="AW583" s="562"/>
      <c r="AX583" s="562"/>
      <c r="AY583" s="562"/>
      <c r="AZ583" s="562"/>
      <c r="BA583" s="562"/>
      <c r="BB583" s="563"/>
      <c r="BD583" s="560">
        <v>3</v>
      </c>
      <c r="BG583" s="576"/>
      <c r="BI583" s="576">
        <v>1</v>
      </c>
      <c r="BJ583" s="576"/>
      <c r="BK583" s="576"/>
      <c r="BL583" s="576">
        <v>2</v>
      </c>
      <c r="BM583" s="560">
        <f t="shared" si="90"/>
        <v>4</v>
      </c>
      <c r="BN583" s="662">
        <v>0.140625</v>
      </c>
      <c r="BO583" s="611">
        <v>4.0812499999999998</v>
      </c>
      <c r="BP583" s="611">
        <f t="shared" si="91"/>
        <v>-8.1249999999999822E-2</v>
      </c>
      <c r="BQ583" s="658"/>
      <c r="BR583" s="612">
        <v>1</v>
      </c>
      <c r="BS583" s="566" t="s">
        <v>127</v>
      </c>
    </row>
    <row r="584" spans="17:75" s="560" customFormat="1">
      <c r="Q584" s="562"/>
      <c r="R584" s="562">
        <v>0.7</v>
      </c>
      <c r="S584" s="562"/>
      <c r="T584" s="562"/>
      <c r="U584" s="562"/>
      <c r="V584" s="562"/>
      <c r="W584" s="562"/>
      <c r="X584" s="562"/>
      <c r="Y584" s="562"/>
      <c r="Z584" s="562"/>
      <c r="AA584" s="562"/>
      <c r="AB584" s="562"/>
      <c r="AC584" s="562"/>
      <c r="AD584" s="563"/>
      <c r="AE584" s="561"/>
      <c r="AF584" s="562"/>
      <c r="AG584" s="562"/>
      <c r="AH584" s="562"/>
      <c r="AI584" s="562"/>
      <c r="AJ584" s="562"/>
      <c r="AK584" s="562"/>
      <c r="AL584" s="562"/>
      <c r="AM584" s="562"/>
      <c r="AN584" s="562"/>
      <c r="AO584" s="562"/>
      <c r="AP584" s="562"/>
      <c r="AQ584" s="562"/>
      <c r="AR584" s="562"/>
      <c r="AS584" s="562"/>
      <c r="AT584" s="562"/>
      <c r="AU584" s="562"/>
      <c r="AV584" s="562"/>
      <c r="AW584" s="562"/>
      <c r="AX584" s="562"/>
      <c r="AY584" s="562"/>
      <c r="AZ584" s="562"/>
      <c r="BA584" s="562"/>
      <c r="BB584" s="563"/>
      <c r="BD584" s="560">
        <v>4</v>
      </c>
      <c r="BG584" s="576"/>
      <c r="BI584" s="576">
        <v>1</v>
      </c>
      <c r="BJ584" s="576"/>
      <c r="BK584" s="576"/>
      <c r="BL584" s="576">
        <v>2</v>
      </c>
      <c r="BM584" s="560">
        <f t="shared" si="90"/>
        <v>4</v>
      </c>
      <c r="BN584" s="662">
        <v>0.140625</v>
      </c>
      <c r="BO584" s="611">
        <v>4.0718750000000004</v>
      </c>
      <c r="BP584" s="611">
        <f t="shared" si="91"/>
        <v>-7.1875000000000355E-2</v>
      </c>
      <c r="BQ584" s="658"/>
      <c r="BR584" s="612">
        <v>1</v>
      </c>
      <c r="BS584" s="566" t="s">
        <v>127</v>
      </c>
    </row>
    <row r="585" spans="17:75" s="560" customFormat="1">
      <c r="Q585" s="562"/>
      <c r="R585" s="562">
        <v>0.46</v>
      </c>
      <c r="S585" s="562"/>
      <c r="T585" s="562"/>
      <c r="U585" s="562"/>
      <c r="V585" s="562"/>
      <c r="W585" s="562"/>
      <c r="X585" s="562"/>
      <c r="Y585" s="562"/>
      <c r="Z585" s="562"/>
      <c r="AA585" s="562"/>
      <c r="AB585" s="562"/>
      <c r="AC585" s="562"/>
      <c r="AD585" s="563"/>
      <c r="AE585" s="561"/>
      <c r="AF585" s="562"/>
      <c r="AG585" s="562"/>
      <c r="AH585" s="562"/>
      <c r="AI585" s="562"/>
      <c r="AJ585" s="562"/>
      <c r="AK585" s="562"/>
      <c r="AL585" s="562"/>
      <c r="AM585" s="562"/>
      <c r="AN585" s="562"/>
      <c r="AO585" s="562"/>
      <c r="AP585" s="562"/>
      <c r="AQ585" s="562"/>
      <c r="AR585" s="562"/>
      <c r="AS585" s="562"/>
      <c r="AT585" s="562"/>
      <c r="AU585" s="562"/>
      <c r="AV585" s="562"/>
      <c r="AW585" s="562"/>
      <c r="AX585" s="562"/>
      <c r="AY585" s="562"/>
      <c r="AZ585" s="562"/>
      <c r="BA585" s="562"/>
      <c r="BB585" s="563"/>
      <c r="BD585" s="560">
        <v>5</v>
      </c>
      <c r="BG585" s="576"/>
      <c r="BI585" s="576">
        <v>1</v>
      </c>
      <c r="BJ585" s="576"/>
      <c r="BK585" s="576"/>
      <c r="BL585" s="576">
        <v>2</v>
      </c>
      <c r="BM585" s="560">
        <f t="shared" si="90"/>
        <v>4</v>
      </c>
      <c r="BN585" s="662">
        <v>0.140625</v>
      </c>
      <c r="BO585" s="611">
        <v>4.0625</v>
      </c>
      <c r="BP585" s="611">
        <f t="shared" si="91"/>
        <v>-6.25E-2</v>
      </c>
      <c r="BQ585" s="658"/>
      <c r="BR585" s="612">
        <v>1</v>
      </c>
      <c r="BS585" s="566" t="s">
        <v>127</v>
      </c>
    </row>
    <row r="586" spans="17:75" s="560" customFormat="1">
      <c r="Q586" s="562"/>
      <c r="R586" s="562">
        <v>0.9</v>
      </c>
      <c r="S586" s="562"/>
      <c r="T586" s="562"/>
      <c r="U586" s="562"/>
      <c r="V586" s="562"/>
      <c r="W586" s="562"/>
      <c r="X586" s="562"/>
      <c r="Y586" s="562"/>
      <c r="Z586" s="562"/>
      <c r="AA586" s="562"/>
      <c r="AB586" s="562"/>
      <c r="AC586" s="562"/>
      <c r="AD586" s="563"/>
      <c r="AE586" s="561"/>
      <c r="AF586" s="562"/>
      <c r="AG586" s="562"/>
      <c r="AH586" s="562"/>
      <c r="AI586" s="562"/>
      <c r="AJ586" s="562"/>
      <c r="AK586" s="562"/>
      <c r="AL586" s="562"/>
      <c r="AM586" s="562"/>
      <c r="AN586" s="562"/>
      <c r="AO586" s="562"/>
      <c r="AP586" s="562"/>
      <c r="AQ586" s="562"/>
      <c r="AR586" s="562"/>
      <c r="AS586" s="562"/>
      <c r="AT586" s="562"/>
      <c r="AU586" s="562"/>
      <c r="AV586" s="562"/>
      <c r="AW586" s="562"/>
      <c r="AX586" s="562"/>
      <c r="AY586" s="562"/>
      <c r="AZ586" s="562"/>
      <c r="BA586" s="562"/>
      <c r="BB586" s="563"/>
      <c r="BD586" s="560">
        <v>6</v>
      </c>
      <c r="BG586" s="576"/>
      <c r="BI586" s="576">
        <v>1</v>
      </c>
      <c r="BJ586" s="703"/>
      <c r="BK586" s="576"/>
      <c r="BL586" s="576">
        <v>2</v>
      </c>
      <c r="BM586" s="560">
        <f t="shared" si="90"/>
        <v>4</v>
      </c>
      <c r="BN586" s="662">
        <v>0.140625</v>
      </c>
      <c r="BO586" s="611">
        <v>4.0531249999999996</v>
      </c>
      <c r="BP586" s="611">
        <f t="shared" si="91"/>
        <v>-5.3124999999999645E-2</v>
      </c>
      <c r="BQ586" s="658"/>
      <c r="BR586" s="612">
        <v>1</v>
      </c>
      <c r="BS586" s="566" t="s">
        <v>127</v>
      </c>
    </row>
    <row r="587" spans="17:75" s="560" customFormat="1">
      <c r="Q587" s="562"/>
      <c r="R587" s="562">
        <v>1.1000000000000001</v>
      </c>
      <c r="S587" s="562"/>
      <c r="T587" s="562"/>
      <c r="U587" s="562"/>
      <c r="V587" s="562"/>
      <c r="W587" s="562"/>
      <c r="X587" s="562"/>
      <c r="Y587" s="562"/>
      <c r="Z587" s="562"/>
      <c r="AA587" s="562"/>
      <c r="AB587" s="562"/>
      <c r="AC587" s="562"/>
      <c r="AD587" s="563"/>
      <c r="AE587" s="561"/>
      <c r="AF587" s="562"/>
      <c r="AG587" s="562"/>
      <c r="AH587" s="562"/>
      <c r="AI587" s="562"/>
      <c r="AJ587" s="562"/>
      <c r="AK587" s="562"/>
      <c r="AL587" s="562"/>
      <c r="AM587" s="562"/>
      <c r="AN587" s="562"/>
      <c r="AO587" s="562"/>
      <c r="AP587" s="562"/>
      <c r="AQ587" s="562"/>
      <c r="AR587" s="562"/>
      <c r="AS587" s="562"/>
      <c r="AT587" s="562"/>
      <c r="AU587" s="562"/>
      <c r="AV587" s="562"/>
      <c r="AW587" s="562"/>
      <c r="AX587" s="562"/>
      <c r="AY587" s="562"/>
      <c r="AZ587" s="562"/>
      <c r="BA587" s="562"/>
      <c r="BB587" s="563"/>
      <c r="BD587" s="560">
        <v>7</v>
      </c>
      <c r="BG587" s="576"/>
      <c r="BI587" s="576">
        <v>1</v>
      </c>
      <c r="BJ587" s="703"/>
      <c r="BK587" s="576"/>
      <c r="BL587" s="576">
        <v>2</v>
      </c>
      <c r="BM587" s="560">
        <f t="shared" si="90"/>
        <v>4</v>
      </c>
      <c r="BN587" s="662">
        <v>0.140625</v>
      </c>
      <c r="BO587" s="611">
        <v>4.0437500000000002</v>
      </c>
      <c r="BP587" s="611">
        <f t="shared" si="91"/>
        <v>-4.3750000000000178E-2</v>
      </c>
      <c r="BQ587" s="658"/>
      <c r="BR587" s="612">
        <v>1</v>
      </c>
      <c r="BS587" s="566" t="s">
        <v>127</v>
      </c>
    </row>
    <row r="588" spans="17:75" s="560" customFormat="1">
      <c r="Q588" s="562"/>
      <c r="R588" s="562">
        <v>0.83</v>
      </c>
      <c r="S588" s="562"/>
      <c r="T588" s="562"/>
      <c r="U588" s="562"/>
      <c r="V588" s="562"/>
      <c r="W588" s="562"/>
      <c r="X588" s="562"/>
      <c r="Y588" s="562"/>
      <c r="Z588" s="562"/>
      <c r="AA588" s="562"/>
      <c r="AB588" s="562"/>
      <c r="AC588" s="562"/>
      <c r="AD588" s="563"/>
      <c r="AE588" s="561"/>
      <c r="AF588" s="562"/>
      <c r="AG588" s="562"/>
      <c r="AH588" s="562"/>
      <c r="AI588" s="562"/>
      <c r="AJ588" s="562"/>
      <c r="AK588" s="562"/>
      <c r="AL588" s="562"/>
      <c r="AM588" s="562"/>
      <c r="AN588" s="562"/>
      <c r="AO588" s="562"/>
      <c r="AP588" s="562"/>
      <c r="AQ588" s="562"/>
      <c r="AR588" s="562"/>
      <c r="AS588" s="562"/>
      <c r="AT588" s="562"/>
      <c r="AU588" s="562"/>
      <c r="AV588" s="562"/>
      <c r="AW588" s="562"/>
      <c r="AX588" s="562"/>
      <c r="AY588" s="562"/>
      <c r="AZ588" s="562"/>
      <c r="BA588" s="562"/>
      <c r="BB588" s="563"/>
      <c r="BD588" s="560">
        <v>8</v>
      </c>
      <c r="BG588" s="576"/>
      <c r="BI588" s="576">
        <v>1</v>
      </c>
      <c r="BJ588" s="703"/>
      <c r="BK588" s="576"/>
      <c r="BL588" s="576">
        <v>2</v>
      </c>
      <c r="BM588" s="560">
        <f t="shared" si="90"/>
        <v>4</v>
      </c>
      <c r="BN588" s="662">
        <v>0.140625</v>
      </c>
      <c r="BO588" s="611">
        <v>4.0343749999999998</v>
      </c>
      <c r="BP588" s="611">
        <f t="shared" si="91"/>
        <v>-3.4374999999999822E-2</v>
      </c>
      <c r="BQ588" s="658"/>
      <c r="BR588" s="612">
        <v>1</v>
      </c>
      <c r="BS588" s="566" t="s">
        <v>127</v>
      </c>
    </row>
    <row r="589" spans="17:75" s="560" customFormat="1">
      <c r="Q589" s="562"/>
      <c r="R589" s="562">
        <v>0.45</v>
      </c>
      <c r="S589" s="562"/>
      <c r="T589" s="562"/>
      <c r="U589" s="562"/>
      <c r="V589" s="562"/>
      <c r="W589" s="562"/>
      <c r="X589" s="562"/>
      <c r="Y589" s="562"/>
      <c r="Z589" s="562"/>
      <c r="AA589" s="562"/>
      <c r="AB589" s="562"/>
      <c r="AC589" s="562"/>
      <c r="AD589" s="563"/>
      <c r="AE589" s="561"/>
      <c r="AF589" s="562"/>
      <c r="AG589" s="562"/>
      <c r="AH589" s="562"/>
      <c r="AI589" s="562"/>
      <c r="AJ589" s="562"/>
      <c r="AK589" s="562"/>
      <c r="AL589" s="562"/>
      <c r="AM589" s="562"/>
      <c r="AN589" s="562"/>
      <c r="AO589" s="562"/>
      <c r="AP589" s="562"/>
      <c r="AQ589" s="562"/>
      <c r="AR589" s="562"/>
      <c r="AS589" s="562"/>
      <c r="AT589" s="562"/>
      <c r="AU589" s="562"/>
      <c r="AV589" s="562"/>
      <c r="AW589" s="562"/>
      <c r="AX589" s="562"/>
      <c r="AY589" s="562"/>
      <c r="AZ589" s="562"/>
      <c r="BA589" s="562"/>
      <c r="BB589" s="563"/>
      <c r="BD589" s="560">
        <v>9</v>
      </c>
      <c r="BG589" s="576"/>
      <c r="BI589" s="576">
        <v>1</v>
      </c>
      <c r="BJ589" s="703"/>
      <c r="BK589" s="576"/>
      <c r="BL589" s="576">
        <v>2</v>
      </c>
      <c r="BM589" s="560">
        <f t="shared" si="90"/>
        <v>4</v>
      </c>
      <c r="BN589" s="662">
        <v>0.140625</v>
      </c>
      <c r="BO589" s="611">
        <v>4.0250000000000004</v>
      </c>
      <c r="BP589" s="611">
        <f t="shared" si="91"/>
        <v>-2.5000000000000355E-2</v>
      </c>
      <c r="BQ589" s="658"/>
      <c r="BR589" s="612">
        <v>1</v>
      </c>
      <c r="BS589" s="566" t="s">
        <v>127</v>
      </c>
    </row>
    <row r="590" spans="17:75" s="560" customFormat="1">
      <c r="Q590" s="562"/>
      <c r="R590" s="562">
        <v>0.43</v>
      </c>
      <c r="S590" s="562"/>
      <c r="T590" s="562"/>
      <c r="U590" s="562"/>
      <c r="V590" s="562"/>
      <c r="W590" s="562"/>
      <c r="X590" s="562"/>
      <c r="Y590" s="562"/>
      <c r="Z590" s="562"/>
      <c r="AA590" s="562"/>
      <c r="AB590" s="562"/>
      <c r="AC590" s="562"/>
      <c r="AD590" s="563"/>
      <c r="AE590" s="561"/>
      <c r="AF590" s="562"/>
      <c r="AG590" s="562"/>
      <c r="AH590" s="562"/>
      <c r="AI590" s="562"/>
      <c r="AJ590" s="562"/>
      <c r="AK590" s="562"/>
      <c r="AL590" s="562"/>
      <c r="AM590" s="562"/>
      <c r="AN590" s="562"/>
      <c r="AO590" s="562"/>
      <c r="AP590" s="562"/>
      <c r="AQ590" s="562"/>
      <c r="AR590" s="562"/>
      <c r="AS590" s="562"/>
      <c r="AT590" s="562"/>
      <c r="AU590" s="562"/>
      <c r="AV590" s="562"/>
      <c r="AW590" s="562"/>
      <c r="AX590" s="562"/>
      <c r="AY590" s="562"/>
      <c r="AZ590" s="562"/>
      <c r="BA590" s="562"/>
      <c r="BB590" s="563"/>
      <c r="BD590" s="560">
        <v>10</v>
      </c>
      <c r="BG590" s="576"/>
      <c r="BI590" s="576">
        <v>1</v>
      </c>
      <c r="BJ590" s="703"/>
      <c r="BK590" s="576"/>
      <c r="BL590" s="576">
        <v>2</v>
      </c>
      <c r="BM590" s="560">
        <f t="shared" si="90"/>
        <v>4</v>
      </c>
      <c r="BN590" s="662">
        <v>0.140625</v>
      </c>
      <c r="BO590" s="611">
        <v>4.015625</v>
      </c>
      <c r="BP590" s="611">
        <f t="shared" si="91"/>
        <v>-1.5625E-2</v>
      </c>
      <c r="BQ590" s="658"/>
      <c r="BR590" s="612">
        <v>1</v>
      </c>
      <c r="BS590" s="566" t="s">
        <v>127</v>
      </c>
    </row>
    <row r="591" spans="17:75" s="560" customFormat="1">
      <c r="Q591" s="562"/>
      <c r="R591" s="562">
        <v>1</v>
      </c>
      <c r="S591" s="562"/>
      <c r="T591" s="562"/>
      <c r="U591" s="562"/>
      <c r="V591" s="562"/>
      <c r="W591" s="562"/>
      <c r="X591" s="562"/>
      <c r="Y591" s="562"/>
      <c r="Z591" s="562"/>
      <c r="AA591" s="562"/>
      <c r="AB591" s="562"/>
      <c r="AC591" s="562"/>
      <c r="AD591" s="563"/>
      <c r="AE591" s="561"/>
      <c r="AF591" s="562"/>
      <c r="AG591" s="562"/>
      <c r="AH591" s="562"/>
      <c r="AI591" s="562"/>
      <c r="AJ591" s="562"/>
      <c r="AK591" s="562"/>
      <c r="AL591" s="562"/>
      <c r="AM591" s="562"/>
      <c r="AN591" s="562"/>
      <c r="AO591" s="562"/>
      <c r="AP591" s="562"/>
      <c r="AQ591" s="562"/>
      <c r="AR591" s="562"/>
      <c r="AS591" s="562"/>
      <c r="AT591" s="562"/>
      <c r="AU591" s="562"/>
      <c r="AV591" s="562"/>
      <c r="AW591" s="562"/>
      <c r="AX591" s="562"/>
      <c r="AY591" s="562"/>
      <c r="AZ591" s="562"/>
      <c r="BA591" s="562"/>
      <c r="BB591" s="563"/>
      <c r="BD591" s="560">
        <v>11</v>
      </c>
      <c r="BG591" s="576"/>
      <c r="BI591" s="576">
        <v>1</v>
      </c>
      <c r="BJ591" s="703"/>
      <c r="BK591" s="576"/>
      <c r="BL591" s="576">
        <v>2</v>
      </c>
      <c r="BM591" s="560">
        <f t="shared" si="90"/>
        <v>4</v>
      </c>
      <c r="BN591" s="662">
        <v>0.140625</v>
      </c>
      <c r="BO591" s="611">
        <v>4.0062500000000005</v>
      </c>
      <c r="BP591" s="611">
        <f t="shared" si="91"/>
        <v>-6.2500000000005329E-3</v>
      </c>
      <c r="BQ591" s="658"/>
      <c r="BR591" s="612">
        <v>1</v>
      </c>
      <c r="BS591" s="566" t="s">
        <v>127</v>
      </c>
      <c r="BV591" s="627" t="s">
        <v>806</v>
      </c>
      <c r="BW591" s="627">
        <f>COUNT(BP581:BP613)</f>
        <v>32</v>
      </c>
    </row>
    <row r="592" spans="17:75" s="560" customFormat="1">
      <c r="Q592" s="562"/>
      <c r="R592" s="562">
        <v>0.4</v>
      </c>
      <c r="S592" s="562"/>
      <c r="T592" s="562"/>
      <c r="U592" s="562"/>
      <c r="V592" s="562"/>
      <c r="W592" s="562"/>
      <c r="X592" s="562"/>
      <c r="Y592" s="562"/>
      <c r="Z592" s="562"/>
      <c r="AA592" s="562"/>
      <c r="AB592" s="562"/>
      <c r="AC592" s="562"/>
      <c r="AD592" s="563"/>
      <c r="AE592" s="561"/>
      <c r="AF592" s="562"/>
      <c r="AG592" s="562"/>
      <c r="AH592" s="562"/>
      <c r="AI592" s="562"/>
      <c r="AJ592" s="562"/>
      <c r="AK592" s="562"/>
      <c r="AL592" s="562"/>
      <c r="AM592" s="562"/>
      <c r="AN592" s="562"/>
      <c r="AO592" s="562"/>
      <c r="AP592" s="562"/>
      <c r="AQ592" s="562"/>
      <c r="AR592" s="562"/>
      <c r="AS592" s="562"/>
      <c r="AT592" s="562"/>
      <c r="AU592" s="562"/>
      <c r="AV592" s="562"/>
      <c r="AW592" s="562"/>
      <c r="AX592" s="562"/>
      <c r="AY592" s="562"/>
      <c r="AZ592" s="562"/>
      <c r="BA592" s="562"/>
      <c r="BB592" s="563"/>
      <c r="BD592" s="560">
        <v>12</v>
      </c>
      <c r="BG592" s="576"/>
      <c r="BI592" s="576">
        <v>1</v>
      </c>
      <c r="BJ592" s="703"/>
      <c r="BK592" s="576"/>
      <c r="BL592" s="576">
        <v>2</v>
      </c>
      <c r="BM592" s="560">
        <f t="shared" si="90"/>
        <v>4</v>
      </c>
      <c r="BN592" s="662">
        <v>0.140625</v>
      </c>
      <c r="BO592" s="611">
        <v>3.9968750000000002</v>
      </c>
      <c r="BP592" s="611">
        <f t="shared" si="91"/>
        <v>3.1249999999998224E-3</v>
      </c>
      <c r="BQ592" s="658"/>
      <c r="BR592" s="612">
        <v>1</v>
      </c>
      <c r="BS592" s="566" t="s">
        <v>127</v>
      </c>
      <c r="BV592" s="627" t="s">
        <v>812</v>
      </c>
      <c r="BW592" s="628">
        <f>SUM(BP581:BP613)</f>
        <v>1.3187499999999948</v>
      </c>
    </row>
    <row r="593" spans="17:75" s="560" customFormat="1">
      <c r="Q593" s="562" t="s">
        <v>799</v>
      </c>
      <c r="R593" s="562"/>
      <c r="S593" s="562"/>
      <c r="T593" s="562"/>
      <c r="U593" s="562"/>
      <c r="V593" s="562"/>
      <c r="W593" s="562"/>
      <c r="X593" s="562"/>
      <c r="Y593" s="562"/>
      <c r="Z593" s="562"/>
      <c r="AA593" s="562"/>
      <c r="AB593" s="562"/>
      <c r="AC593" s="562"/>
      <c r="AD593" s="563"/>
      <c r="AE593" s="561"/>
      <c r="AF593" s="562"/>
      <c r="AG593" s="562"/>
      <c r="AH593" s="562"/>
      <c r="AI593" s="562"/>
      <c r="AJ593" s="562"/>
      <c r="AK593" s="562"/>
      <c r="AL593" s="562"/>
      <c r="AM593" s="562"/>
      <c r="AN593" s="562"/>
      <c r="AO593" s="562"/>
      <c r="AP593" s="562"/>
      <c r="AQ593" s="562"/>
      <c r="AR593" s="562"/>
      <c r="AS593" s="562"/>
      <c r="AT593" s="562"/>
      <c r="AU593" s="562"/>
      <c r="AV593" s="562"/>
      <c r="AW593" s="562"/>
      <c r="AX593" s="562"/>
      <c r="AY593" s="562"/>
      <c r="AZ593" s="562"/>
      <c r="BA593" s="562"/>
      <c r="BB593" s="563"/>
      <c r="BD593" s="560">
        <v>13</v>
      </c>
      <c r="BG593" s="576"/>
      <c r="BI593" s="576">
        <v>1</v>
      </c>
      <c r="BJ593" s="703"/>
      <c r="BK593" s="576"/>
      <c r="BL593" s="576">
        <v>2</v>
      </c>
      <c r="BM593" s="560">
        <f t="shared" si="90"/>
        <v>4</v>
      </c>
      <c r="BN593" s="662">
        <v>0.140625</v>
      </c>
      <c r="BO593" s="611">
        <v>3.9875000000000003</v>
      </c>
      <c r="BP593" s="611">
        <f t="shared" si="91"/>
        <v>1.2499999999999734E-2</v>
      </c>
      <c r="BQ593" s="658"/>
      <c r="BR593" s="612">
        <v>1</v>
      </c>
      <c r="BS593" s="566" t="s">
        <v>127</v>
      </c>
      <c r="BV593" s="627" t="s">
        <v>811</v>
      </c>
      <c r="BW593" s="628">
        <f>MAX(BP581:BP613)</f>
        <v>0.26874999999999982</v>
      </c>
    </row>
    <row r="594" spans="17:75" s="560" customFormat="1">
      <c r="Q594" s="562"/>
      <c r="R594" s="562">
        <v>0.43</v>
      </c>
      <c r="S594" s="562"/>
      <c r="T594" s="562"/>
      <c r="U594" s="562"/>
      <c r="V594" s="562"/>
      <c r="W594" s="562"/>
      <c r="X594" s="562"/>
      <c r="Y594" s="562"/>
      <c r="Z594" s="562"/>
      <c r="AA594" s="562"/>
      <c r="AB594" s="562"/>
      <c r="AC594" s="562"/>
      <c r="AD594" s="563"/>
      <c r="AE594" s="561"/>
      <c r="AF594" s="562"/>
      <c r="AG594" s="562"/>
      <c r="AH594" s="562"/>
      <c r="AI594" s="562"/>
      <c r="AJ594" s="562"/>
      <c r="AK594" s="562"/>
      <c r="AL594" s="562"/>
      <c r="AM594" s="562"/>
      <c r="AN594" s="562"/>
      <c r="AO594" s="562"/>
      <c r="AP594" s="562"/>
      <c r="AQ594" s="562"/>
      <c r="AR594" s="562"/>
      <c r="AS594" s="562"/>
      <c r="AT594" s="562"/>
      <c r="AU594" s="562"/>
      <c r="AV594" s="562"/>
      <c r="AW594" s="562"/>
      <c r="AX594" s="562"/>
      <c r="AY594" s="562"/>
      <c r="AZ594" s="562"/>
      <c r="BA594" s="562"/>
      <c r="BB594" s="563"/>
      <c r="BD594" s="560">
        <v>14</v>
      </c>
      <c r="BG594" s="576"/>
      <c r="BI594" s="576">
        <v>1</v>
      </c>
      <c r="BJ594" s="703"/>
      <c r="BK594" s="576"/>
      <c r="BL594" s="576">
        <v>2</v>
      </c>
      <c r="BM594" s="560">
        <f t="shared" si="90"/>
        <v>4</v>
      </c>
      <c r="BN594" s="662">
        <v>0.140625</v>
      </c>
      <c r="BO594" s="611">
        <v>3.9781250000000004</v>
      </c>
      <c r="BP594" s="611">
        <f t="shared" si="91"/>
        <v>2.1874999999999645E-2</v>
      </c>
      <c r="BQ594" s="658"/>
      <c r="BR594" s="612">
        <v>1</v>
      </c>
      <c r="BS594" s="566" t="s">
        <v>127</v>
      </c>
      <c r="BV594" s="627" t="s">
        <v>814</v>
      </c>
      <c r="BW594" s="628">
        <f>MIN(BP581:BP613)</f>
        <v>-0.41875000000000018</v>
      </c>
    </row>
    <row r="595" spans="17:75" s="560" customFormat="1">
      <c r="Q595" s="562"/>
      <c r="R595" s="562">
        <v>1</v>
      </c>
      <c r="S595" s="562"/>
      <c r="T595" s="562"/>
      <c r="U595" s="562"/>
      <c r="V595" s="562"/>
      <c r="W595" s="562"/>
      <c r="X595" s="562"/>
      <c r="Y595" s="562"/>
      <c r="Z595" s="562"/>
      <c r="AA595" s="562"/>
      <c r="AB595" s="562"/>
      <c r="AC595" s="562"/>
      <c r="AD595" s="563"/>
      <c r="AE595" s="561"/>
      <c r="AF595" s="562"/>
      <c r="AG595" s="562"/>
      <c r="AH595" s="562"/>
      <c r="AI595" s="562"/>
      <c r="AJ595" s="562"/>
      <c r="AK595" s="562"/>
      <c r="AL595" s="562"/>
      <c r="AM595" s="562"/>
      <c r="AN595" s="562"/>
      <c r="AO595" s="562"/>
      <c r="AP595" s="562"/>
      <c r="AQ595" s="562"/>
      <c r="AR595" s="562"/>
      <c r="AS595" s="562"/>
      <c r="AT595" s="562"/>
      <c r="AU595" s="562"/>
      <c r="AV595" s="562"/>
      <c r="AW595" s="562"/>
      <c r="AX595" s="562"/>
      <c r="AY595" s="562"/>
      <c r="AZ595" s="562"/>
      <c r="BA595" s="562"/>
      <c r="BB595" s="563"/>
      <c r="BD595" s="560" t="s">
        <v>778</v>
      </c>
      <c r="BF595" s="560">
        <v>0.2</v>
      </c>
      <c r="BG595" s="576" t="s">
        <v>892</v>
      </c>
      <c r="BI595" s="576"/>
      <c r="BJ595" s="703"/>
      <c r="BK595" s="576"/>
      <c r="BL595" s="576"/>
      <c r="BM595" s="576"/>
      <c r="BN595" s="662"/>
      <c r="BO595" s="611"/>
      <c r="BP595" s="611"/>
      <c r="BQ595" s="658"/>
      <c r="BR595" s="658"/>
      <c r="BS595" s="566" t="s">
        <v>127</v>
      </c>
      <c r="BT595" s="560">
        <v>3208</v>
      </c>
      <c r="BV595" s="627" t="s">
        <v>817</v>
      </c>
      <c r="BW595" s="628">
        <f>AVERAGE(BP581:BP613)</f>
        <v>4.1210937499999836E-2</v>
      </c>
    </row>
    <row r="596" spans="17:75" s="560" customFormat="1">
      <c r="Q596" s="562"/>
      <c r="R596" s="562">
        <v>0.73</v>
      </c>
      <c r="S596" s="562"/>
      <c r="T596" s="562"/>
      <c r="U596" s="562"/>
      <c r="V596" s="562"/>
      <c r="W596" s="562"/>
      <c r="X596" s="562"/>
      <c r="Y596" s="562"/>
      <c r="Z596" s="562"/>
      <c r="AA596" s="562"/>
      <c r="AB596" s="562"/>
      <c r="AC596" s="562"/>
      <c r="AD596" s="563"/>
      <c r="AE596" s="561"/>
      <c r="AF596" s="562"/>
      <c r="AG596" s="562"/>
      <c r="AH596" s="562"/>
      <c r="AI596" s="562"/>
      <c r="AJ596" s="562"/>
      <c r="AK596" s="562"/>
      <c r="AL596" s="562"/>
      <c r="AM596" s="562"/>
      <c r="AN596" s="562"/>
      <c r="AO596" s="562"/>
      <c r="AP596" s="562"/>
      <c r="AQ596" s="562"/>
      <c r="AR596" s="562"/>
      <c r="AS596" s="562"/>
      <c r="AT596" s="562"/>
      <c r="AU596" s="562"/>
      <c r="AV596" s="562"/>
      <c r="AW596" s="562"/>
      <c r="AX596" s="562"/>
      <c r="AY596" s="562"/>
      <c r="AZ596" s="562"/>
      <c r="BA596" s="562"/>
      <c r="BB596" s="563"/>
      <c r="BD596" s="560">
        <v>15</v>
      </c>
      <c r="BG596" s="576"/>
      <c r="BI596" s="576">
        <v>1</v>
      </c>
      <c r="BJ596" s="703"/>
      <c r="BK596" s="576"/>
      <c r="BL596" s="576">
        <v>2.0499999999999998</v>
      </c>
      <c r="BM596" s="560">
        <f t="shared" ref="BM596:BM613" si="92">BL596+BL596</f>
        <v>4.0999999999999996</v>
      </c>
      <c r="BN596" s="662">
        <v>0.140625</v>
      </c>
      <c r="BO596" s="611">
        <v>3.9593750000000001</v>
      </c>
      <c r="BP596" s="611">
        <f t="shared" ref="BP596:BP613" si="93">BM596-BO596</f>
        <v>0.14062499999999956</v>
      </c>
      <c r="BQ596" s="658"/>
      <c r="BR596" s="612">
        <v>1</v>
      </c>
      <c r="BS596" s="566" t="s">
        <v>127</v>
      </c>
      <c r="BV596" s="627" t="s">
        <v>818</v>
      </c>
      <c r="BW596" s="627" t="e">
        <f ca="1">_xlfn.STDEV.S(BP581:BP613)</f>
        <v>#NAME?</v>
      </c>
    </row>
    <row r="597" spans="17:75" s="560" customFormat="1">
      <c r="Q597" s="562"/>
      <c r="R597" s="562">
        <v>0.91</v>
      </c>
      <c r="S597" s="562"/>
      <c r="T597" s="562"/>
      <c r="U597" s="562"/>
      <c r="V597" s="562"/>
      <c r="W597" s="562"/>
      <c r="X597" s="562"/>
      <c r="Y597" s="562"/>
      <c r="Z597" s="562"/>
      <c r="AA597" s="562"/>
      <c r="AB597" s="562"/>
      <c r="AC597" s="562"/>
      <c r="AD597" s="563"/>
      <c r="AE597" s="561"/>
      <c r="AF597" s="562"/>
      <c r="AG597" s="562"/>
      <c r="AH597" s="562"/>
      <c r="AI597" s="562"/>
      <c r="AJ597" s="562"/>
      <c r="AK597" s="562"/>
      <c r="AL597" s="562"/>
      <c r="AM597" s="562"/>
      <c r="AN597" s="562"/>
      <c r="AO597" s="562"/>
      <c r="AP597" s="562"/>
      <c r="AQ597" s="562"/>
      <c r="AR597" s="562"/>
      <c r="AS597" s="562"/>
      <c r="AT597" s="562"/>
      <c r="AU597" s="562"/>
      <c r="AV597" s="562"/>
      <c r="AW597" s="562"/>
      <c r="AX597" s="562"/>
      <c r="AY597" s="562"/>
      <c r="AZ597" s="562"/>
      <c r="BA597" s="562"/>
      <c r="BB597" s="563"/>
      <c r="BD597" s="560">
        <v>16</v>
      </c>
      <c r="BG597" s="576"/>
      <c r="BI597" s="576">
        <v>1</v>
      </c>
      <c r="BJ597" s="703"/>
      <c r="BK597" s="576"/>
      <c r="BL597" s="576">
        <v>2</v>
      </c>
      <c r="BM597" s="560">
        <f t="shared" si="92"/>
        <v>4</v>
      </c>
      <c r="BN597" s="662">
        <v>0.140625</v>
      </c>
      <c r="BO597" s="611">
        <v>3.95</v>
      </c>
      <c r="BP597" s="611">
        <f t="shared" si="93"/>
        <v>4.9999999999999822E-2</v>
      </c>
      <c r="BQ597" s="658"/>
      <c r="BR597" s="612">
        <v>1</v>
      </c>
      <c r="BS597" s="566" t="s">
        <v>127</v>
      </c>
    </row>
    <row r="598" spans="17:75" s="560" customFormat="1">
      <c r="Q598" s="562"/>
      <c r="R598" s="562">
        <v>1</v>
      </c>
      <c r="S598" s="562"/>
      <c r="T598" s="562"/>
      <c r="U598" s="562"/>
      <c r="V598" s="562"/>
      <c r="W598" s="562"/>
      <c r="X598" s="562"/>
      <c r="Y598" s="562"/>
      <c r="Z598" s="562"/>
      <c r="AA598" s="562"/>
      <c r="AB598" s="562"/>
      <c r="AC598" s="562"/>
      <c r="AD598" s="563"/>
      <c r="AE598" s="561"/>
      <c r="AF598" s="562"/>
      <c r="AG598" s="562"/>
      <c r="AH598" s="562"/>
      <c r="AI598" s="562"/>
      <c r="AJ598" s="562"/>
      <c r="AK598" s="562"/>
      <c r="AL598" s="562"/>
      <c r="AM598" s="562"/>
      <c r="AN598" s="562"/>
      <c r="AO598" s="562"/>
      <c r="AP598" s="562"/>
      <c r="AQ598" s="562"/>
      <c r="AR598" s="562"/>
      <c r="AS598" s="562"/>
      <c r="AT598" s="562"/>
      <c r="AU598" s="562"/>
      <c r="AV598" s="562"/>
      <c r="AW598" s="562"/>
      <c r="AX598" s="562"/>
      <c r="AY598" s="562"/>
      <c r="AZ598" s="562"/>
      <c r="BA598" s="562"/>
      <c r="BB598" s="563"/>
      <c r="BD598" s="560">
        <v>17</v>
      </c>
      <c r="BG598" s="576"/>
      <c r="BI598" s="576">
        <v>1</v>
      </c>
      <c r="BJ598" s="703"/>
      <c r="BK598" s="576"/>
      <c r="BL598" s="576">
        <v>2</v>
      </c>
      <c r="BM598" s="560">
        <f t="shared" si="92"/>
        <v>4</v>
      </c>
      <c r="BN598" s="662">
        <v>0.140625</v>
      </c>
      <c r="BO598" s="611">
        <v>3.9406250000000003</v>
      </c>
      <c r="BP598" s="611">
        <f t="shared" si="93"/>
        <v>5.9374999999999734E-2</v>
      </c>
      <c r="BQ598" s="658"/>
      <c r="BR598" s="612">
        <v>1</v>
      </c>
      <c r="BS598" s="566" t="s">
        <v>127</v>
      </c>
    </row>
    <row r="599" spans="17:75" s="560" customFormat="1">
      <c r="Q599" s="562"/>
      <c r="R599" s="562">
        <v>1</v>
      </c>
      <c r="S599" s="562"/>
      <c r="T599" s="562"/>
      <c r="U599" s="562"/>
      <c r="V599" s="562"/>
      <c r="W599" s="562"/>
      <c r="X599" s="562"/>
      <c r="Y599" s="562"/>
      <c r="Z599" s="562"/>
      <c r="AA599" s="562"/>
      <c r="AB599" s="562"/>
      <c r="AC599" s="562"/>
      <c r="AD599" s="563"/>
      <c r="AE599" s="561"/>
      <c r="AF599" s="562"/>
      <c r="AG599" s="562"/>
      <c r="AH599" s="562"/>
      <c r="AI599" s="562"/>
      <c r="AJ599" s="562"/>
      <c r="AK599" s="562"/>
      <c r="AL599" s="562"/>
      <c r="AM599" s="562"/>
      <c r="AN599" s="562"/>
      <c r="AO599" s="562"/>
      <c r="AP599" s="562"/>
      <c r="AQ599" s="562"/>
      <c r="AR599" s="562"/>
      <c r="AS599" s="562"/>
      <c r="AT599" s="562"/>
      <c r="AU599" s="562"/>
      <c r="AV599" s="562"/>
      <c r="AW599" s="562"/>
      <c r="AX599" s="562"/>
      <c r="AY599" s="562"/>
      <c r="AZ599" s="562"/>
      <c r="BA599" s="562"/>
      <c r="BB599" s="563"/>
      <c r="BD599" s="560">
        <v>18</v>
      </c>
      <c r="BG599" s="576"/>
      <c r="BI599" s="576">
        <v>1</v>
      </c>
      <c r="BJ599" s="703"/>
      <c r="BK599" s="576"/>
      <c r="BL599" s="576">
        <v>2.1</v>
      </c>
      <c r="BM599" s="560">
        <f t="shared" si="92"/>
        <v>4.2</v>
      </c>
      <c r="BN599" s="662">
        <v>0.140625</v>
      </c>
      <c r="BO599" s="611">
        <v>3.9312500000000004</v>
      </c>
      <c r="BP599" s="611">
        <f t="shared" si="93"/>
        <v>0.26874999999999982</v>
      </c>
      <c r="BQ599" s="658"/>
      <c r="BR599" s="612">
        <v>1</v>
      </c>
      <c r="BS599" s="566" t="s">
        <v>127</v>
      </c>
    </row>
    <row r="600" spans="17:75" s="560" customFormat="1">
      <c r="Q600" s="562"/>
      <c r="R600" s="562">
        <v>0.8</v>
      </c>
      <c r="S600" s="562"/>
      <c r="T600" s="562"/>
      <c r="U600" s="562"/>
      <c r="V600" s="562"/>
      <c r="W600" s="562"/>
      <c r="X600" s="562"/>
      <c r="Y600" s="562"/>
      <c r="Z600" s="562"/>
      <c r="AA600" s="562"/>
      <c r="AB600" s="562"/>
      <c r="AC600" s="562"/>
      <c r="AD600" s="563"/>
      <c r="AE600" s="561"/>
      <c r="AF600" s="562"/>
      <c r="AG600" s="562"/>
      <c r="AH600" s="562"/>
      <c r="AI600" s="562"/>
      <c r="AJ600" s="562"/>
      <c r="AK600" s="562"/>
      <c r="AL600" s="562"/>
      <c r="AM600" s="562"/>
      <c r="AN600" s="562"/>
      <c r="AO600" s="562"/>
      <c r="AP600" s="562"/>
      <c r="AQ600" s="562"/>
      <c r="AR600" s="562"/>
      <c r="AS600" s="562"/>
      <c r="AT600" s="562"/>
      <c r="AU600" s="562"/>
      <c r="AV600" s="562"/>
      <c r="AW600" s="562"/>
      <c r="AX600" s="562"/>
      <c r="AY600" s="562"/>
      <c r="AZ600" s="562"/>
      <c r="BA600" s="562"/>
      <c r="BB600" s="563"/>
      <c r="BD600" s="560">
        <v>19</v>
      </c>
      <c r="BG600" s="576"/>
      <c r="BI600" s="576">
        <v>1</v>
      </c>
      <c r="BJ600" s="703"/>
      <c r="BK600" s="576"/>
      <c r="BL600" s="576">
        <v>2</v>
      </c>
      <c r="BM600" s="560">
        <f t="shared" si="92"/>
        <v>4</v>
      </c>
      <c r="BN600" s="662">
        <v>0.140625</v>
      </c>
      <c r="BO600" s="611">
        <v>3.921875</v>
      </c>
      <c r="BP600" s="611">
        <f t="shared" si="93"/>
        <v>7.8125E-2</v>
      </c>
      <c r="BQ600" s="658"/>
      <c r="BR600" s="612">
        <v>1</v>
      </c>
      <c r="BS600" s="566" t="s">
        <v>127</v>
      </c>
    </row>
    <row r="601" spans="17:75" s="560" customFormat="1">
      <c r="Q601" s="562"/>
      <c r="R601" s="562">
        <v>0.5</v>
      </c>
      <c r="S601" s="562"/>
      <c r="T601" s="562"/>
      <c r="U601" s="562"/>
      <c r="V601" s="562"/>
      <c r="W601" s="562"/>
      <c r="X601" s="562"/>
      <c r="Y601" s="562"/>
      <c r="Z601" s="562"/>
      <c r="AA601" s="562"/>
      <c r="AB601" s="562"/>
      <c r="AC601" s="562"/>
      <c r="AD601" s="563"/>
      <c r="AE601" s="561"/>
      <c r="AF601" s="562"/>
      <c r="AG601" s="562"/>
      <c r="AH601" s="562"/>
      <c r="AI601" s="562"/>
      <c r="AJ601" s="562"/>
      <c r="AK601" s="562"/>
      <c r="AL601" s="562"/>
      <c r="AM601" s="562"/>
      <c r="AN601" s="562"/>
      <c r="AO601" s="562"/>
      <c r="AP601" s="562"/>
      <c r="AQ601" s="562"/>
      <c r="AR601" s="562"/>
      <c r="AS601" s="562"/>
      <c r="AT601" s="562"/>
      <c r="AU601" s="562"/>
      <c r="AV601" s="562"/>
      <c r="AW601" s="562"/>
      <c r="AX601" s="562"/>
      <c r="AY601" s="562"/>
      <c r="AZ601" s="562"/>
      <c r="BA601" s="562"/>
      <c r="BB601" s="563"/>
      <c r="BD601" s="560">
        <v>20</v>
      </c>
      <c r="BG601" s="576"/>
      <c r="BI601" s="576">
        <v>1</v>
      </c>
      <c r="BJ601" s="703"/>
      <c r="BK601" s="576"/>
      <c r="BL601" s="576">
        <v>2</v>
      </c>
      <c r="BM601" s="560">
        <f t="shared" si="92"/>
        <v>4</v>
      </c>
      <c r="BN601" s="662">
        <v>0.140625</v>
      </c>
      <c r="BO601" s="611">
        <v>3.9125000000000001</v>
      </c>
      <c r="BP601" s="611">
        <f t="shared" si="93"/>
        <v>8.7499999999999911E-2</v>
      </c>
      <c r="BQ601" s="658"/>
      <c r="BR601" s="612">
        <v>1</v>
      </c>
      <c r="BS601" s="566" t="s">
        <v>127</v>
      </c>
    </row>
    <row r="602" spans="17:75" s="560" customFormat="1">
      <c r="Q602" s="562"/>
      <c r="R602" s="562">
        <v>0.93</v>
      </c>
      <c r="S602" s="562"/>
      <c r="T602" s="562"/>
      <c r="U602" s="562"/>
      <c r="V602" s="562"/>
      <c r="W602" s="562"/>
      <c r="X602" s="562"/>
      <c r="Y602" s="562"/>
      <c r="Z602" s="562"/>
      <c r="AA602" s="562"/>
      <c r="AB602" s="562"/>
      <c r="AC602" s="562"/>
      <c r="AD602" s="563"/>
      <c r="AE602" s="561"/>
      <c r="AF602" s="562"/>
      <c r="AG602" s="562"/>
      <c r="AH602" s="562"/>
      <c r="AI602" s="562"/>
      <c r="AJ602" s="562"/>
      <c r="AK602" s="562"/>
      <c r="AL602" s="562"/>
      <c r="AM602" s="562"/>
      <c r="AN602" s="562"/>
      <c r="AO602" s="562"/>
      <c r="AP602" s="562"/>
      <c r="AQ602" s="562"/>
      <c r="AR602" s="562"/>
      <c r="AS602" s="562"/>
      <c r="AT602" s="562"/>
      <c r="AU602" s="562"/>
      <c r="AV602" s="562"/>
      <c r="AW602" s="562"/>
      <c r="AX602" s="562"/>
      <c r="AY602" s="562"/>
      <c r="AZ602" s="562"/>
      <c r="BA602" s="562"/>
      <c r="BB602" s="563"/>
      <c r="BD602" s="560">
        <v>21</v>
      </c>
      <c r="BF602" s="560">
        <v>0.1</v>
      </c>
      <c r="BG602" s="576" t="s">
        <v>793</v>
      </c>
      <c r="BI602" s="576">
        <v>1</v>
      </c>
      <c r="BJ602" s="576"/>
      <c r="BK602" s="576">
        <v>1</v>
      </c>
      <c r="BL602" s="576">
        <v>2</v>
      </c>
      <c r="BM602" s="560">
        <f t="shared" si="92"/>
        <v>4</v>
      </c>
      <c r="BN602" s="662">
        <v>0.140625</v>
      </c>
      <c r="BO602" s="611">
        <v>3.9031250000000002</v>
      </c>
      <c r="BP602" s="611">
        <f t="shared" si="93"/>
        <v>9.6874999999999822E-2</v>
      </c>
      <c r="BQ602" s="658"/>
      <c r="BR602" s="612">
        <v>1</v>
      </c>
      <c r="BS602" s="566" t="s">
        <v>127</v>
      </c>
    </row>
    <row r="603" spans="17:75" s="560" customFormat="1">
      <c r="Q603" s="562"/>
      <c r="R603" s="562">
        <v>0.76</v>
      </c>
      <c r="S603" s="562"/>
      <c r="T603" s="562"/>
      <c r="U603" s="562"/>
      <c r="V603" s="562"/>
      <c r="W603" s="562"/>
      <c r="X603" s="562"/>
      <c r="Y603" s="562"/>
      <c r="Z603" s="562"/>
      <c r="AA603" s="562"/>
      <c r="AB603" s="562"/>
      <c r="AC603" s="562"/>
      <c r="AD603" s="563"/>
      <c r="AE603" s="561"/>
      <c r="AF603" s="562"/>
      <c r="AG603" s="562"/>
      <c r="AH603" s="562"/>
      <c r="AI603" s="562"/>
      <c r="AJ603" s="562"/>
      <c r="AK603" s="562"/>
      <c r="AL603" s="562"/>
      <c r="AM603" s="562"/>
      <c r="AN603" s="562"/>
      <c r="AO603" s="562"/>
      <c r="AP603" s="562"/>
      <c r="AQ603" s="562"/>
      <c r="AR603" s="562"/>
      <c r="AS603" s="562"/>
      <c r="AT603" s="562"/>
      <c r="AU603" s="562"/>
      <c r="AV603" s="562"/>
      <c r="AW603" s="562"/>
      <c r="AX603" s="562"/>
      <c r="AY603" s="562"/>
      <c r="AZ603" s="562"/>
      <c r="BA603" s="562"/>
      <c r="BB603" s="563"/>
      <c r="BD603" s="560">
        <v>22</v>
      </c>
      <c r="BG603" s="576"/>
      <c r="BI603" s="576">
        <v>1</v>
      </c>
      <c r="BJ603" s="576"/>
      <c r="BK603" s="576"/>
      <c r="BL603" s="576">
        <v>2</v>
      </c>
      <c r="BM603" s="560">
        <f t="shared" si="92"/>
        <v>4</v>
      </c>
      <c r="BN603" s="662">
        <v>0.140625</v>
      </c>
      <c r="BO603" s="611">
        <v>3.8937500000000003</v>
      </c>
      <c r="BP603" s="611">
        <f t="shared" si="93"/>
        <v>0.10624999999999973</v>
      </c>
      <c r="BQ603" s="658"/>
      <c r="BR603" s="612">
        <v>1</v>
      </c>
      <c r="BS603" s="566" t="s">
        <v>127</v>
      </c>
    </row>
    <row r="604" spans="17:75" s="560" customFormat="1">
      <c r="Q604" s="562"/>
      <c r="R604" s="562">
        <v>1</v>
      </c>
      <c r="S604" s="562"/>
      <c r="T604" s="562"/>
      <c r="U604" s="562"/>
      <c r="V604" s="562"/>
      <c r="W604" s="562"/>
      <c r="X604" s="562"/>
      <c r="Y604" s="562"/>
      <c r="Z604" s="562"/>
      <c r="AA604" s="562"/>
      <c r="AB604" s="562"/>
      <c r="AC604" s="562"/>
      <c r="AD604" s="563"/>
      <c r="AE604" s="561"/>
      <c r="AF604" s="562"/>
      <c r="AG604" s="562"/>
      <c r="AH604" s="562"/>
      <c r="AI604" s="562"/>
      <c r="AJ604" s="562"/>
      <c r="AK604" s="562"/>
      <c r="AL604" s="562"/>
      <c r="AM604" s="562"/>
      <c r="AN604" s="562"/>
      <c r="AO604" s="562"/>
      <c r="AP604" s="562"/>
      <c r="AQ604" s="562"/>
      <c r="AR604" s="562"/>
      <c r="AS604" s="562"/>
      <c r="AT604" s="562"/>
      <c r="AU604" s="562"/>
      <c r="AV604" s="562"/>
      <c r="AW604" s="562"/>
      <c r="AX604" s="562"/>
      <c r="AY604" s="562"/>
      <c r="AZ604" s="562"/>
      <c r="BA604" s="562"/>
      <c r="BB604" s="563"/>
      <c r="BD604" s="560">
        <v>23</v>
      </c>
      <c r="BG604" s="576"/>
      <c r="BI604" s="576">
        <v>1</v>
      </c>
      <c r="BJ604" s="576"/>
      <c r="BK604" s="576"/>
      <c r="BL604" s="576">
        <v>2</v>
      </c>
      <c r="BM604" s="560">
        <f t="shared" si="92"/>
        <v>4</v>
      </c>
      <c r="BN604" s="662">
        <v>0.140625</v>
      </c>
      <c r="BO604" s="611">
        <v>3.8843750000000004</v>
      </c>
      <c r="BP604" s="611">
        <f t="shared" si="93"/>
        <v>0.11562499999999964</v>
      </c>
      <c r="BQ604" s="658"/>
      <c r="BR604" s="612">
        <v>1</v>
      </c>
      <c r="BS604" s="566" t="s">
        <v>127</v>
      </c>
    </row>
    <row r="605" spans="17:75" s="560" customFormat="1">
      <c r="Q605" s="562"/>
      <c r="R605" s="562">
        <v>0.6</v>
      </c>
      <c r="S605" s="562"/>
      <c r="T605" s="562"/>
      <c r="U605" s="562"/>
      <c r="V605" s="562"/>
      <c r="W605" s="562"/>
      <c r="X605" s="562"/>
      <c r="Y605" s="562"/>
      <c r="Z605" s="562"/>
      <c r="AA605" s="562"/>
      <c r="AB605" s="562"/>
      <c r="AC605" s="562"/>
      <c r="AD605" s="563"/>
      <c r="AE605" s="561"/>
      <c r="AF605" s="562"/>
      <c r="AG605" s="562"/>
      <c r="AH605" s="562"/>
      <c r="AI605" s="562"/>
      <c r="AJ605" s="562"/>
      <c r="AK605" s="562"/>
      <c r="AL605" s="562"/>
      <c r="AM605" s="562"/>
      <c r="AN605" s="562"/>
      <c r="AO605" s="562"/>
      <c r="AP605" s="562"/>
      <c r="AQ605" s="562"/>
      <c r="AR605" s="562"/>
      <c r="AS605" s="562"/>
      <c r="AT605" s="562"/>
      <c r="AU605" s="562"/>
      <c r="AV605" s="562"/>
      <c r="AW605" s="562"/>
      <c r="AX605" s="562"/>
      <c r="AY605" s="562"/>
      <c r="AZ605" s="562"/>
      <c r="BA605" s="562"/>
      <c r="BB605" s="563"/>
      <c r="BD605" s="560">
        <v>24</v>
      </c>
      <c r="BG605" s="576"/>
      <c r="BI605" s="576">
        <v>1</v>
      </c>
      <c r="BJ605" s="576"/>
      <c r="BK605" s="576"/>
      <c r="BL605" s="576">
        <v>2</v>
      </c>
      <c r="BM605" s="560">
        <f t="shared" si="92"/>
        <v>4</v>
      </c>
      <c r="BN605" s="662">
        <v>0.140625</v>
      </c>
      <c r="BO605" s="611">
        <v>3.875</v>
      </c>
      <c r="BP605" s="611">
        <f t="shared" si="93"/>
        <v>0.125</v>
      </c>
      <c r="BQ605" s="658"/>
      <c r="BR605" s="612">
        <v>1</v>
      </c>
      <c r="BS605" s="566" t="s">
        <v>127</v>
      </c>
    </row>
    <row r="606" spans="17:75" s="560" customFormat="1">
      <c r="Q606" s="562"/>
      <c r="R606" s="562">
        <v>0.5</v>
      </c>
      <c r="S606" s="562"/>
      <c r="T606" s="562"/>
      <c r="U606" s="562"/>
      <c r="V606" s="562"/>
      <c r="W606" s="562"/>
      <c r="X606" s="562"/>
      <c r="Y606" s="562"/>
      <c r="Z606" s="562"/>
      <c r="AA606" s="562"/>
      <c r="AB606" s="562"/>
      <c r="AC606" s="562"/>
      <c r="AD606" s="563"/>
      <c r="AE606" s="561"/>
      <c r="AF606" s="562"/>
      <c r="AG606" s="562"/>
      <c r="AH606" s="562"/>
      <c r="AI606" s="562"/>
      <c r="AJ606" s="562"/>
      <c r="AK606" s="562"/>
      <c r="AL606" s="562"/>
      <c r="AM606" s="562"/>
      <c r="AN606" s="562"/>
      <c r="AO606" s="562"/>
      <c r="AP606" s="562"/>
      <c r="AQ606" s="562"/>
      <c r="AR606" s="562"/>
      <c r="AS606" s="562"/>
      <c r="AT606" s="562"/>
      <c r="AU606" s="562"/>
      <c r="AV606" s="562"/>
      <c r="AW606" s="562"/>
      <c r="AX606" s="562"/>
      <c r="AY606" s="562"/>
      <c r="AZ606" s="562"/>
      <c r="BA606" s="562"/>
      <c r="BB606" s="563"/>
      <c r="BD606" s="560">
        <v>25</v>
      </c>
      <c r="BG606" s="576"/>
      <c r="BI606" s="576">
        <v>1</v>
      </c>
      <c r="BJ606" s="576"/>
      <c r="BK606" s="576"/>
      <c r="BL606" s="576">
        <v>2</v>
      </c>
      <c r="BM606" s="560">
        <f t="shared" si="92"/>
        <v>4</v>
      </c>
      <c r="BN606" s="662">
        <v>0.140625</v>
      </c>
      <c r="BO606" s="611">
        <v>3.8656250000000001</v>
      </c>
      <c r="BP606" s="611">
        <f t="shared" si="93"/>
        <v>0.13437499999999991</v>
      </c>
      <c r="BQ606" s="658"/>
      <c r="BR606" s="612">
        <v>1</v>
      </c>
      <c r="BS606" s="566" t="s">
        <v>127</v>
      </c>
    </row>
    <row r="607" spans="17:75" s="560" customFormat="1">
      <c r="Q607" s="562"/>
      <c r="R607" s="562">
        <v>0.7</v>
      </c>
      <c r="S607" s="562"/>
      <c r="T607" s="562"/>
      <c r="U607" s="562"/>
      <c r="V607" s="562"/>
      <c r="W607" s="562"/>
      <c r="X607" s="562"/>
      <c r="Y607" s="562"/>
      <c r="Z607" s="562"/>
      <c r="AA607" s="562"/>
      <c r="AB607" s="562"/>
      <c r="AC607" s="562"/>
      <c r="AD607" s="563"/>
      <c r="AE607" s="561"/>
      <c r="AF607" s="562"/>
      <c r="AG607" s="562"/>
      <c r="AH607" s="562"/>
      <c r="AI607" s="562"/>
      <c r="AJ607" s="562"/>
      <c r="AK607" s="562"/>
      <c r="AL607" s="562"/>
      <c r="AM607" s="562"/>
      <c r="AN607" s="562"/>
      <c r="AO607" s="562"/>
      <c r="AP607" s="562"/>
      <c r="AQ607" s="562"/>
      <c r="AR607" s="562"/>
      <c r="AS607" s="562"/>
      <c r="AT607" s="562"/>
      <c r="AU607" s="562"/>
      <c r="AV607" s="562"/>
      <c r="AW607" s="562"/>
      <c r="AX607" s="562"/>
      <c r="AY607" s="562"/>
      <c r="AZ607" s="562"/>
      <c r="BA607" s="562"/>
      <c r="BB607" s="563"/>
      <c r="BD607" s="560">
        <v>26</v>
      </c>
      <c r="BF607" s="560">
        <v>0.1</v>
      </c>
      <c r="BG607" s="576" t="s">
        <v>793</v>
      </c>
      <c r="BI607" s="576">
        <v>1</v>
      </c>
      <c r="BJ607" s="576"/>
      <c r="BK607" s="576">
        <v>1</v>
      </c>
      <c r="BL607" s="576">
        <v>2</v>
      </c>
      <c r="BM607" s="560">
        <f t="shared" si="92"/>
        <v>4</v>
      </c>
      <c r="BN607" s="662">
        <v>0.140625</v>
      </c>
      <c r="BO607" s="611">
        <v>3.8562500000000002</v>
      </c>
      <c r="BP607" s="611">
        <f t="shared" si="93"/>
        <v>0.14374999999999982</v>
      </c>
      <c r="BQ607" s="658"/>
      <c r="BR607" s="612">
        <v>1</v>
      </c>
      <c r="BS607" s="566" t="s">
        <v>127</v>
      </c>
      <c r="BT607" s="560">
        <v>3213</v>
      </c>
    </row>
    <row r="608" spans="17:75" s="560" customFormat="1">
      <c r="Q608" s="562"/>
      <c r="R608" s="562">
        <v>0.7</v>
      </c>
      <c r="S608" s="562"/>
      <c r="T608" s="562"/>
      <c r="U608" s="562"/>
      <c r="V608" s="562"/>
      <c r="W608" s="562"/>
      <c r="X608" s="562"/>
      <c r="Y608" s="562"/>
      <c r="Z608" s="562"/>
      <c r="AA608" s="562"/>
      <c r="AB608" s="562"/>
      <c r="AC608" s="562"/>
      <c r="AD608" s="563"/>
      <c r="AE608" s="561"/>
      <c r="AF608" s="562"/>
      <c r="AG608" s="562"/>
      <c r="AH608" s="562"/>
      <c r="AI608" s="562"/>
      <c r="AJ608" s="562"/>
      <c r="AK608" s="562"/>
      <c r="AL608" s="562"/>
      <c r="AM608" s="562"/>
      <c r="AN608" s="562"/>
      <c r="AO608" s="562"/>
      <c r="AP608" s="562"/>
      <c r="AQ608" s="562"/>
      <c r="AR608" s="562"/>
      <c r="AS608" s="562"/>
      <c r="AT608" s="562"/>
      <c r="AU608" s="562"/>
      <c r="AV608" s="562"/>
      <c r="AW608" s="562"/>
      <c r="AX608" s="562"/>
      <c r="AY608" s="562"/>
      <c r="AZ608" s="562"/>
      <c r="BA608" s="562"/>
      <c r="BB608" s="563"/>
      <c r="BD608" s="560">
        <v>27</v>
      </c>
      <c r="BF608" s="560">
        <v>0.3</v>
      </c>
      <c r="BG608" s="576" t="s">
        <v>802</v>
      </c>
      <c r="BI608" s="576">
        <v>1</v>
      </c>
      <c r="BJ608" s="576">
        <v>1</v>
      </c>
      <c r="BK608" s="576"/>
      <c r="BL608" s="576">
        <v>2</v>
      </c>
      <c r="BM608" s="560">
        <f t="shared" si="92"/>
        <v>4</v>
      </c>
      <c r="BN608" s="662">
        <v>0.140625</v>
      </c>
      <c r="BO608" s="611">
        <v>3.8468750000000003</v>
      </c>
      <c r="BP608" s="611">
        <f t="shared" si="93"/>
        <v>0.15312499999999973</v>
      </c>
      <c r="BQ608" s="658"/>
      <c r="BR608" s="612">
        <v>1</v>
      </c>
      <c r="BS608" s="566" t="s">
        <v>127</v>
      </c>
      <c r="BT608" s="560">
        <v>3214</v>
      </c>
    </row>
    <row r="609" spans="17:73" s="560" customFormat="1">
      <c r="Q609" s="562"/>
      <c r="R609" s="562">
        <v>0.8</v>
      </c>
      <c r="S609" s="562"/>
      <c r="T609" s="562"/>
      <c r="U609" s="562"/>
      <c r="V609" s="562"/>
      <c r="W609" s="562"/>
      <c r="X609" s="562"/>
      <c r="Y609" s="562"/>
      <c r="Z609" s="562"/>
      <c r="AA609" s="562"/>
      <c r="AB609" s="562"/>
      <c r="AC609" s="562"/>
      <c r="AD609" s="563"/>
      <c r="AE609" s="561"/>
      <c r="AF609" s="562"/>
      <c r="AG609" s="562"/>
      <c r="AH609" s="562"/>
      <c r="AI609" s="562"/>
      <c r="AJ609" s="562"/>
      <c r="AK609" s="562"/>
      <c r="AL609" s="562"/>
      <c r="AM609" s="562"/>
      <c r="AN609" s="562"/>
      <c r="AO609" s="562"/>
      <c r="AP609" s="562"/>
      <c r="AQ609" s="562"/>
      <c r="AR609" s="562"/>
      <c r="AS609" s="562"/>
      <c r="AT609" s="562"/>
      <c r="AU609" s="562"/>
      <c r="AV609" s="562"/>
      <c r="AW609" s="562"/>
      <c r="AX609" s="562"/>
      <c r="AY609" s="562"/>
      <c r="AZ609" s="562"/>
      <c r="BA609" s="562"/>
      <c r="BB609" s="563"/>
      <c r="BD609" s="560">
        <v>28</v>
      </c>
      <c r="BG609" s="576"/>
      <c r="BI609" s="576">
        <v>1</v>
      </c>
      <c r="BJ609" s="576"/>
      <c r="BK609" s="576"/>
      <c r="BL609" s="576">
        <v>2</v>
      </c>
      <c r="BM609" s="560">
        <f t="shared" si="92"/>
        <v>4</v>
      </c>
      <c r="BN609" s="662">
        <v>0.140625</v>
      </c>
      <c r="BO609" s="611">
        <v>3.8375000000000004</v>
      </c>
      <c r="BP609" s="611">
        <f t="shared" si="93"/>
        <v>0.16249999999999964</v>
      </c>
      <c r="BQ609" s="658"/>
      <c r="BR609" s="612">
        <v>1</v>
      </c>
      <c r="BS609" s="566" t="s">
        <v>127</v>
      </c>
    </row>
    <row r="610" spans="17:73" s="560" customFormat="1">
      <c r="Q610" s="562"/>
      <c r="R610" s="562">
        <v>0.7</v>
      </c>
      <c r="S610" s="562"/>
      <c r="T610" s="562"/>
      <c r="U610" s="562"/>
      <c r="V610" s="562"/>
      <c r="W610" s="562"/>
      <c r="X610" s="562"/>
      <c r="Y610" s="562"/>
      <c r="Z610" s="562"/>
      <c r="AA610" s="562"/>
      <c r="AB610" s="562"/>
      <c r="AC610" s="562"/>
      <c r="AD610" s="563"/>
      <c r="AE610" s="561"/>
      <c r="AF610" s="562"/>
      <c r="AG610" s="562"/>
      <c r="AH610" s="562"/>
      <c r="AI610" s="562"/>
      <c r="AJ610" s="562"/>
      <c r="AK610" s="562"/>
      <c r="AL610" s="562"/>
      <c r="AM610" s="562"/>
      <c r="AN610" s="562"/>
      <c r="AO610" s="562"/>
      <c r="AP610" s="562"/>
      <c r="AQ610" s="562"/>
      <c r="AR610" s="562"/>
      <c r="AS610" s="562"/>
      <c r="AT610" s="562"/>
      <c r="AU610" s="562"/>
      <c r="AV610" s="562"/>
      <c r="AW610" s="562"/>
      <c r="AX610" s="562"/>
      <c r="AY610" s="562"/>
      <c r="AZ610" s="562"/>
      <c r="BA610" s="562"/>
      <c r="BB610" s="563"/>
      <c r="BD610" s="560">
        <v>29</v>
      </c>
      <c r="BG610" s="576"/>
      <c r="BI610" s="576">
        <v>1</v>
      </c>
      <c r="BJ610" s="576"/>
      <c r="BK610" s="576"/>
      <c r="BL610" s="576">
        <v>2</v>
      </c>
      <c r="BM610" s="560">
        <f t="shared" si="92"/>
        <v>4</v>
      </c>
      <c r="BN610" s="662">
        <v>0.140625</v>
      </c>
      <c r="BO610" s="611">
        <v>3.8281250000000004</v>
      </c>
      <c r="BP610" s="611">
        <f t="shared" si="93"/>
        <v>0.17187499999999956</v>
      </c>
      <c r="BQ610" s="658"/>
      <c r="BR610" s="612">
        <v>1</v>
      </c>
      <c r="BS610" s="566" t="s">
        <v>127</v>
      </c>
    </row>
    <row r="611" spans="17:73" s="560" customFormat="1">
      <c r="Q611" s="562"/>
      <c r="R611" s="562">
        <v>1.2</v>
      </c>
      <c r="S611" s="562"/>
      <c r="T611" s="562"/>
      <c r="U611" s="562"/>
      <c r="V611" s="562"/>
      <c r="W611" s="562"/>
      <c r="X611" s="562"/>
      <c r="Y611" s="562"/>
      <c r="Z611" s="562"/>
      <c r="AA611" s="562"/>
      <c r="AB611" s="562"/>
      <c r="AC611" s="562"/>
      <c r="AD611" s="563"/>
      <c r="AE611" s="561"/>
      <c r="AF611" s="562"/>
      <c r="AG611" s="562"/>
      <c r="AH611" s="562"/>
      <c r="AI611" s="562"/>
      <c r="AJ611" s="562"/>
      <c r="AK611" s="562"/>
      <c r="AL611" s="562"/>
      <c r="AM611" s="562"/>
      <c r="AN611" s="562"/>
      <c r="AO611" s="562"/>
      <c r="AP611" s="562"/>
      <c r="AQ611" s="562"/>
      <c r="AR611" s="562"/>
      <c r="AS611" s="562"/>
      <c r="AT611" s="562"/>
      <c r="AU611" s="562"/>
      <c r="AV611" s="562"/>
      <c r="AW611" s="562"/>
      <c r="AX611" s="562"/>
      <c r="AY611" s="562"/>
      <c r="AZ611" s="562"/>
      <c r="BA611" s="562"/>
      <c r="BB611" s="563"/>
      <c r="BD611" s="560">
        <v>30</v>
      </c>
      <c r="BF611" s="560">
        <v>0.5</v>
      </c>
      <c r="BG611" s="576" t="s">
        <v>793</v>
      </c>
      <c r="BI611" s="576">
        <v>1</v>
      </c>
      <c r="BJ611" s="576"/>
      <c r="BK611" s="576">
        <v>1</v>
      </c>
      <c r="BL611" s="576">
        <v>1.7</v>
      </c>
      <c r="BM611" s="560">
        <f t="shared" si="92"/>
        <v>3.4</v>
      </c>
      <c r="BN611" s="662">
        <v>0.140625</v>
      </c>
      <c r="BO611" s="611">
        <v>3.8187500000000001</v>
      </c>
      <c r="BP611" s="611">
        <f t="shared" si="93"/>
        <v>-0.41875000000000018</v>
      </c>
      <c r="BQ611" s="658"/>
      <c r="BR611" s="612">
        <v>1</v>
      </c>
      <c r="BS611" s="566" t="s">
        <v>127</v>
      </c>
      <c r="BT611" s="560">
        <v>3211</v>
      </c>
    </row>
    <row r="612" spans="17:73" s="560" customFormat="1">
      <c r="Q612" s="562"/>
      <c r="R612" s="562">
        <v>0.93</v>
      </c>
      <c r="S612" s="562"/>
      <c r="T612" s="562"/>
      <c r="U612" s="562"/>
      <c r="V612" s="562"/>
      <c r="W612" s="562"/>
      <c r="X612" s="562"/>
      <c r="Y612" s="562"/>
      <c r="Z612" s="562"/>
      <c r="AA612" s="562"/>
      <c r="AB612" s="562"/>
      <c r="AC612" s="562"/>
      <c r="AD612" s="563"/>
      <c r="AE612" s="561"/>
      <c r="AF612" s="562"/>
      <c r="AG612" s="562"/>
      <c r="AH612" s="562"/>
      <c r="AI612" s="562"/>
      <c r="AJ612" s="562"/>
      <c r="AK612" s="562"/>
      <c r="AL612" s="562"/>
      <c r="AM612" s="562"/>
      <c r="AN612" s="562"/>
      <c r="AO612" s="562"/>
      <c r="AP612" s="562"/>
      <c r="AQ612" s="562"/>
      <c r="AR612" s="562"/>
      <c r="AS612" s="562"/>
      <c r="AT612" s="562"/>
      <c r="AU612" s="562"/>
      <c r="AV612" s="562"/>
      <c r="AW612" s="562"/>
      <c r="AX612" s="562"/>
      <c r="AY612" s="562"/>
      <c r="AZ612" s="562"/>
      <c r="BA612" s="562"/>
      <c r="BB612" s="563"/>
      <c r="BD612" s="560">
        <v>31</v>
      </c>
      <c r="BF612" s="560">
        <v>0.5</v>
      </c>
      <c r="BG612" s="576" t="s">
        <v>802</v>
      </c>
      <c r="BI612" s="576">
        <v>1</v>
      </c>
      <c r="BJ612" s="576">
        <v>1</v>
      </c>
      <c r="BK612" s="576"/>
      <c r="BL612" s="576">
        <v>2</v>
      </c>
      <c r="BM612" s="560">
        <f t="shared" si="92"/>
        <v>4</v>
      </c>
      <c r="BN612" s="662">
        <v>0.140625</v>
      </c>
      <c r="BO612" s="611">
        <v>3.8093750000000002</v>
      </c>
      <c r="BP612" s="611">
        <f t="shared" si="93"/>
        <v>0.19062499999999982</v>
      </c>
      <c r="BQ612" s="658"/>
      <c r="BR612" s="612">
        <v>1</v>
      </c>
      <c r="BS612" s="566" t="s">
        <v>127</v>
      </c>
      <c r="BT612" s="560">
        <v>3212</v>
      </c>
    </row>
    <row r="613" spans="17:73" s="560" customFormat="1">
      <c r="Q613" s="562"/>
      <c r="R613" s="562">
        <v>0.8</v>
      </c>
      <c r="S613" s="562"/>
      <c r="T613" s="562"/>
      <c r="U613" s="562"/>
      <c r="V613" s="562"/>
      <c r="W613" s="562"/>
      <c r="X613" s="562"/>
      <c r="Y613" s="562"/>
      <c r="Z613" s="562"/>
      <c r="AA613" s="562"/>
      <c r="AB613" s="562"/>
      <c r="AC613" s="562"/>
      <c r="AD613" s="563"/>
      <c r="AE613" s="561"/>
      <c r="AF613" s="562"/>
      <c r="AG613" s="562"/>
      <c r="AH613" s="562"/>
      <c r="AI613" s="562"/>
      <c r="AJ613" s="562"/>
      <c r="AK613" s="562"/>
      <c r="AL613" s="562"/>
      <c r="AM613" s="562"/>
      <c r="AN613" s="562"/>
      <c r="AO613" s="562"/>
      <c r="AP613" s="562"/>
      <c r="AQ613" s="562"/>
      <c r="AR613" s="562"/>
      <c r="AS613" s="562"/>
      <c r="AT613" s="562"/>
      <c r="AU613" s="562"/>
      <c r="AV613" s="562"/>
      <c r="AW613" s="562"/>
      <c r="AX613" s="562"/>
      <c r="AY613" s="562"/>
      <c r="AZ613" s="562"/>
      <c r="BA613" s="562"/>
      <c r="BB613" s="563"/>
      <c r="BD613" s="560">
        <v>32</v>
      </c>
      <c r="BI613" s="576">
        <v>1</v>
      </c>
      <c r="BJ613" s="576"/>
      <c r="BK613" s="576"/>
      <c r="BL613" s="576">
        <v>2</v>
      </c>
      <c r="BM613" s="560">
        <f t="shared" si="92"/>
        <v>4</v>
      </c>
      <c r="BN613" s="662">
        <v>0.140625</v>
      </c>
      <c r="BO613" s="611">
        <v>3.8000000000000003</v>
      </c>
      <c r="BP613" s="611">
        <f t="shared" si="93"/>
        <v>0.19999999999999973</v>
      </c>
      <c r="BQ613" s="658"/>
      <c r="BR613" s="612">
        <v>1</v>
      </c>
      <c r="BS613" s="566" t="s">
        <v>127</v>
      </c>
    </row>
    <row r="614" spans="17:73" s="560" customFormat="1">
      <c r="Q614" s="562" t="s">
        <v>1019</v>
      </c>
      <c r="R614" s="562"/>
      <c r="S614" s="562"/>
      <c r="T614" s="562"/>
      <c r="U614" s="562"/>
      <c r="V614" s="562"/>
      <c r="W614" s="562"/>
      <c r="X614" s="562"/>
      <c r="Y614" s="562"/>
      <c r="Z614" s="562"/>
      <c r="AA614" s="562"/>
      <c r="AB614" s="562"/>
      <c r="AC614" s="562"/>
      <c r="AD614" s="563"/>
      <c r="AE614" s="561"/>
      <c r="AF614" s="562"/>
      <c r="AG614" s="562"/>
      <c r="AH614" s="562"/>
      <c r="AI614" s="562"/>
      <c r="AJ614" s="562"/>
      <c r="AK614" s="562"/>
      <c r="AL614" s="562"/>
      <c r="AM614" s="562"/>
      <c r="AN614" s="562"/>
      <c r="AO614" s="562"/>
      <c r="AP614" s="562"/>
      <c r="AQ614" s="562"/>
      <c r="AR614" s="562"/>
      <c r="AS614" s="562"/>
      <c r="AT614" s="562"/>
      <c r="AU614" s="562"/>
      <c r="AV614" s="562"/>
      <c r="AW614" s="562"/>
      <c r="AX614" s="562"/>
      <c r="AY614" s="562"/>
      <c r="AZ614" s="562"/>
      <c r="BA614" s="562"/>
      <c r="BB614" s="563"/>
      <c r="BH614" s="670"/>
      <c r="BI614" s="640">
        <f>SUM(BI581:BI613)</f>
        <v>32</v>
      </c>
      <c r="BJ614" s="641">
        <f>SUM(BJ581:BJ613)</f>
        <v>2</v>
      </c>
      <c r="BK614" s="642">
        <f>SUM(BK581:BK613)</f>
        <v>3</v>
      </c>
      <c r="BM614" s="676">
        <f>SUM(BM581:BM613)</f>
        <v>127.7</v>
      </c>
      <c r="BO614" s="644">
        <f>SUM(BO581:BO613)</f>
        <v>126.38124999999999</v>
      </c>
      <c r="BP614" s="644">
        <f>SUM(BP581:BP613)</f>
        <v>1.3187499999999948</v>
      </c>
      <c r="BQ614" s="661"/>
      <c r="BR614" s="645">
        <f>SUM(BR581:BR613)</f>
        <v>32</v>
      </c>
    </row>
    <row r="615" spans="17:73" s="560" customFormat="1">
      <c r="Q615" s="562"/>
      <c r="R615" s="562">
        <v>0.7</v>
      </c>
      <c r="S615" s="562"/>
      <c r="T615" s="562"/>
      <c r="U615" s="562"/>
      <c r="V615" s="562"/>
      <c r="W615" s="562"/>
      <c r="X615" s="562"/>
      <c r="Y615" s="562"/>
      <c r="Z615" s="562"/>
      <c r="AA615" s="562"/>
      <c r="AB615" s="562"/>
      <c r="AC615" s="562"/>
      <c r="AD615" s="563"/>
      <c r="AE615" s="561"/>
      <c r="AF615" s="562"/>
      <c r="AG615" s="562"/>
      <c r="AH615" s="562"/>
      <c r="AI615" s="562"/>
      <c r="AJ615" s="562"/>
      <c r="AK615" s="562"/>
      <c r="AL615" s="562"/>
      <c r="AM615" s="562"/>
      <c r="AN615" s="562"/>
      <c r="AO615" s="562"/>
      <c r="AP615" s="562"/>
      <c r="AQ615" s="562"/>
      <c r="AR615" s="562"/>
      <c r="AS615" s="562"/>
      <c r="AT615" s="562"/>
      <c r="AU615" s="562"/>
      <c r="AV615" s="562"/>
      <c r="AW615" s="562"/>
      <c r="AX615" s="562"/>
      <c r="AY615" s="562"/>
      <c r="AZ615" s="562"/>
      <c r="BA615" s="562"/>
      <c r="BB615" s="563"/>
      <c r="BC615" s="564">
        <v>41161</v>
      </c>
      <c r="BD615" s="565" t="s">
        <v>725</v>
      </c>
      <c r="BE615" s="565"/>
      <c r="BF615" s="565" t="s">
        <v>891</v>
      </c>
      <c r="BG615" s="566" t="s">
        <v>727</v>
      </c>
      <c r="BH615" s="566"/>
      <c r="BI615" s="566"/>
      <c r="BJ615" s="566"/>
      <c r="BK615" s="566"/>
      <c r="BL615" s="566" t="s">
        <v>728</v>
      </c>
      <c r="BM615" s="566"/>
      <c r="BN615" s="566" t="s">
        <v>729</v>
      </c>
      <c r="BO615" s="603"/>
      <c r="BP615" s="646">
        <f>+BP614/BO614</f>
        <v>1.0434696602541871E-2</v>
      </c>
      <c r="BQ615" s="604"/>
      <c r="BR615" s="604"/>
      <c r="BS615" s="566" t="s">
        <v>730</v>
      </c>
      <c r="BT615" s="566" t="s">
        <v>731</v>
      </c>
      <c r="BU615" s="565"/>
    </row>
    <row r="616" spans="17:73" s="560" customFormat="1">
      <c r="Q616" s="562"/>
      <c r="R616" s="562">
        <v>0.65</v>
      </c>
      <c r="S616" s="562"/>
      <c r="T616" s="562"/>
      <c r="U616" s="562"/>
      <c r="V616" s="562"/>
      <c r="W616" s="562"/>
      <c r="X616" s="562"/>
      <c r="Y616" s="562"/>
      <c r="Z616" s="562"/>
      <c r="AA616" s="562"/>
      <c r="AB616" s="562"/>
      <c r="AC616" s="562"/>
      <c r="AD616" s="563"/>
      <c r="AE616" s="561"/>
      <c r="AF616" s="562"/>
      <c r="AG616" s="562"/>
      <c r="AH616" s="562"/>
      <c r="AI616" s="562"/>
      <c r="AJ616" s="562"/>
      <c r="AK616" s="562"/>
      <c r="AL616" s="562"/>
      <c r="AM616" s="562"/>
      <c r="AN616" s="562"/>
      <c r="AO616" s="562"/>
      <c r="AP616" s="562"/>
      <c r="AQ616" s="562"/>
      <c r="AR616" s="562"/>
      <c r="AS616" s="562"/>
      <c r="AT616" s="562"/>
      <c r="AU616" s="562"/>
      <c r="AV616" s="562"/>
      <c r="AW616" s="562"/>
      <c r="AX616" s="562"/>
      <c r="AY616" s="562"/>
      <c r="AZ616" s="562"/>
      <c r="BA616" s="562"/>
      <c r="BB616" s="563"/>
      <c r="BD616" s="565"/>
      <c r="BE616" s="565"/>
      <c r="BF616" s="565"/>
      <c r="BG616" s="576" t="s">
        <v>1145</v>
      </c>
      <c r="BH616" s="576"/>
      <c r="BI616" s="576"/>
      <c r="BJ616" s="576"/>
      <c r="BK616" s="576"/>
      <c r="BL616" s="576" t="s">
        <v>1146</v>
      </c>
      <c r="BM616" s="576"/>
      <c r="BN616" s="576">
        <v>51</v>
      </c>
      <c r="BO616" s="611"/>
      <c r="BP616" s="611"/>
      <c r="BQ616" s="612"/>
      <c r="BR616" s="612"/>
      <c r="BS616" s="576">
        <v>44</v>
      </c>
      <c r="BT616" s="576" t="s">
        <v>1147</v>
      </c>
      <c r="BU616" s="565"/>
    </row>
    <row r="617" spans="17:73" s="560" customFormat="1">
      <c r="Q617" s="562"/>
      <c r="R617" s="562">
        <v>0.6</v>
      </c>
      <c r="S617" s="562"/>
      <c r="T617" s="562"/>
      <c r="U617" s="562"/>
      <c r="V617" s="562"/>
      <c r="W617" s="562"/>
      <c r="X617" s="562"/>
      <c r="Y617" s="562"/>
      <c r="Z617" s="562"/>
      <c r="AA617" s="562"/>
      <c r="AB617" s="562"/>
      <c r="AC617" s="562"/>
      <c r="AD617" s="563"/>
      <c r="AE617" s="561"/>
      <c r="AF617" s="562"/>
      <c r="AG617" s="562"/>
      <c r="AH617" s="562"/>
      <c r="AI617" s="562"/>
      <c r="AJ617" s="562"/>
      <c r="AK617" s="562"/>
      <c r="AL617" s="562"/>
      <c r="AM617" s="562"/>
      <c r="AN617" s="562"/>
      <c r="AO617" s="562"/>
      <c r="AP617" s="562"/>
      <c r="AQ617" s="562"/>
      <c r="AR617" s="562"/>
      <c r="AS617" s="562"/>
      <c r="AT617" s="562"/>
      <c r="AU617" s="562"/>
      <c r="AV617" s="562"/>
      <c r="AW617" s="562"/>
      <c r="AX617" s="562"/>
      <c r="AY617" s="562"/>
      <c r="AZ617" s="562"/>
      <c r="BA617" s="562"/>
      <c r="BB617" s="563"/>
      <c r="BC617" s="560" t="s">
        <v>511</v>
      </c>
      <c r="BD617" s="581" t="s">
        <v>1151</v>
      </c>
      <c r="BE617" s="582"/>
      <c r="BF617" s="566"/>
      <c r="BG617" s="565"/>
      <c r="BH617" s="565"/>
      <c r="BI617" s="565"/>
      <c r="BJ617" s="565"/>
      <c r="BK617" s="565"/>
      <c r="BL617" s="565"/>
      <c r="BM617" s="565"/>
      <c r="BN617" s="566"/>
      <c r="BO617" s="603"/>
      <c r="BP617" s="581" t="s">
        <v>1149</v>
      </c>
      <c r="BQ617" s="604"/>
      <c r="BR617" s="604"/>
      <c r="BS617" s="566"/>
      <c r="BT617" s="576"/>
      <c r="BU617" s="566"/>
    </row>
    <row r="618" spans="17:73" s="560" customFormat="1">
      <c r="Q618" s="562"/>
      <c r="R618" s="562">
        <v>0.59</v>
      </c>
      <c r="S618" s="562"/>
      <c r="T618" s="562"/>
      <c r="U618" s="562"/>
      <c r="V618" s="562"/>
      <c r="W618" s="562"/>
      <c r="X618" s="562"/>
      <c r="Y618" s="562"/>
      <c r="Z618" s="562"/>
      <c r="AA618" s="562"/>
      <c r="AB618" s="562"/>
      <c r="AC618" s="562"/>
      <c r="AD618" s="563"/>
      <c r="AE618" s="561"/>
      <c r="AF618" s="562"/>
      <c r="AG618" s="562"/>
      <c r="AH618" s="562"/>
      <c r="AI618" s="562"/>
      <c r="AJ618" s="562"/>
      <c r="AK618" s="562"/>
      <c r="AL618" s="562"/>
      <c r="AM618" s="562"/>
      <c r="AN618" s="562"/>
      <c r="AO618" s="562"/>
      <c r="AP618" s="562"/>
      <c r="AQ618" s="562"/>
      <c r="AR618" s="562"/>
      <c r="AS618" s="562"/>
      <c r="AT618" s="562"/>
      <c r="AU618" s="562"/>
      <c r="AV618" s="562"/>
      <c r="AW618" s="562"/>
      <c r="AX618" s="562"/>
      <c r="AY618" s="562"/>
      <c r="AZ618" s="562"/>
      <c r="BA618" s="562"/>
      <c r="BB618" s="563"/>
      <c r="BC618" s="585"/>
      <c r="BD618" s="586" t="s">
        <v>755</v>
      </c>
      <c r="BE618" s="586" t="s">
        <v>756</v>
      </c>
      <c r="BF618" s="615" t="s">
        <v>757</v>
      </c>
      <c r="BG618" s="615" t="s">
        <v>758</v>
      </c>
      <c r="BH618" s="615" t="s">
        <v>765</v>
      </c>
      <c r="BI618" s="615" t="s">
        <v>766</v>
      </c>
      <c r="BJ618" s="616" t="s">
        <v>767</v>
      </c>
      <c r="BK618" s="617" t="s">
        <v>768</v>
      </c>
      <c r="BL618" s="586" t="s">
        <v>759</v>
      </c>
      <c r="BM618" s="618" t="s">
        <v>769</v>
      </c>
      <c r="BN618" s="586" t="s">
        <v>760</v>
      </c>
      <c r="BO618" s="619" t="s">
        <v>770</v>
      </c>
      <c r="BP618" s="619" t="s">
        <v>771</v>
      </c>
      <c r="BQ618" s="620" t="s">
        <v>772</v>
      </c>
      <c r="BR618" s="620" t="s">
        <v>773</v>
      </c>
      <c r="BS618" s="586" t="s">
        <v>761</v>
      </c>
      <c r="BT618" s="586" t="s">
        <v>762</v>
      </c>
      <c r="BU618" s="586" t="s">
        <v>763</v>
      </c>
    </row>
    <row r="619" spans="17:73" s="560" customFormat="1">
      <c r="Q619" s="562"/>
      <c r="R619" s="562">
        <v>0.7</v>
      </c>
      <c r="S619" s="562"/>
      <c r="T619" s="562"/>
      <c r="U619" s="562"/>
      <c r="V619" s="562"/>
      <c r="W619" s="562"/>
      <c r="X619" s="562"/>
      <c r="Y619" s="562"/>
      <c r="Z619" s="562"/>
      <c r="AA619" s="562"/>
      <c r="AB619" s="562"/>
      <c r="AC619" s="562"/>
      <c r="AD619" s="563"/>
      <c r="AE619" s="561"/>
      <c r="AF619" s="562"/>
      <c r="AG619" s="562"/>
      <c r="AH619" s="562"/>
      <c r="AI619" s="562"/>
      <c r="AJ619" s="562"/>
      <c r="AK619" s="562"/>
      <c r="AL619" s="562"/>
      <c r="AM619" s="562"/>
      <c r="AN619" s="562"/>
      <c r="AO619" s="562"/>
      <c r="AP619" s="562"/>
      <c r="AQ619" s="562"/>
      <c r="AR619" s="562"/>
      <c r="AS619" s="562"/>
      <c r="AT619" s="562"/>
      <c r="AU619" s="562"/>
      <c r="AV619" s="562"/>
      <c r="AW619" s="562"/>
      <c r="AX619" s="562"/>
      <c r="AY619" s="562"/>
      <c r="AZ619" s="562"/>
      <c r="BA619" s="562"/>
      <c r="BB619" s="563"/>
      <c r="BC619" s="585"/>
      <c r="BD619" s="566" t="s">
        <v>1152</v>
      </c>
      <c r="BF619" s="586"/>
      <c r="BG619" s="586"/>
      <c r="BH619" s="586"/>
      <c r="BI619" s="586"/>
      <c r="BJ619" s="586"/>
      <c r="BK619" s="586"/>
      <c r="BL619" s="586"/>
      <c r="BM619" s="586"/>
      <c r="BN619" s="586"/>
      <c r="BO619" s="704"/>
      <c r="BP619" s="704"/>
      <c r="BQ619" s="705"/>
      <c r="BR619" s="705"/>
      <c r="BS619" s="586"/>
      <c r="BT619" s="586"/>
      <c r="BU619" s="586"/>
    </row>
    <row r="620" spans="17:73" s="560" customFormat="1">
      <c r="Q620" s="562"/>
      <c r="R620" s="562">
        <v>0.76</v>
      </c>
      <c r="S620" s="562"/>
      <c r="T620" s="562"/>
      <c r="U620" s="562"/>
      <c r="V620" s="562"/>
      <c r="W620" s="562"/>
      <c r="X620" s="562"/>
      <c r="Y620" s="562"/>
      <c r="Z620" s="562"/>
      <c r="AA620" s="562"/>
      <c r="AB620" s="562"/>
      <c r="AC620" s="562"/>
      <c r="AD620" s="563"/>
      <c r="AE620" s="561"/>
      <c r="AF620" s="562"/>
      <c r="AG620" s="562"/>
      <c r="AH620" s="562"/>
      <c r="AI620" s="562"/>
      <c r="AJ620" s="562"/>
      <c r="AK620" s="562"/>
      <c r="AL620" s="562"/>
      <c r="AM620" s="562"/>
      <c r="AN620" s="562"/>
      <c r="AO620" s="562"/>
      <c r="AP620" s="562"/>
      <c r="AQ620" s="562"/>
      <c r="AR620" s="562"/>
      <c r="AS620" s="562"/>
      <c r="AT620" s="562"/>
      <c r="AU620" s="562"/>
      <c r="AV620" s="562"/>
      <c r="AW620" s="562"/>
      <c r="AX620" s="562"/>
      <c r="AY620" s="562"/>
      <c r="AZ620" s="562"/>
      <c r="BA620" s="562"/>
      <c r="BB620" s="563"/>
      <c r="BD620" s="560" t="s">
        <v>1153</v>
      </c>
      <c r="BE620" s="706">
        <v>0.5</v>
      </c>
      <c r="BO620" s="605"/>
      <c r="BP620" s="605"/>
      <c r="BQ620" s="658"/>
      <c r="BR620" s="658"/>
    </row>
    <row r="621" spans="17:73" s="560" customFormat="1">
      <c r="Q621" s="562"/>
      <c r="R621" s="562">
        <v>0.7</v>
      </c>
      <c r="S621" s="562"/>
      <c r="T621" s="562"/>
      <c r="U621" s="562"/>
      <c r="V621" s="562"/>
      <c r="W621" s="562"/>
      <c r="X621" s="562"/>
      <c r="Y621" s="562"/>
      <c r="Z621" s="562"/>
      <c r="AA621" s="562"/>
      <c r="AB621" s="562"/>
      <c r="AC621" s="562"/>
      <c r="AD621" s="563"/>
      <c r="AE621" s="561"/>
      <c r="AF621" s="562"/>
      <c r="AG621" s="562"/>
      <c r="AH621" s="562"/>
      <c r="AI621" s="562"/>
      <c r="AJ621" s="562"/>
      <c r="AK621" s="562"/>
      <c r="AL621" s="562"/>
      <c r="AM621" s="562"/>
      <c r="AN621" s="562"/>
      <c r="AO621" s="562"/>
      <c r="AP621" s="562"/>
      <c r="AQ621" s="562"/>
      <c r="AR621" s="562"/>
      <c r="AS621" s="562"/>
      <c r="AT621" s="562"/>
      <c r="AU621" s="562"/>
      <c r="AV621" s="562"/>
      <c r="AW621" s="562"/>
      <c r="AX621" s="562"/>
      <c r="AY621" s="562"/>
      <c r="AZ621" s="562"/>
      <c r="BA621" s="562"/>
      <c r="BB621" s="563"/>
      <c r="BE621" s="560">
        <v>0.6</v>
      </c>
      <c r="BO621" s="605"/>
      <c r="BP621" s="605"/>
      <c r="BQ621" s="658"/>
      <c r="BR621" s="658"/>
    </row>
    <row r="622" spans="17:73" s="560" customFormat="1">
      <c r="Q622" s="562"/>
      <c r="R622" s="562">
        <v>0.73</v>
      </c>
      <c r="S622" s="562"/>
      <c r="T622" s="562"/>
      <c r="U622" s="562"/>
      <c r="V622" s="562"/>
      <c r="W622" s="562"/>
      <c r="X622" s="562"/>
      <c r="Y622" s="562"/>
      <c r="Z622" s="562"/>
      <c r="AA622" s="562"/>
      <c r="AB622" s="562"/>
      <c r="AC622" s="562"/>
      <c r="AD622" s="563"/>
      <c r="AE622" s="561"/>
      <c r="AF622" s="562"/>
      <c r="AG622" s="562"/>
      <c r="AH622" s="562"/>
      <c r="AI622" s="562"/>
      <c r="AJ622" s="562"/>
      <c r="AK622" s="562"/>
      <c r="AL622" s="562"/>
      <c r="AM622" s="562"/>
      <c r="AN622" s="562"/>
      <c r="AO622" s="562"/>
      <c r="AP622" s="562"/>
      <c r="AQ622" s="562"/>
      <c r="AR622" s="562"/>
      <c r="AS622" s="562"/>
      <c r="AT622" s="562"/>
      <c r="AU622" s="562"/>
      <c r="AV622" s="562"/>
      <c r="AW622" s="562"/>
      <c r="AX622" s="562"/>
      <c r="AY622" s="562"/>
      <c r="AZ622" s="562"/>
      <c r="BA622" s="562"/>
      <c r="BB622" s="563"/>
      <c r="BE622" s="560">
        <v>0.55000000000000004</v>
      </c>
      <c r="BO622" s="605"/>
      <c r="BP622" s="605"/>
      <c r="BQ622" s="658"/>
      <c r="BR622" s="658"/>
    </row>
    <row r="623" spans="17:73" s="560" customFormat="1">
      <c r="Q623" s="562"/>
      <c r="R623" s="562">
        <v>0.63</v>
      </c>
      <c r="S623" s="562"/>
      <c r="T623" s="562"/>
      <c r="U623" s="562"/>
      <c r="V623" s="562"/>
      <c r="W623" s="562"/>
      <c r="X623" s="562"/>
      <c r="Y623" s="562"/>
      <c r="Z623" s="562"/>
      <c r="AA623" s="562"/>
      <c r="AB623" s="562"/>
      <c r="AC623" s="562"/>
      <c r="AD623" s="563"/>
      <c r="AE623" s="561"/>
      <c r="AF623" s="562"/>
      <c r="AG623" s="562"/>
      <c r="AH623" s="562"/>
      <c r="AI623" s="562"/>
      <c r="AJ623" s="562"/>
      <c r="AK623" s="562"/>
      <c r="AL623" s="562"/>
      <c r="AM623" s="562"/>
      <c r="AN623" s="562"/>
      <c r="AO623" s="562"/>
      <c r="AP623" s="562"/>
      <c r="AQ623" s="562"/>
      <c r="AR623" s="562"/>
      <c r="AS623" s="562"/>
      <c r="AT623" s="562"/>
      <c r="AU623" s="562"/>
      <c r="AV623" s="562"/>
      <c r="AW623" s="562"/>
      <c r="AX623" s="562"/>
      <c r="AY623" s="562"/>
      <c r="AZ623" s="562"/>
      <c r="BA623" s="562"/>
      <c r="BB623" s="563"/>
      <c r="BE623" s="560">
        <v>0.55000000000000004</v>
      </c>
      <c r="BO623" s="605"/>
      <c r="BP623" s="605"/>
      <c r="BQ623" s="658"/>
      <c r="BR623" s="658"/>
    </row>
    <row r="624" spans="17:73" s="560" customFormat="1">
      <c r="Q624" s="562"/>
      <c r="R624" s="562">
        <v>1</v>
      </c>
      <c r="S624" s="562"/>
      <c r="T624" s="562"/>
      <c r="U624" s="562"/>
      <c r="V624" s="562"/>
      <c r="W624" s="562"/>
      <c r="X624" s="562"/>
      <c r="Y624" s="562"/>
      <c r="Z624" s="562"/>
      <c r="AA624" s="562"/>
      <c r="AB624" s="562"/>
      <c r="AC624" s="562"/>
      <c r="AD624" s="563"/>
      <c r="AE624" s="561"/>
      <c r="AF624" s="562"/>
      <c r="AG624" s="562"/>
      <c r="AH624" s="562"/>
      <c r="AI624" s="562"/>
      <c r="AJ624" s="562"/>
      <c r="AK624" s="562"/>
      <c r="AL624" s="562"/>
      <c r="AM624" s="562"/>
      <c r="AN624" s="562"/>
      <c r="AO624" s="562"/>
      <c r="AP624" s="562"/>
      <c r="AQ624" s="562"/>
      <c r="AR624" s="562"/>
      <c r="AS624" s="562"/>
      <c r="AT624" s="562"/>
      <c r="AU624" s="562"/>
      <c r="AV624" s="562"/>
      <c r="AW624" s="562"/>
      <c r="AX624" s="562"/>
      <c r="AY624" s="562"/>
      <c r="AZ624" s="562"/>
      <c r="BA624" s="562"/>
      <c r="BB624" s="563"/>
      <c r="BD624" s="560" t="s">
        <v>1154</v>
      </c>
      <c r="BE624" s="560">
        <v>0.45</v>
      </c>
      <c r="BO624" s="605"/>
      <c r="BP624" s="605"/>
      <c r="BQ624" s="658"/>
      <c r="BR624" s="658"/>
    </row>
    <row r="625" spans="16:73" s="560" customFormat="1">
      <c r="P625" s="561"/>
      <c r="Q625" s="562"/>
      <c r="R625" s="562">
        <v>0.6</v>
      </c>
      <c r="S625" s="562"/>
      <c r="T625" s="562"/>
      <c r="U625" s="562"/>
      <c r="V625" s="562"/>
      <c r="W625" s="562"/>
      <c r="X625" s="562"/>
      <c r="Y625" s="562"/>
      <c r="Z625" s="562"/>
      <c r="AA625" s="562"/>
      <c r="AB625" s="562"/>
      <c r="AC625" s="562"/>
      <c r="AD625" s="563"/>
      <c r="AE625" s="561"/>
      <c r="AF625" s="562"/>
      <c r="AG625" s="562"/>
      <c r="AH625" s="562"/>
      <c r="AI625" s="562"/>
      <c r="AJ625" s="562"/>
      <c r="AK625" s="562"/>
      <c r="AL625" s="562"/>
      <c r="AM625" s="562"/>
      <c r="AN625" s="562"/>
      <c r="AO625" s="562"/>
      <c r="AP625" s="562"/>
      <c r="AQ625" s="562"/>
      <c r="AR625" s="562"/>
      <c r="AS625" s="562"/>
      <c r="AT625" s="562"/>
      <c r="AU625" s="562"/>
      <c r="AV625" s="562"/>
      <c r="AW625" s="562"/>
      <c r="AX625" s="562"/>
      <c r="AY625" s="562"/>
      <c r="AZ625" s="562"/>
      <c r="BA625" s="562"/>
      <c r="BB625" s="563"/>
      <c r="BE625" s="560">
        <v>0.4</v>
      </c>
      <c r="BO625" s="605"/>
      <c r="BP625" s="605"/>
      <c r="BQ625" s="658"/>
      <c r="BR625" s="658"/>
    </row>
    <row r="626" spans="16:73" s="560" customFormat="1">
      <c r="P626" s="561"/>
      <c r="Q626" s="562"/>
      <c r="R626" s="562">
        <v>0.6</v>
      </c>
      <c r="S626" s="562"/>
      <c r="T626" s="562"/>
      <c r="U626" s="562"/>
      <c r="V626" s="562"/>
      <c r="W626" s="562"/>
      <c r="X626" s="562"/>
      <c r="Y626" s="562"/>
      <c r="Z626" s="562"/>
      <c r="AA626" s="562"/>
      <c r="AB626" s="562"/>
      <c r="AC626" s="562"/>
      <c r="AD626" s="563"/>
      <c r="AE626" s="561"/>
      <c r="AF626" s="562"/>
      <c r="AG626" s="562"/>
      <c r="AH626" s="562"/>
      <c r="AI626" s="562"/>
      <c r="AJ626" s="562"/>
      <c r="AK626" s="562"/>
      <c r="AL626" s="562"/>
      <c r="AM626" s="562"/>
      <c r="AN626" s="562"/>
      <c r="AO626" s="562"/>
      <c r="AP626" s="562"/>
      <c r="AQ626" s="562"/>
      <c r="AR626" s="562"/>
      <c r="AS626" s="562"/>
      <c r="AT626" s="562"/>
      <c r="AU626" s="562"/>
      <c r="AV626" s="562"/>
      <c r="AW626" s="562"/>
      <c r="AX626" s="562"/>
      <c r="AY626" s="562"/>
      <c r="AZ626" s="562"/>
      <c r="BA626" s="562"/>
      <c r="BB626" s="563"/>
      <c r="BE626" s="560">
        <v>0.3</v>
      </c>
      <c r="BO626" s="605"/>
      <c r="BP626" s="605"/>
      <c r="BQ626" s="658"/>
      <c r="BR626" s="703"/>
      <c r="BS626" s="703"/>
      <c r="BT626" s="703"/>
      <c r="BU626" s="703"/>
    </row>
    <row r="627" spans="16:73" s="560" customFormat="1">
      <c r="P627" s="561"/>
      <c r="Q627" s="562"/>
      <c r="R627" s="562">
        <v>0.4</v>
      </c>
      <c r="S627" s="562"/>
      <c r="T627" s="562"/>
      <c r="U627" s="562"/>
      <c r="V627" s="562"/>
      <c r="W627" s="562"/>
      <c r="X627" s="562"/>
      <c r="Y627" s="562"/>
      <c r="Z627" s="562"/>
      <c r="AA627" s="562"/>
      <c r="AB627" s="562"/>
      <c r="AC627" s="562"/>
      <c r="AD627" s="563"/>
      <c r="AE627" s="561"/>
      <c r="AF627" s="562"/>
      <c r="AG627" s="562"/>
      <c r="AH627" s="562"/>
      <c r="AI627" s="562"/>
      <c r="AJ627" s="562"/>
      <c r="AK627" s="562"/>
      <c r="AL627" s="562"/>
      <c r="AM627" s="562"/>
      <c r="AN627" s="562"/>
      <c r="AO627" s="562"/>
      <c r="AP627" s="562"/>
      <c r="AQ627" s="562"/>
      <c r="AR627" s="562"/>
      <c r="AS627" s="562"/>
      <c r="AT627" s="562"/>
      <c r="AU627" s="562"/>
      <c r="AV627" s="562"/>
      <c r="AW627" s="562"/>
      <c r="AX627" s="562"/>
      <c r="AY627" s="562"/>
      <c r="AZ627" s="562"/>
      <c r="BA627" s="562"/>
      <c r="BB627" s="563"/>
      <c r="BE627" s="560">
        <v>0.4</v>
      </c>
      <c r="BO627" s="605"/>
      <c r="BP627" s="605"/>
      <c r="BQ627" s="658"/>
      <c r="BR627" s="703"/>
      <c r="BS627" s="703"/>
      <c r="BT627" s="703"/>
      <c r="BU627" s="703"/>
    </row>
    <row r="628" spans="16:73" s="560" customFormat="1">
      <c r="P628" s="561"/>
      <c r="Q628" s="562"/>
      <c r="R628" s="562">
        <v>0.6</v>
      </c>
      <c r="S628" s="562"/>
      <c r="T628" s="562"/>
      <c r="U628" s="562"/>
      <c r="V628" s="562"/>
      <c r="W628" s="562"/>
      <c r="X628" s="562"/>
      <c r="Y628" s="562"/>
      <c r="Z628" s="562"/>
      <c r="AA628" s="562"/>
      <c r="AB628" s="562"/>
      <c r="AC628" s="562"/>
      <c r="AD628" s="563"/>
      <c r="AE628" s="561"/>
      <c r="AF628" s="562"/>
      <c r="AG628" s="562"/>
      <c r="AH628" s="562"/>
      <c r="AI628" s="562"/>
      <c r="AJ628" s="562"/>
      <c r="AK628" s="562"/>
      <c r="AL628" s="562"/>
      <c r="AM628" s="562"/>
      <c r="AN628" s="562"/>
      <c r="AO628" s="562"/>
      <c r="AP628" s="562"/>
      <c r="AQ628" s="562"/>
      <c r="AR628" s="562"/>
      <c r="AS628" s="562"/>
      <c r="AT628" s="562"/>
      <c r="AU628" s="562"/>
      <c r="AV628" s="562"/>
      <c r="AW628" s="562"/>
      <c r="AX628" s="562"/>
      <c r="AY628" s="562"/>
      <c r="AZ628" s="562"/>
      <c r="BA628" s="562"/>
      <c r="BB628" s="563"/>
      <c r="BD628" s="560" t="s">
        <v>1155</v>
      </c>
      <c r="BE628" s="560">
        <v>0.4</v>
      </c>
      <c r="BO628" s="605"/>
      <c r="BP628" s="605"/>
      <c r="BQ628" s="658"/>
      <c r="BR628" s="703"/>
      <c r="BS628" s="703"/>
      <c r="BT628" s="703"/>
      <c r="BU628" s="703"/>
    </row>
    <row r="629" spans="16:73" s="560" customFormat="1">
      <c r="P629" s="561"/>
      <c r="Q629" s="562"/>
      <c r="R629" s="562">
        <v>1</v>
      </c>
      <c r="S629" s="562"/>
      <c r="T629" s="562"/>
      <c r="U629" s="562"/>
      <c r="V629" s="562"/>
      <c r="W629" s="562"/>
      <c r="X629" s="562"/>
      <c r="Y629" s="562"/>
      <c r="Z629" s="562"/>
      <c r="AA629" s="562"/>
      <c r="AB629" s="562"/>
      <c r="AC629" s="562"/>
      <c r="AD629" s="563"/>
      <c r="AE629" s="561"/>
      <c r="AF629" s="562"/>
      <c r="AG629" s="562"/>
      <c r="AH629" s="562"/>
      <c r="AI629" s="562"/>
      <c r="AJ629" s="562"/>
      <c r="AK629" s="562"/>
      <c r="AL629" s="562"/>
      <c r="AM629" s="562"/>
      <c r="AN629" s="562"/>
      <c r="AO629" s="562"/>
      <c r="AP629" s="562"/>
      <c r="AQ629" s="562"/>
      <c r="AR629" s="562"/>
      <c r="AS629" s="562"/>
      <c r="AT629" s="562"/>
      <c r="AU629" s="562"/>
      <c r="AV629" s="562"/>
      <c r="AW629" s="562"/>
      <c r="AX629" s="562"/>
      <c r="AY629" s="562"/>
      <c r="AZ629" s="562"/>
      <c r="BA629" s="562"/>
      <c r="BB629" s="563"/>
      <c r="BE629" s="560">
        <v>0.45</v>
      </c>
      <c r="BO629" s="605"/>
      <c r="BP629" s="605"/>
      <c r="BQ629" s="658"/>
      <c r="BR629" s="703"/>
      <c r="BS629" s="703"/>
      <c r="BT629" s="703"/>
      <c r="BU629" s="703"/>
    </row>
    <row r="630" spans="16:73" s="560" customFormat="1">
      <c r="P630" s="561"/>
      <c r="Q630" s="562"/>
      <c r="R630" s="562">
        <v>0.85</v>
      </c>
      <c r="S630" s="562"/>
      <c r="T630" s="562"/>
      <c r="U630" s="562"/>
      <c r="V630" s="562"/>
      <c r="W630" s="562"/>
      <c r="X630" s="562"/>
      <c r="Y630" s="562"/>
      <c r="Z630" s="562"/>
      <c r="AA630" s="562"/>
      <c r="AB630" s="562"/>
      <c r="AC630" s="562"/>
      <c r="AD630" s="563"/>
      <c r="AE630" s="561"/>
      <c r="AF630" s="562"/>
      <c r="AG630" s="562"/>
      <c r="AH630" s="562"/>
      <c r="AI630" s="562"/>
      <c r="AJ630" s="562"/>
      <c r="AK630" s="562"/>
      <c r="AL630" s="562"/>
      <c r="AM630" s="562"/>
      <c r="AN630" s="562"/>
      <c r="AO630" s="562"/>
      <c r="AP630" s="562"/>
      <c r="AQ630" s="562"/>
      <c r="AR630" s="562"/>
      <c r="AS630" s="562"/>
      <c r="AT630" s="562"/>
      <c r="AU630" s="562"/>
      <c r="AV630" s="562"/>
      <c r="AW630" s="562"/>
      <c r="AX630" s="562"/>
      <c r="AY630" s="562"/>
      <c r="AZ630" s="562"/>
      <c r="BA630" s="562"/>
      <c r="BB630" s="563"/>
      <c r="BE630" s="560">
        <v>0.4</v>
      </c>
      <c r="BO630" s="605"/>
      <c r="BP630" s="605"/>
      <c r="BQ630" s="658"/>
      <c r="BR630" s="703"/>
      <c r="BS630" s="703"/>
      <c r="BT630" s="703"/>
      <c r="BU630" s="703"/>
    </row>
    <row r="631" spans="16:73" s="560" customFormat="1">
      <c r="P631" s="561"/>
      <c r="Q631" s="562"/>
      <c r="R631" s="562">
        <v>0.7</v>
      </c>
      <c r="S631" s="562"/>
      <c r="T631" s="562"/>
      <c r="U631" s="562"/>
      <c r="V631" s="562"/>
      <c r="W631" s="562"/>
      <c r="X631" s="562"/>
      <c r="Y631" s="562"/>
      <c r="Z631" s="562"/>
      <c r="AA631" s="562"/>
      <c r="AB631" s="562"/>
      <c r="AC631" s="562"/>
      <c r="AD631" s="563"/>
      <c r="AE631" s="561"/>
      <c r="AF631" s="562"/>
      <c r="AG631" s="562"/>
      <c r="AH631" s="562"/>
      <c r="AI631" s="562"/>
      <c r="AJ631" s="562"/>
      <c r="AK631" s="562"/>
      <c r="AL631" s="562"/>
      <c r="AM631" s="562"/>
      <c r="AN631" s="562"/>
      <c r="AO631" s="562"/>
      <c r="AP631" s="562"/>
      <c r="AQ631" s="562"/>
      <c r="AR631" s="562"/>
      <c r="AS631" s="562"/>
      <c r="AT631" s="562"/>
      <c r="AU631" s="562"/>
      <c r="AV631" s="562"/>
      <c r="AW631" s="562"/>
      <c r="AX631" s="562"/>
      <c r="AY631" s="562"/>
      <c r="AZ631" s="562"/>
      <c r="BA631" s="562"/>
      <c r="BB631" s="563"/>
      <c r="BE631" s="560">
        <v>0.45</v>
      </c>
      <c r="BO631" s="605"/>
      <c r="BP631" s="605"/>
      <c r="BQ631" s="658"/>
      <c r="BR631" s="703"/>
      <c r="BS631" s="703"/>
      <c r="BT631" s="703"/>
      <c r="BU631" s="703"/>
    </row>
    <row r="632" spans="16:73" s="560" customFormat="1">
      <c r="P632" s="561"/>
      <c r="Q632" s="562" t="s">
        <v>1026</v>
      </c>
      <c r="R632" s="562"/>
      <c r="S632" s="562"/>
      <c r="T632" s="562"/>
      <c r="U632" s="562"/>
      <c r="V632" s="562"/>
      <c r="W632" s="562"/>
      <c r="X632" s="562"/>
      <c r="Y632" s="562"/>
      <c r="Z632" s="562"/>
      <c r="AA632" s="562"/>
      <c r="AB632" s="562"/>
      <c r="AC632" s="562"/>
      <c r="AD632" s="563"/>
      <c r="AE632" s="561"/>
      <c r="AF632" s="562"/>
      <c r="AG632" s="562"/>
      <c r="AH632" s="562"/>
      <c r="AI632" s="562"/>
      <c r="AJ632" s="562"/>
      <c r="AK632" s="562"/>
      <c r="AL632" s="562"/>
      <c r="AM632" s="562"/>
      <c r="AN632" s="562"/>
      <c r="AO632" s="562"/>
      <c r="AP632" s="562"/>
      <c r="AQ632" s="562"/>
      <c r="AR632" s="562"/>
      <c r="AS632" s="562"/>
      <c r="AT632" s="562"/>
      <c r="AU632" s="562"/>
      <c r="AV632" s="562"/>
      <c r="AW632" s="562"/>
      <c r="AX632" s="562"/>
      <c r="AY632" s="562"/>
      <c r="AZ632" s="562"/>
      <c r="BA632" s="562"/>
      <c r="BB632" s="563"/>
      <c r="BD632" s="560" t="s">
        <v>1156</v>
      </c>
      <c r="BE632" s="560">
        <v>0.45</v>
      </c>
      <c r="BO632" s="605"/>
      <c r="BP632" s="605"/>
      <c r="BQ632" s="658"/>
      <c r="BR632" s="703"/>
      <c r="BS632" s="703"/>
      <c r="BT632" s="703"/>
      <c r="BU632" s="703"/>
    </row>
    <row r="633" spans="16:73" s="560" customFormat="1">
      <c r="P633" s="561"/>
      <c r="Q633" s="562"/>
      <c r="R633" s="562">
        <v>1</v>
      </c>
      <c r="S633" s="562"/>
      <c r="T633" s="562"/>
      <c r="U633" s="562"/>
      <c r="V633" s="562"/>
      <c r="W633" s="562"/>
      <c r="X633" s="562"/>
      <c r="Y633" s="562"/>
      <c r="Z633" s="562"/>
      <c r="AA633" s="562"/>
      <c r="AB633" s="562"/>
      <c r="AC633" s="562"/>
      <c r="AD633" s="563"/>
      <c r="AE633" s="561"/>
      <c r="AF633" s="562"/>
      <c r="AG633" s="562"/>
      <c r="AH633" s="562"/>
      <c r="AI633" s="562"/>
      <c r="AJ633" s="562"/>
      <c r="AK633" s="562"/>
      <c r="AL633" s="562"/>
      <c r="AM633" s="562"/>
      <c r="AN633" s="562"/>
      <c r="AO633" s="562"/>
      <c r="AP633" s="562"/>
      <c r="AQ633" s="562"/>
      <c r="AR633" s="562"/>
      <c r="AS633" s="562"/>
      <c r="AT633" s="562"/>
      <c r="AU633" s="562"/>
      <c r="AV633" s="562"/>
      <c r="AW633" s="562"/>
      <c r="AX633" s="562"/>
      <c r="AY633" s="562"/>
      <c r="AZ633" s="562"/>
      <c r="BA633" s="562"/>
      <c r="BB633" s="563"/>
      <c r="BE633" s="560">
        <v>0.45</v>
      </c>
      <c r="BO633" s="605"/>
      <c r="BP633" s="605"/>
      <c r="BQ633" s="658"/>
      <c r="BR633" s="703"/>
      <c r="BS633" s="703"/>
      <c r="BT633" s="703"/>
      <c r="BU633" s="703"/>
    </row>
    <row r="634" spans="16:73" s="560" customFormat="1">
      <c r="P634" s="561"/>
      <c r="Q634" s="562"/>
      <c r="R634" s="562">
        <v>0.4</v>
      </c>
      <c r="S634" s="562"/>
      <c r="T634" s="562"/>
      <c r="U634" s="562"/>
      <c r="V634" s="562"/>
      <c r="W634" s="562"/>
      <c r="X634" s="562"/>
      <c r="Y634" s="562"/>
      <c r="Z634" s="562"/>
      <c r="AA634" s="562"/>
      <c r="AB634" s="562"/>
      <c r="AC634" s="562"/>
      <c r="AD634" s="563"/>
      <c r="AE634" s="561"/>
      <c r="AF634" s="562"/>
      <c r="AG634" s="562"/>
      <c r="AH634" s="562"/>
      <c r="AI634" s="562"/>
      <c r="AJ634" s="562"/>
      <c r="AK634" s="562"/>
      <c r="AL634" s="562"/>
      <c r="AM634" s="562"/>
      <c r="AN634" s="562"/>
      <c r="AO634" s="562"/>
      <c r="AP634" s="562"/>
      <c r="AQ634" s="562"/>
      <c r="AR634" s="562"/>
      <c r="AS634" s="562"/>
      <c r="AT634" s="562"/>
      <c r="AU634" s="562"/>
      <c r="AV634" s="562"/>
      <c r="AW634" s="562"/>
      <c r="AX634" s="562"/>
      <c r="AY634" s="562"/>
      <c r="AZ634" s="562"/>
      <c r="BA634" s="562"/>
      <c r="BB634" s="563"/>
      <c r="BE634" s="560">
        <v>0.42</v>
      </c>
      <c r="BO634" s="605"/>
      <c r="BP634" s="605"/>
      <c r="BQ634" s="658"/>
      <c r="BR634" s="703"/>
      <c r="BS634" s="703"/>
      <c r="BT634" s="703"/>
      <c r="BU634" s="703"/>
    </row>
    <row r="635" spans="16:73" s="560" customFormat="1">
      <c r="P635" s="561"/>
      <c r="Q635" s="562"/>
      <c r="R635" s="562">
        <v>0.59</v>
      </c>
      <c r="S635" s="562"/>
      <c r="T635" s="562"/>
      <c r="U635" s="562"/>
      <c r="V635" s="562"/>
      <c r="W635" s="562"/>
      <c r="X635" s="562"/>
      <c r="Y635" s="562"/>
      <c r="Z635" s="562"/>
      <c r="AA635" s="562"/>
      <c r="AB635" s="562"/>
      <c r="AC635" s="562"/>
      <c r="AD635" s="563"/>
      <c r="AE635" s="561"/>
      <c r="AF635" s="562"/>
      <c r="AG635" s="562"/>
      <c r="AH635" s="562"/>
      <c r="AI635" s="562"/>
      <c r="AJ635" s="562"/>
      <c r="AK635" s="562"/>
      <c r="AL635" s="562"/>
      <c r="AM635" s="562"/>
      <c r="AN635" s="562"/>
      <c r="AO635" s="562"/>
      <c r="AP635" s="562"/>
      <c r="AQ635" s="562"/>
      <c r="AR635" s="562"/>
      <c r="AS635" s="562"/>
      <c r="AT635" s="562"/>
      <c r="AU635" s="562"/>
      <c r="AV635" s="562"/>
      <c r="AW635" s="562"/>
      <c r="AX635" s="562"/>
      <c r="AY635" s="562"/>
      <c r="AZ635" s="562"/>
      <c r="BA635" s="562"/>
      <c r="BB635" s="563"/>
      <c r="BE635" s="560">
        <v>0.55000000000000004</v>
      </c>
      <c r="BO635" s="605"/>
      <c r="BP635" s="605"/>
      <c r="BQ635" s="658"/>
      <c r="BR635" s="703"/>
      <c r="BS635" s="703"/>
      <c r="BT635" s="703"/>
      <c r="BU635" s="703"/>
    </row>
    <row r="636" spans="16:73" s="560" customFormat="1">
      <c r="P636" s="561"/>
      <c r="Q636" s="562"/>
      <c r="R636" s="562">
        <v>1</v>
      </c>
      <c r="S636" s="562"/>
      <c r="T636" s="562"/>
      <c r="U636" s="562"/>
      <c r="V636" s="562"/>
      <c r="W636" s="562"/>
      <c r="X636" s="562"/>
      <c r="Y636" s="562"/>
      <c r="Z636" s="562"/>
      <c r="AA636" s="562"/>
      <c r="AB636" s="562"/>
      <c r="AC636" s="562"/>
      <c r="AD636" s="563"/>
      <c r="AE636" s="561"/>
      <c r="AF636" s="562"/>
      <c r="AG636" s="562"/>
      <c r="AH636" s="562"/>
      <c r="AI636" s="562"/>
      <c r="AJ636" s="562"/>
      <c r="AK636" s="562"/>
      <c r="AL636" s="562"/>
      <c r="AM636" s="562"/>
      <c r="AN636" s="562"/>
      <c r="AO636" s="562"/>
      <c r="AP636" s="562"/>
      <c r="AQ636" s="562"/>
      <c r="AR636" s="562"/>
      <c r="AS636" s="562"/>
      <c r="AT636" s="562"/>
      <c r="AU636" s="562"/>
      <c r="AV636" s="562"/>
      <c r="AW636" s="562"/>
      <c r="AX636" s="562"/>
      <c r="AY636" s="562"/>
      <c r="AZ636" s="562"/>
      <c r="BA636" s="562"/>
      <c r="BB636" s="563"/>
      <c r="BD636" s="560" t="s">
        <v>1157</v>
      </c>
      <c r="BE636" s="560">
        <v>0.4</v>
      </c>
      <c r="BO636" s="605"/>
      <c r="BP636" s="605"/>
      <c r="BQ636" s="658"/>
      <c r="BR636" s="703"/>
      <c r="BS636" s="703"/>
      <c r="BT636" s="703"/>
      <c r="BU636" s="703"/>
    </row>
    <row r="637" spans="16:73" s="560" customFormat="1">
      <c r="P637" s="561"/>
      <c r="Q637" s="562"/>
      <c r="R637" s="562">
        <v>1.2</v>
      </c>
      <c r="S637" s="562"/>
      <c r="T637" s="562"/>
      <c r="U637" s="562"/>
      <c r="V637" s="562"/>
      <c r="W637" s="562"/>
      <c r="X637" s="562"/>
      <c r="Y637" s="562"/>
      <c r="Z637" s="562"/>
      <c r="AA637" s="562"/>
      <c r="AB637" s="562"/>
      <c r="AC637" s="562"/>
      <c r="AD637" s="563"/>
      <c r="AE637" s="561"/>
      <c r="AF637" s="562"/>
      <c r="AG637" s="562"/>
      <c r="AH637" s="562"/>
      <c r="AI637" s="562"/>
      <c r="AJ637" s="562"/>
      <c r="AK637" s="562"/>
      <c r="AL637" s="562"/>
      <c r="AM637" s="562"/>
      <c r="AN637" s="562"/>
      <c r="AO637" s="562"/>
      <c r="AP637" s="562"/>
      <c r="AQ637" s="562"/>
      <c r="AR637" s="562"/>
      <c r="AS637" s="562"/>
      <c r="AT637" s="562"/>
      <c r="AU637" s="562"/>
      <c r="AV637" s="562"/>
      <c r="AW637" s="562"/>
      <c r="AX637" s="562"/>
      <c r="AY637" s="562"/>
      <c r="AZ637" s="562"/>
      <c r="BA637" s="562"/>
      <c r="BB637" s="563"/>
      <c r="BE637" s="560">
        <v>0.6</v>
      </c>
      <c r="BO637" s="605"/>
      <c r="BP637" s="605"/>
      <c r="BQ637" s="658"/>
      <c r="BR637" s="703"/>
      <c r="BS637" s="703"/>
      <c r="BT637" s="703"/>
      <c r="BU637" s="703"/>
    </row>
    <row r="638" spans="16:73" s="560" customFormat="1">
      <c r="P638" s="561"/>
      <c r="Q638" s="562"/>
      <c r="R638" s="562">
        <f>COUNT(R561:R637)</f>
        <v>73</v>
      </c>
      <c r="S638" s="562"/>
      <c r="T638" s="562"/>
      <c r="U638" s="562"/>
      <c r="V638" s="562"/>
      <c r="W638" s="562"/>
      <c r="X638" s="562"/>
      <c r="Y638" s="562"/>
      <c r="Z638" s="562"/>
      <c r="AA638" s="562"/>
      <c r="AB638" s="562"/>
      <c r="AC638" s="562"/>
      <c r="AD638" s="563"/>
      <c r="AE638" s="561"/>
      <c r="AF638" s="562"/>
      <c r="AG638" s="562"/>
      <c r="AH638" s="562"/>
      <c r="AI638" s="562"/>
      <c r="AJ638" s="562"/>
      <c r="AK638" s="562"/>
      <c r="AL638" s="562"/>
      <c r="AM638" s="562"/>
      <c r="AN638" s="562"/>
      <c r="AO638" s="562"/>
      <c r="AP638" s="562"/>
      <c r="AQ638" s="562"/>
      <c r="AR638" s="562"/>
      <c r="AS638" s="562"/>
      <c r="AT638" s="562"/>
      <c r="AU638" s="562"/>
      <c r="AV638" s="562"/>
      <c r="AW638" s="562"/>
      <c r="AX638" s="562"/>
      <c r="AY638" s="562"/>
      <c r="AZ638" s="562"/>
      <c r="BA638" s="562"/>
      <c r="BB638" s="563"/>
      <c r="BE638" s="560">
        <v>0.46</v>
      </c>
      <c r="BO638" s="605"/>
      <c r="BP638" s="605"/>
      <c r="BQ638" s="658"/>
      <c r="BR638" s="703"/>
      <c r="BS638" s="703"/>
      <c r="BT638" s="703"/>
      <c r="BU638" s="703"/>
    </row>
    <row r="639" spans="16:73" s="560" customFormat="1">
      <c r="P639" s="567">
        <v>41149</v>
      </c>
      <c r="Q639" s="568" t="s">
        <v>725</v>
      </c>
      <c r="R639" s="568"/>
      <c r="S639" s="568" t="s">
        <v>832</v>
      </c>
      <c r="T639" s="569" t="s">
        <v>727</v>
      </c>
      <c r="U639" s="569" t="s">
        <v>728</v>
      </c>
      <c r="V639" s="569" t="s">
        <v>729</v>
      </c>
      <c r="W639" s="569" t="s">
        <v>730</v>
      </c>
      <c r="X639" s="569" t="s">
        <v>731</v>
      </c>
      <c r="Y639" s="568"/>
      <c r="Z639" s="562"/>
      <c r="AA639" s="562"/>
      <c r="AB639" s="562"/>
      <c r="AC639" s="562"/>
      <c r="AD639" s="563"/>
      <c r="AE639" s="561"/>
      <c r="AF639" s="562"/>
      <c r="AG639" s="562"/>
      <c r="AH639" s="562"/>
      <c r="AI639" s="562"/>
      <c r="AJ639" s="562"/>
      <c r="AK639" s="562"/>
      <c r="AL639" s="562"/>
      <c r="AM639" s="562"/>
      <c r="AN639" s="562"/>
      <c r="AO639" s="562"/>
      <c r="AP639" s="562"/>
      <c r="AQ639" s="562"/>
      <c r="AR639" s="562"/>
      <c r="AS639" s="562"/>
      <c r="AT639" s="562"/>
      <c r="AU639" s="562"/>
      <c r="AV639" s="562"/>
      <c r="AW639" s="562"/>
      <c r="AX639" s="562"/>
      <c r="AY639" s="562"/>
      <c r="AZ639" s="562"/>
      <c r="BA639" s="562"/>
      <c r="BB639" s="563"/>
      <c r="BE639" s="560">
        <v>0.55000000000000004</v>
      </c>
      <c r="BO639" s="605"/>
      <c r="BP639" s="605"/>
      <c r="BQ639" s="658"/>
      <c r="BR639" s="703"/>
      <c r="BS639" s="703"/>
      <c r="BT639" s="703"/>
      <c r="BU639" s="703"/>
    </row>
    <row r="640" spans="16:73" s="560" customFormat="1">
      <c r="P640" s="561"/>
      <c r="Q640" s="568"/>
      <c r="R640" s="568"/>
      <c r="S640" s="568"/>
      <c r="T640" s="569" t="s">
        <v>1158</v>
      </c>
      <c r="U640" s="569" t="s">
        <v>1159</v>
      </c>
      <c r="V640" s="577"/>
      <c r="W640" s="577"/>
      <c r="X640" s="707" t="s">
        <v>1160</v>
      </c>
      <c r="Y640" s="578" t="s">
        <v>1161</v>
      </c>
      <c r="Z640" s="562"/>
      <c r="AA640" s="562"/>
      <c r="AB640" s="562"/>
      <c r="AC640" s="562"/>
      <c r="AD640" s="563"/>
      <c r="AE640" s="561"/>
      <c r="AF640" s="562"/>
      <c r="AG640" s="562"/>
      <c r="AH640" s="562"/>
      <c r="AI640" s="562"/>
      <c r="AJ640" s="562"/>
      <c r="AK640" s="562"/>
      <c r="AL640" s="562"/>
      <c r="AM640" s="562"/>
      <c r="AN640" s="562"/>
      <c r="AO640" s="562"/>
      <c r="AP640" s="562"/>
      <c r="AQ640" s="562"/>
      <c r="AR640" s="562"/>
      <c r="AS640" s="562"/>
      <c r="AT640" s="562"/>
      <c r="AU640" s="562"/>
      <c r="AV640" s="562"/>
      <c r="AW640" s="562"/>
      <c r="AX640" s="562"/>
      <c r="AY640" s="562"/>
      <c r="AZ640" s="562"/>
      <c r="BA640" s="562"/>
      <c r="BB640" s="563"/>
      <c r="BD640" s="560" t="s">
        <v>1162</v>
      </c>
      <c r="BE640" s="560">
        <v>0.4</v>
      </c>
      <c r="BO640" s="605"/>
      <c r="BP640" s="605"/>
      <c r="BQ640" s="658"/>
      <c r="BR640" s="703"/>
      <c r="BS640" s="703"/>
      <c r="BT640" s="703"/>
      <c r="BU640" s="703"/>
    </row>
    <row r="641" spans="16:73" s="560" customFormat="1">
      <c r="P641" s="561" t="s">
        <v>590</v>
      </c>
      <c r="Q641" s="583" t="s">
        <v>1163</v>
      </c>
      <c r="R641" s="578"/>
      <c r="S641" s="569"/>
      <c r="T641" s="568"/>
      <c r="U641" s="568"/>
      <c r="V641" s="569"/>
      <c r="W641" s="569"/>
      <c r="X641" s="569"/>
      <c r="Y641" s="569"/>
      <c r="Z641" s="562"/>
      <c r="AA641" s="562"/>
      <c r="AB641" s="562"/>
      <c r="AC641" s="562"/>
      <c r="AD641" s="563"/>
      <c r="AE641" s="561"/>
      <c r="AF641" s="562"/>
      <c r="AG641" s="562"/>
      <c r="AH641" s="562"/>
      <c r="AI641" s="562"/>
      <c r="AJ641" s="562"/>
      <c r="AK641" s="562"/>
      <c r="AL641" s="562"/>
      <c r="AM641" s="562"/>
      <c r="AN641" s="562"/>
      <c r="AO641" s="562"/>
      <c r="AP641" s="562"/>
      <c r="AQ641" s="562"/>
      <c r="AR641" s="562"/>
      <c r="AS641" s="562"/>
      <c r="AT641" s="562"/>
      <c r="AU641" s="562"/>
      <c r="AV641" s="562"/>
      <c r="AW641" s="562"/>
      <c r="AX641" s="562"/>
      <c r="AY641" s="562"/>
      <c r="AZ641" s="562"/>
      <c r="BA641" s="562"/>
      <c r="BB641" s="563"/>
      <c r="BE641" s="560">
        <v>0.45</v>
      </c>
      <c r="BO641" s="605"/>
      <c r="BP641" s="605"/>
      <c r="BQ641" s="658"/>
      <c r="BR641" s="703"/>
      <c r="BS641" s="703"/>
      <c r="BT641" s="703"/>
      <c r="BU641" s="703"/>
    </row>
    <row r="642" spans="16:73" s="560" customFormat="1">
      <c r="P642" s="587"/>
      <c r="Q642" s="588" t="s">
        <v>755</v>
      </c>
      <c r="R642" s="588" t="s">
        <v>756</v>
      </c>
      <c r="S642" s="588" t="s">
        <v>757</v>
      </c>
      <c r="T642" s="588" t="s">
        <v>758</v>
      </c>
      <c r="U642" s="588" t="s">
        <v>759</v>
      </c>
      <c r="V642" s="588" t="s">
        <v>760</v>
      </c>
      <c r="W642" s="588" t="s">
        <v>761</v>
      </c>
      <c r="X642" s="588" t="s">
        <v>762</v>
      </c>
      <c r="Y642" s="588" t="s">
        <v>763</v>
      </c>
      <c r="Z642" s="562"/>
      <c r="AA642" s="562"/>
      <c r="AB642" s="562"/>
      <c r="AC642" s="588" t="s">
        <v>764</v>
      </c>
      <c r="AD642" s="589"/>
      <c r="AE642" s="561"/>
      <c r="AF642" s="562"/>
      <c r="AG642" s="562"/>
      <c r="AH642" s="562"/>
      <c r="AI642" s="562"/>
      <c r="AJ642" s="562"/>
      <c r="AK642" s="562"/>
      <c r="AL642" s="562"/>
      <c r="AM642" s="562"/>
      <c r="AN642" s="562"/>
      <c r="AO642" s="562"/>
      <c r="AP642" s="562"/>
      <c r="AQ642" s="562"/>
      <c r="AR642" s="562"/>
      <c r="AS642" s="562"/>
      <c r="AT642" s="562"/>
      <c r="AU642" s="562"/>
      <c r="AV642" s="562"/>
      <c r="AW642" s="562"/>
      <c r="AX642" s="562"/>
      <c r="AY642" s="562"/>
      <c r="AZ642" s="562"/>
      <c r="BA642" s="562"/>
      <c r="BB642" s="563"/>
      <c r="BE642" s="560">
        <v>0.35</v>
      </c>
      <c r="BO642" s="605"/>
      <c r="BP642" s="605"/>
      <c r="BQ642" s="658"/>
      <c r="BR642" s="657"/>
      <c r="BS642" s="562"/>
      <c r="BT642" s="562"/>
      <c r="BU642" s="562"/>
    </row>
    <row r="643" spans="16:73" s="560" customFormat="1">
      <c r="P643" s="561"/>
      <c r="Q643" s="568">
        <v>0.1</v>
      </c>
      <c r="R643" s="562"/>
      <c r="S643" s="562">
        <v>0.3</v>
      </c>
      <c r="T643" s="562" t="s">
        <v>1164</v>
      </c>
      <c r="U643" s="562"/>
      <c r="V643" s="562"/>
      <c r="W643" s="562"/>
      <c r="X643" s="562" t="s">
        <v>1165</v>
      </c>
      <c r="Y643" s="562"/>
      <c r="Z643" s="562"/>
      <c r="AA643" s="562"/>
      <c r="AB643" s="562"/>
      <c r="AC643" s="577"/>
      <c r="AD643" s="589"/>
      <c r="AE643" s="561"/>
      <c r="AF643" s="562"/>
      <c r="AG643" s="562"/>
      <c r="AH643" s="562"/>
      <c r="AI643" s="562"/>
      <c r="AJ643" s="562"/>
      <c r="AK643" s="562"/>
      <c r="AL643" s="562"/>
      <c r="AM643" s="562"/>
      <c r="AN643" s="562"/>
      <c r="AO643" s="562"/>
      <c r="AP643" s="562"/>
      <c r="AQ643" s="562"/>
      <c r="AR643" s="562"/>
      <c r="AS643" s="562"/>
      <c r="AT643" s="562"/>
      <c r="AU643" s="562"/>
      <c r="AV643" s="562"/>
      <c r="AW643" s="562"/>
      <c r="AX643" s="562"/>
      <c r="AY643" s="562"/>
      <c r="AZ643" s="562"/>
      <c r="BA643" s="562"/>
      <c r="BB643" s="563"/>
      <c r="BE643" s="560">
        <v>0.4</v>
      </c>
      <c r="BO643" s="605"/>
      <c r="BP643" s="605"/>
      <c r="BQ643" s="658"/>
      <c r="BR643" s="657"/>
      <c r="BS643" s="562"/>
      <c r="BT643" s="562"/>
      <c r="BU643" s="562"/>
    </row>
    <row r="644" spans="16:73" s="560" customFormat="1">
      <c r="P644" s="561"/>
      <c r="Q644" s="568">
        <v>0.2</v>
      </c>
      <c r="R644" s="568"/>
      <c r="S644" s="562">
        <v>0.5</v>
      </c>
      <c r="T644" s="562" t="s">
        <v>793</v>
      </c>
      <c r="U644" s="562"/>
      <c r="V644" s="562"/>
      <c r="W644" s="562"/>
      <c r="X644" s="609" t="s">
        <v>1166</v>
      </c>
      <c r="Y644" s="562"/>
      <c r="Z644" s="562"/>
      <c r="AA644" s="562"/>
      <c r="AB644" s="562"/>
      <c r="AC644" s="607" t="s">
        <v>780</v>
      </c>
      <c r="AD644" s="608" t="s">
        <v>616</v>
      </c>
      <c r="AE644" s="561"/>
      <c r="AF644" s="562"/>
      <c r="AG644" s="562"/>
      <c r="AH644" s="562"/>
      <c r="AI644" s="562"/>
      <c r="AJ644" s="562"/>
      <c r="AK644" s="562"/>
      <c r="AL644" s="562"/>
      <c r="AM644" s="562"/>
      <c r="AN644" s="562"/>
      <c r="AO644" s="562"/>
      <c r="AP644" s="562"/>
      <c r="AQ644" s="562"/>
      <c r="AR644" s="562"/>
      <c r="AS644" s="562"/>
      <c r="AT644" s="562"/>
      <c r="AU644" s="562"/>
      <c r="AV644" s="562"/>
      <c r="AW644" s="562"/>
      <c r="AX644" s="562"/>
      <c r="AY644" s="562"/>
      <c r="AZ644" s="562"/>
      <c r="BA644" s="562"/>
      <c r="BB644" s="563"/>
      <c r="BD644" s="560" t="s">
        <v>1167</v>
      </c>
      <c r="BE644" s="560">
        <v>0.35</v>
      </c>
      <c r="BO644" s="605"/>
      <c r="BP644" s="605"/>
      <c r="BQ644" s="658"/>
      <c r="BR644" s="658"/>
    </row>
    <row r="645" spans="16:73" s="560" customFormat="1">
      <c r="P645" s="561"/>
      <c r="Q645" s="568">
        <v>3.5</v>
      </c>
      <c r="R645" s="562"/>
      <c r="S645" s="562">
        <v>0.2</v>
      </c>
      <c r="T645" s="562" t="s">
        <v>826</v>
      </c>
      <c r="U645" s="562"/>
      <c r="V645" s="562"/>
      <c r="W645" s="562"/>
      <c r="X645" s="629">
        <v>2492</v>
      </c>
      <c r="Y645" s="562"/>
      <c r="Z645" s="562"/>
      <c r="AA645" s="562"/>
      <c r="AB645" s="562"/>
      <c r="AC645" s="607" t="s">
        <v>785</v>
      </c>
      <c r="AD645" s="608" t="s">
        <v>542</v>
      </c>
      <c r="AE645" s="561"/>
      <c r="AF645" s="562"/>
      <c r="AG645" s="562"/>
      <c r="AH645" s="562"/>
      <c r="AI645" s="562"/>
      <c r="AJ645" s="562"/>
      <c r="AK645" s="562"/>
      <c r="AL645" s="562"/>
      <c r="AM645" s="562"/>
      <c r="AN645" s="562"/>
      <c r="AO645" s="562"/>
      <c r="AP645" s="562"/>
      <c r="AQ645" s="562"/>
      <c r="AR645" s="562"/>
      <c r="AS645" s="562"/>
      <c r="AT645" s="562"/>
      <c r="AU645" s="562"/>
      <c r="AV645" s="562"/>
      <c r="AW645" s="562"/>
      <c r="AX645" s="562"/>
      <c r="AY645" s="562"/>
      <c r="AZ645" s="562"/>
      <c r="BA645" s="562"/>
      <c r="BB645" s="563"/>
      <c r="BE645" s="560">
        <v>0.55000000000000004</v>
      </c>
      <c r="BO645" s="605"/>
      <c r="BP645" s="605"/>
      <c r="BQ645" s="658"/>
      <c r="BR645" s="658"/>
    </row>
    <row r="646" spans="16:73" s="560" customFormat="1">
      <c r="P646" s="561"/>
      <c r="Q646" s="562"/>
      <c r="R646" s="562"/>
      <c r="S646" s="562"/>
      <c r="T646" s="562"/>
      <c r="U646" s="562"/>
      <c r="V646" s="562"/>
      <c r="W646" s="562"/>
      <c r="X646" s="629"/>
      <c r="Y646" s="562"/>
      <c r="Z646" s="562"/>
      <c r="AA646" s="562"/>
      <c r="AB646" s="562"/>
      <c r="AC646" s="607" t="s">
        <v>789</v>
      </c>
      <c r="AD646" s="608" t="s">
        <v>790</v>
      </c>
      <c r="AE646" s="561"/>
      <c r="AF646" s="562"/>
      <c r="AG646" s="562"/>
      <c r="AH646" s="562"/>
      <c r="AI646" s="562"/>
      <c r="AJ646" s="562"/>
      <c r="AK646" s="562"/>
      <c r="AL646" s="562"/>
      <c r="AM646" s="562"/>
      <c r="AN646" s="562"/>
      <c r="AO646" s="562"/>
      <c r="AP646" s="562"/>
      <c r="AQ646" s="562"/>
      <c r="AR646" s="562"/>
      <c r="AS646" s="562"/>
      <c r="AT646" s="562"/>
      <c r="AU646" s="562"/>
      <c r="AV646" s="562"/>
      <c r="AW646" s="562"/>
      <c r="AX646" s="562"/>
      <c r="AY646" s="562"/>
      <c r="AZ646" s="562"/>
      <c r="BA646" s="562"/>
      <c r="BB646" s="563"/>
      <c r="BE646" s="560">
        <v>0.4</v>
      </c>
      <c r="BO646" s="605"/>
      <c r="BP646" s="605"/>
      <c r="BQ646" s="658"/>
      <c r="BR646" s="658"/>
    </row>
    <row r="647" spans="16:73" s="560" customFormat="1">
      <c r="P647" s="561"/>
      <c r="Q647" s="562"/>
      <c r="R647" s="562"/>
      <c r="S647" s="625">
        <f>SUM(S643:S646)</f>
        <v>1</v>
      </c>
      <c r="T647" s="562"/>
      <c r="U647" s="562"/>
      <c r="V647" s="562"/>
      <c r="W647" s="562"/>
      <c r="X647" s="629"/>
      <c r="Y647" s="562"/>
      <c r="Z647" s="562"/>
      <c r="AA647" s="562"/>
      <c r="AB647" s="562"/>
      <c r="AC647" s="607" t="s">
        <v>791</v>
      </c>
      <c r="AD647" s="608" t="s">
        <v>792</v>
      </c>
      <c r="AE647" s="561"/>
      <c r="AF647" s="562"/>
      <c r="AG647" s="562"/>
      <c r="AH647" s="562"/>
      <c r="AI647" s="562"/>
      <c r="AJ647" s="562"/>
      <c r="AK647" s="562"/>
      <c r="AL647" s="562"/>
      <c r="AM647" s="562"/>
      <c r="AN647" s="562"/>
      <c r="AO647" s="562"/>
      <c r="AP647" s="562"/>
      <c r="AQ647" s="562"/>
      <c r="AR647" s="562"/>
      <c r="AS647" s="562"/>
      <c r="AT647" s="562"/>
      <c r="AU647" s="562"/>
      <c r="AV647" s="562"/>
      <c r="AW647" s="562"/>
      <c r="AX647" s="562"/>
      <c r="AY647" s="562"/>
      <c r="AZ647" s="562"/>
      <c r="BA647" s="562"/>
      <c r="BB647" s="563"/>
      <c r="BE647" s="560">
        <v>0.4</v>
      </c>
      <c r="BO647" s="605"/>
      <c r="BP647" s="605"/>
      <c r="BQ647" s="658"/>
      <c r="BR647" s="658"/>
    </row>
    <row r="648" spans="16:73" s="560" customFormat="1">
      <c r="P648" s="561"/>
      <c r="Q648" s="562"/>
      <c r="R648" s="562"/>
      <c r="S648" s="562"/>
      <c r="T648" s="562"/>
      <c r="U648" s="562"/>
      <c r="V648" s="562"/>
      <c r="W648" s="562"/>
      <c r="X648" s="562"/>
      <c r="Y648" s="562"/>
      <c r="Z648" s="562"/>
      <c r="AA648" s="562"/>
      <c r="AB648" s="562"/>
      <c r="AC648" s="607" t="s">
        <v>794</v>
      </c>
      <c r="AD648" s="608" t="s">
        <v>795</v>
      </c>
      <c r="AE648" s="561"/>
      <c r="AF648" s="562"/>
      <c r="AG648" s="562"/>
      <c r="AH648" s="562"/>
      <c r="AI648" s="562"/>
      <c r="AJ648" s="562"/>
      <c r="AK648" s="562"/>
      <c r="AL648" s="562"/>
      <c r="AM648" s="562"/>
      <c r="AN648" s="562"/>
      <c r="AO648" s="562"/>
      <c r="AP648" s="562"/>
      <c r="AQ648" s="562"/>
      <c r="AR648" s="562"/>
      <c r="AS648" s="562"/>
      <c r="AT648" s="562"/>
      <c r="AU648" s="562"/>
      <c r="AV648" s="562"/>
      <c r="AW648" s="562"/>
      <c r="AX648" s="562"/>
      <c r="AY648" s="562"/>
      <c r="AZ648" s="562"/>
      <c r="BA648" s="562"/>
      <c r="BB648" s="563"/>
      <c r="BD648" s="560" t="s">
        <v>1168</v>
      </c>
      <c r="BE648" s="560">
        <v>0.35</v>
      </c>
      <c r="BO648" s="605"/>
      <c r="BP648" s="605"/>
      <c r="BQ648" s="658"/>
      <c r="BR648" s="658"/>
    </row>
    <row r="649" spans="16:73" s="560" customFormat="1">
      <c r="P649" s="561"/>
      <c r="Q649" s="562"/>
      <c r="R649" s="562"/>
      <c r="S649" s="562"/>
      <c r="T649" s="562"/>
      <c r="U649" s="562"/>
      <c r="V649" s="562"/>
      <c r="W649" s="562"/>
      <c r="X649" s="562"/>
      <c r="Y649" s="562"/>
      <c r="Z649" s="562"/>
      <c r="AA649" s="562"/>
      <c r="AB649" s="562"/>
      <c r="AC649" s="607" t="s">
        <v>798</v>
      </c>
      <c r="AD649" s="608" t="s">
        <v>546</v>
      </c>
      <c r="AE649" s="561"/>
      <c r="AF649" s="562"/>
      <c r="AG649" s="562"/>
      <c r="AH649" s="562"/>
      <c r="AI649" s="562"/>
      <c r="AJ649" s="562"/>
      <c r="AK649" s="562"/>
      <c r="AL649" s="562"/>
      <c r="AM649" s="562"/>
      <c r="AN649" s="562"/>
      <c r="AO649" s="562"/>
      <c r="AP649" s="562"/>
      <c r="AQ649" s="562"/>
      <c r="AR649" s="562"/>
      <c r="AS649" s="562"/>
      <c r="AT649" s="562"/>
      <c r="AU649" s="562"/>
      <c r="AV649" s="562"/>
      <c r="AW649" s="562"/>
      <c r="AX649" s="562"/>
      <c r="AY649" s="562"/>
      <c r="AZ649" s="562"/>
      <c r="BA649" s="562"/>
      <c r="BB649" s="563"/>
      <c r="BE649" s="560">
        <v>0.5</v>
      </c>
      <c r="BO649" s="605"/>
      <c r="BP649" s="605"/>
      <c r="BQ649" s="658"/>
      <c r="BR649" s="658"/>
    </row>
    <row r="650" spans="16:73" s="560" customFormat="1">
      <c r="P650" s="561"/>
      <c r="Q650" s="562"/>
      <c r="R650" s="562"/>
      <c r="S650" s="562"/>
      <c r="T650" s="562"/>
      <c r="U650" s="562"/>
      <c r="V650" s="562"/>
      <c r="W650" s="562"/>
      <c r="X650" s="562"/>
      <c r="Y650" s="562"/>
      <c r="Z650" s="562"/>
      <c r="AA650" s="562"/>
      <c r="AB650" s="562"/>
      <c r="AC650" s="607" t="s">
        <v>800</v>
      </c>
      <c r="AD650" s="608" t="s">
        <v>801</v>
      </c>
      <c r="AE650" s="561"/>
      <c r="AF650" s="562"/>
      <c r="AG650" s="562"/>
      <c r="AH650" s="562"/>
      <c r="AI650" s="562"/>
      <c r="AJ650" s="562"/>
      <c r="AK650" s="562"/>
      <c r="AL650" s="562"/>
      <c r="AM650" s="562"/>
      <c r="AN650" s="562"/>
      <c r="AO650" s="562"/>
      <c r="AP650" s="562"/>
      <c r="AQ650" s="562"/>
      <c r="AR650" s="562"/>
      <c r="AS650" s="562"/>
      <c r="AT650" s="562"/>
      <c r="AU650" s="562"/>
      <c r="AV650" s="562"/>
      <c r="AW650" s="562"/>
      <c r="AX650" s="562"/>
      <c r="AY650" s="562"/>
      <c r="AZ650" s="562"/>
      <c r="BA650" s="562"/>
      <c r="BB650" s="563"/>
      <c r="BE650" s="560" t="s">
        <v>1169</v>
      </c>
      <c r="BO650" s="605"/>
      <c r="BP650" s="605"/>
      <c r="BQ650" s="658"/>
      <c r="BR650" s="658"/>
    </row>
    <row r="651" spans="16:73" s="560" customFormat="1">
      <c r="P651" s="561"/>
      <c r="Q651" s="562"/>
      <c r="R651" s="562"/>
      <c r="S651" s="562"/>
      <c r="T651" s="562"/>
      <c r="U651" s="562"/>
      <c r="V651" s="562"/>
      <c r="W651" s="562"/>
      <c r="X651" s="562"/>
      <c r="Y651" s="562"/>
      <c r="Z651" s="562"/>
      <c r="AA651" s="562"/>
      <c r="AB651" s="562"/>
      <c r="AC651" s="607" t="s">
        <v>804</v>
      </c>
      <c r="AD651" s="608" t="s">
        <v>805</v>
      </c>
      <c r="AE651" s="561"/>
      <c r="AF651" s="562"/>
      <c r="AG651" s="562"/>
      <c r="AH651" s="562"/>
      <c r="AI651" s="562"/>
      <c r="AJ651" s="562"/>
      <c r="AK651" s="562"/>
      <c r="AL651" s="562"/>
      <c r="AM651" s="562"/>
      <c r="AN651" s="562"/>
      <c r="AO651" s="562"/>
      <c r="AP651" s="562"/>
      <c r="AQ651" s="562"/>
      <c r="AR651" s="562"/>
      <c r="AS651" s="562"/>
      <c r="AT651" s="562"/>
      <c r="AU651" s="562"/>
      <c r="AV651" s="562"/>
      <c r="AW651" s="562"/>
      <c r="AX651" s="562"/>
      <c r="AY651" s="562"/>
      <c r="AZ651" s="562"/>
      <c r="BA651" s="562"/>
      <c r="BB651" s="563"/>
      <c r="BD651" s="560" t="s">
        <v>1153</v>
      </c>
      <c r="BE651" s="560">
        <v>0.08</v>
      </c>
      <c r="BO651" s="605"/>
      <c r="BP651" s="605"/>
      <c r="BQ651" s="658"/>
      <c r="BR651" s="658"/>
    </row>
    <row r="652" spans="16:73" s="560" customFormat="1">
      <c r="P652" s="561"/>
      <c r="Q652" s="562"/>
      <c r="R652" s="562"/>
      <c r="S652" s="562"/>
      <c r="T652" s="562"/>
      <c r="U652" s="562"/>
      <c r="V652" s="562"/>
      <c r="W652" s="562"/>
      <c r="X652" s="562"/>
      <c r="Y652" s="562"/>
      <c r="Z652" s="562"/>
      <c r="AA652" s="562"/>
      <c r="AB652" s="562"/>
      <c r="AC652" s="607" t="s">
        <v>807</v>
      </c>
      <c r="AD652" s="608" t="s">
        <v>808</v>
      </c>
      <c r="AE652" s="561"/>
      <c r="AF652" s="562"/>
      <c r="AG652" s="562"/>
      <c r="AH652" s="562"/>
      <c r="AI652" s="562"/>
      <c r="AJ652" s="562"/>
      <c r="AK652" s="562"/>
      <c r="AL652" s="562"/>
      <c r="AM652" s="562"/>
      <c r="AN652" s="562"/>
      <c r="AO652" s="562"/>
      <c r="AP652" s="562"/>
      <c r="AQ652" s="562"/>
      <c r="AR652" s="562"/>
      <c r="AS652" s="562"/>
      <c r="AT652" s="562"/>
      <c r="AU652" s="562"/>
      <c r="AV652" s="562"/>
      <c r="AW652" s="562"/>
      <c r="AX652" s="562"/>
      <c r="AY652" s="562"/>
      <c r="AZ652" s="562"/>
      <c r="BA652" s="562"/>
      <c r="BB652" s="563"/>
      <c r="BE652" s="560">
        <v>0.12</v>
      </c>
      <c r="BO652" s="605"/>
      <c r="BP652" s="605"/>
      <c r="BQ652" s="658"/>
      <c r="BR652" s="658"/>
    </row>
    <row r="653" spans="16:73" s="560" customFormat="1">
      <c r="P653" s="561"/>
      <c r="Q653" s="562"/>
      <c r="R653" s="562"/>
      <c r="S653" s="562"/>
      <c r="T653" s="562"/>
      <c r="U653" s="562"/>
      <c r="V653" s="562"/>
      <c r="W653" s="562"/>
      <c r="X653" s="562"/>
      <c r="Y653" s="562"/>
      <c r="Z653" s="562"/>
      <c r="AA653" s="562"/>
      <c r="AB653" s="562"/>
      <c r="AC653" s="607" t="s">
        <v>810</v>
      </c>
      <c r="AD653" s="608" t="s">
        <v>550</v>
      </c>
      <c r="AE653" s="561"/>
      <c r="AF653" s="562"/>
      <c r="AG653" s="562"/>
      <c r="AH653" s="562"/>
      <c r="AI653" s="562"/>
      <c r="AJ653" s="562"/>
      <c r="AK653" s="562"/>
      <c r="AL653" s="562"/>
      <c r="AM653" s="562"/>
      <c r="AN653" s="562"/>
      <c r="AO653" s="562"/>
      <c r="AP653" s="562"/>
      <c r="AQ653" s="562"/>
      <c r="AR653" s="562"/>
      <c r="AS653" s="562"/>
      <c r="AT653" s="562"/>
      <c r="AU653" s="562"/>
      <c r="AV653" s="562"/>
      <c r="AW653" s="562"/>
      <c r="AX653" s="562"/>
      <c r="AY653" s="562"/>
      <c r="AZ653" s="562"/>
      <c r="BA653" s="562"/>
      <c r="BB653" s="563"/>
      <c r="BE653" s="560">
        <v>0.15</v>
      </c>
      <c r="BO653" s="605"/>
      <c r="BP653" s="605"/>
      <c r="BQ653" s="658"/>
      <c r="BR653" s="658"/>
    </row>
    <row r="654" spans="16:73" s="560" customFormat="1">
      <c r="P654" s="561"/>
      <c r="Q654" s="562"/>
      <c r="R654" s="562"/>
      <c r="S654" s="562"/>
      <c r="T654" s="562"/>
      <c r="U654" s="562"/>
      <c r="V654" s="562"/>
      <c r="W654" s="562"/>
      <c r="X654" s="562"/>
      <c r="Y654" s="562"/>
      <c r="Z654" s="562"/>
      <c r="AA654" s="562"/>
      <c r="AB654" s="562"/>
      <c r="AC654" s="607" t="s">
        <v>813</v>
      </c>
      <c r="AD654" s="608" t="s">
        <v>552</v>
      </c>
      <c r="AE654" s="561"/>
      <c r="AF654" s="562"/>
      <c r="AG654" s="562"/>
      <c r="AH654" s="562"/>
      <c r="AI654" s="562"/>
      <c r="AJ654" s="562"/>
      <c r="AK654" s="562"/>
      <c r="AL654" s="562"/>
      <c r="AM654" s="562"/>
      <c r="AN654" s="562"/>
      <c r="AO654" s="562"/>
      <c r="AP654" s="562"/>
      <c r="AQ654" s="562"/>
      <c r="AR654" s="562"/>
      <c r="AS654" s="562"/>
      <c r="AT654" s="562"/>
      <c r="AU654" s="562"/>
      <c r="AV654" s="562"/>
      <c r="AW654" s="562"/>
      <c r="AX654" s="562"/>
      <c r="AY654" s="562"/>
      <c r="AZ654" s="562"/>
      <c r="BA654" s="562"/>
      <c r="BB654" s="563"/>
      <c r="BE654" s="560">
        <v>0.14000000000000001</v>
      </c>
      <c r="BO654" s="605"/>
      <c r="BP654" s="605"/>
      <c r="BQ654" s="658"/>
      <c r="BR654" s="658"/>
    </row>
    <row r="655" spans="16:73" s="560" customFormat="1">
      <c r="P655" s="561"/>
      <c r="Q655" s="562"/>
      <c r="R655" s="562"/>
      <c r="S655" s="562"/>
      <c r="T655" s="562"/>
      <c r="U655" s="562"/>
      <c r="V655" s="562"/>
      <c r="W655" s="562"/>
      <c r="X655" s="562"/>
      <c r="Y655" s="562"/>
      <c r="Z655" s="562"/>
      <c r="AA655" s="562"/>
      <c r="AB655" s="562"/>
      <c r="AC655" s="607" t="s">
        <v>815</v>
      </c>
      <c r="AD655" s="608" t="s">
        <v>816</v>
      </c>
      <c r="AE655" s="561"/>
      <c r="AF655" s="562"/>
      <c r="AG655" s="562"/>
      <c r="AH655" s="562"/>
      <c r="AI655" s="562"/>
      <c r="AJ655" s="562"/>
      <c r="AK655" s="562"/>
      <c r="AL655" s="562"/>
      <c r="AM655" s="562"/>
      <c r="AN655" s="562"/>
      <c r="AO655" s="562"/>
      <c r="AP655" s="562"/>
      <c r="AQ655" s="562"/>
      <c r="AR655" s="562"/>
      <c r="AS655" s="562"/>
      <c r="AT655" s="562"/>
      <c r="AU655" s="562"/>
      <c r="AV655" s="562"/>
      <c r="AW655" s="562"/>
      <c r="AX655" s="562"/>
      <c r="AY655" s="562"/>
      <c r="AZ655" s="562"/>
      <c r="BA655" s="562"/>
      <c r="BB655" s="563"/>
      <c r="BD655" s="560" t="s">
        <v>1154</v>
      </c>
      <c r="BE655" s="560">
        <v>0.15</v>
      </c>
      <c r="BO655" s="605"/>
      <c r="BP655" s="605"/>
      <c r="BQ655" s="658"/>
      <c r="BR655" s="658"/>
    </row>
    <row r="656" spans="16:73" s="560" customFormat="1">
      <c r="P656" s="561"/>
      <c r="Q656" s="562"/>
      <c r="R656" s="562"/>
      <c r="S656" s="562"/>
      <c r="T656" s="562"/>
      <c r="U656" s="562"/>
      <c r="V656" s="562"/>
      <c r="W656" s="562"/>
      <c r="X656" s="562"/>
      <c r="Y656" s="562"/>
      <c r="Z656" s="562"/>
      <c r="AA656" s="562"/>
      <c r="AB656" s="562"/>
      <c r="AC656" s="562"/>
      <c r="AD656" s="563"/>
      <c r="AE656" s="561"/>
      <c r="AF656" s="562"/>
      <c r="AG656" s="562"/>
      <c r="AH656" s="562"/>
      <c r="AI656" s="562"/>
      <c r="AJ656" s="562"/>
      <c r="AK656" s="562"/>
      <c r="AL656" s="562"/>
      <c r="AM656" s="562"/>
      <c r="AN656" s="562"/>
      <c r="AO656" s="562"/>
      <c r="AP656" s="562"/>
      <c r="AQ656" s="562"/>
      <c r="AR656" s="562"/>
      <c r="AS656" s="562"/>
      <c r="AT656" s="562"/>
      <c r="AU656" s="562"/>
      <c r="AV656" s="562"/>
      <c r="AW656" s="562"/>
      <c r="AX656" s="562"/>
      <c r="AY656" s="562"/>
      <c r="AZ656" s="562"/>
      <c r="BA656" s="562"/>
      <c r="BB656" s="563"/>
      <c r="BE656" s="560">
        <v>0.13</v>
      </c>
      <c r="BO656" s="605"/>
      <c r="BP656" s="605"/>
      <c r="BQ656" s="658"/>
      <c r="BR656" s="658"/>
    </row>
    <row r="657" spans="16:70" s="560" customFormat="1">
      <c r="P657" s="567">
        <v>41149</v>
      </c>
      <c r="Q657" s="568" t="s">
        <v>725</v>
      </c>
      <c r="R657" s="568"/>
      <c r="S657" s="568" t="s">
        <v>891</v>
      </c>
      <c r="T657" s="569" t="s">
        <v>727</v>
      </c>
      <c r="U657" s="569" t="s">
        <v>728</v>
      </c>
      <c r="V657" s="569" t="s">
        <v>729</v>
      </c>
      <c r="W657" s="569" t="s">
        <v>730</v>
      </c>
      <c r="X657" s="569" t="s">
        <v>731</v>
      </c>
      <c r="Y657" s="568"/>
      <c r="Z657" s="562"/>
      <c r="AA657" s="562"/>
      <c r="AB657" s="562"/>
      <c r="AC657" s="562"/>
      <c r="AD657" s="563"/>
      <c r="AE657" s="561"/>
      <c r="AF657" s="562"/>
      <c r="AG657" s="562"/>
      <c r="AH657" s="562"/>
      <c r="AI657" s="562"/>
      <c r="AJ657" s="562"/>
      <c r="AK657" s="562"/>
      <c r="AL657" s="562"/>
      <c r="AM657" s="562"/>
      <c r="AN657" s="562"/>
      <c r="AO657" s="562"/>
      <c r="AP657" s="562"/>
      <c r="AQ657" s="562"/>
      <c r="AR657" s="562"/>
      <c r="AS657" s="562"/>
      <c r="AT657" s="562"/>
      <c r="AU657" s="562"/>
      <c r="AV657" s="562"/>
      <c r="AW657" s="562"/>
      <c r="AX657" s="562"/>
      <c r="AY657" s="562"/>
      <c r="AZ657" s="562"/>
      <c r="BA657" s="562"/>
      <c r="BB657" s="563"/>
      <c r="BE657" s="560">
        <v>0.13</v>
      </c>
      <c r="BO657" s="605"/>
      <c r="BP657" s="605"/>
      <c r="BQ657" s="658"/>
      <c r="BR657" s="658"/>
    </row>
    <row r="658" spans="16:70" s="560" customFormat="1">
      <c r="P658" s="561"/>
      <c r="Q658" s="568"/>
      <c r="R658" s="568"/>
      <c r="S658" s="568"/>
      <c r="T658" s="569" t="s">
        <v>1158</v>
      </c>
      <c r="U658" s="569" t="s">
        <v>1159</v>
      </c>
      <c r="V658" s="577"/>
      <c r="W658" s="577"/>
      <c r="X658" s="707" t="s">
        <v>1160</v>
      </c>
      <c r="Y658" s="578" t="s">
        <v>1161</v>
      </c>
      <c r="Z658" s="562"/>
      <c r="AA658" s="562"/>
      <c r="AB658" s="562"/>
      <c r="AC658" s="562"/>
      <c r="AD658" s="563"/>
      <c r="AE658" s="561"/>
      <c r="AF658" s="562"/>
      <c r="AG658" s="562"/>
      <c r="AH658" s="562"/>
      <c r="AI658" s="562"/>
      <c r="AJ658" s="562"/>
      <c r="AK658" s="562"/>
      <c r="AL658" s="562"/>
      <c r="AM658" s="562"/>
      <c r="AN658" s="562"/>
      <c r="AO658" s="562"/>
      <c r="AP658" s="562"/>
      <c r="AQ658" s="562"/>
      <c r="AR658" s="562"/>
      <c r="AS658" s="562"/>
      <c r="AT658" s="562"/>
      <c r="AU658" s="562"/>
      <c r="AV658" s="562"/>
      <c r="AW658" s="562"/>
      <c r="AX658" s="562"/>
      <c r="AY658" s="562"/>
      <c r="AZ658" s="562"/>
      <c r="BA658" s="562"/>
      <c r="BB658" s="563"/>
      <c r="BE658" s="560">
        <v>0.05</v>
      </c>
      <c r="BO658" s="605"/>
      <c r="BP658" s="605"/>
      <c r="BQ658" s="658"/>
      <c r="BR658" s="658"/>
    </row>
    <row r="659" spans="16:70" s="560" customFormat="1">
      <c r="P659" s="561" t="s">
        <v>590</v>
      </c>
      <c r="Q659" s="583" t="s">
        <v>1163</v>
      </c>
      <c r="R659" s="578"/>
      <c r="S659" s="569"/>
      <c r="T659" s="568"/>
      <c r="U659" s="568"/>
      <c r="V659" s="569"/>
      <c r="W659" s="569"/>
      <c r="X659" s="569"/>
      <c r="Y659" s="569"/>
      <c r="Z659" s="562"/>
      <c r="AA659" s="562"/>
      <c r="AB659" s="562"/>
      <c r="AC659" s="562"/>
      <c r="AD659" s="563"/>
      <c r="AE659" s="561"/>
      <c r="AF659" s="562"/>
      <c r="AG659" s="562"/>
      <c r="AH659" s="562"/>
      <c r="AI659" s="562"/>
      <c r="AJ659" s="562"/>
      <c r="AK659" s="562"/>
      <c r="AL659" s="562"/>
      <c r="AM659" s="562"/>
      <c r="AN659" s="562"/>
      <c r="AO659" s="562"/>
      <c r="AP659" s="562"/>
      <c r="AQ659" s="562"/>
      <c r="AR659" s="562"/>
      <c r="AS659" s="562"/>
      <c r="AT659" s="562"/>
      <c r="AU659" s="562"/>
      <c r="AV659" s="562"/>
      <c r="AW659" s="562"/>
      <c r="AX659" s="562"/>
      <c r="AY659" s="562"/>
      <c r="AZ659" s="562"/>
      <c r="BA659" s="562"/>
      <c r="BB659" s="563"/>
      <c r="BD659" s="560" t="s">
        <v>1155</v>
      </c>
      <c r="BE659" s="560">
        <v>7.4999999999999997E-2</v>
      </c>
      <c r="BO659" s="605"/>
      <c r="BP659" s="605"/>
      <c r="BQ659" s="658"/>
      <c r="BR659" s="658"/>
    </row>
    <row r="660" spans="16:70" s="560" customFormat="1">
      <c r="P660" s="587"/>
      <c r="Q660" s="588" t="s">
        <v>755</v>
      </c>
      <c r="R660" s="588" t="s">
        <v>756</v>
      </c>
      <c r="S660" s="588" t="s">
        <v>757</v>
      </c>
      <c r="T660" s="588" t="s">
        <v>758</v>
      </c>
      <c r="U660" s="588" t="s">
        <v>759</v>
      </c>
      <c r="V660" s="588" t="s">
        <v>760</v>
      </c>
      <c r="W660" s="588" t="s">
        <v>761</v>
      </c>
      <c r="X660" s="588" t="s">
        <v>762</v>
      </c>
      <c r="Y660" s="588" t="s">
        <v>763</v>
      </c>
      <c r="Z660" s="562"/>
      <c r="AA660" s="562"/>
      <c r="AB660" s="562"/>
      <c r="AC660" s="588" t="s">
        <v>764</v>
      </c>
      <c r="AD660" s="589"/>
      <c r="AE660" s="561"/>
      <c r="AF660" s="562"/>
      <c r="AG660" s="562"/>
      <c r="AH660" s="562"/>
      <c r="AI660" s="562"/>
      <c r="AJ660" s="562"/>
      <c r="AK660" s="562"/>
      <c r="AL660" s="562"/>
      <c r="AM660" s="562"/>
      <c r="AN660" s="562"/>
      <c r="AO660" s="562"/>
      <c r="AP660" s="562"/>
      <c r="AQ660" s="562"/>
      <c r="AR660" s="562"/>
      <c r="AS660" s="562"/>
      <c r="AT660" s="562"/>
      <c r="AU660" s="562"/>
      <c r="AV660" s="562"/>
      <c r="AW660" s="562"/>
      <c r="AX660" s="562"/>
      <c r="AY660" s="562"/>
      <c r="AZ660" s="562"/>
      <c r="BA660" s="562"/>
      <c r="BB660" s="563"/>
      <c r="BE660" s="560">
        <v>0.17</v>
      </c>
      <c r="BO660" s="605"/>
      <c r="BP660" s="605"/>
      <c r="BQ660" s="658"/>
      <c r="BR660" s="658"/>
    </row>
    <row r="661" spans="16:70" s="560" customFormat="1">
      <c r="P661" s="561"/>
      <c r="Q661" s="568" t="s">
        <v>775</v>
      </c>
      <c r="R661" s="562"/>
      <c r="S661" s="562"/>
      <c r="T661" s="562"/>
      <c r="U661" s="562"/>
      <c r="V661" s="562"/>
      <c r="W661" s="562"/>
      <c r="X661" s="629"/>
      <c r="Y661" s="562"/>
      <c r="Z661" s="562"/>
      <c r="AA661" s="562"/>
      <c r="AB661" s="562"/>
      <c r="AC661" s="577"/>
      <c r="AD661" s="589"/>
      <c r="AE661" s="561"/>
      <c r="AF661" s="562"/>
      <c r="AG661" s="562"/>
      <c r="AH661" s="562"/>
      <c r="AI661" s="562"/>
      <c r="AJ661" s="562"/>
      <c r="AK661" s="562"/>
      <c r="AL661" s="562"/>
      <c r="AM661" s="562"/>
      <c r="AN661" s="562"/>
      <c r="AO661" s="562"/>
      <c r="AP661" s="562"/>
      <c r="AQ661" s="562"/>
      <c r="AR661" s="562"/>
      <c r="AS661" s="562"/>
      <c r="AT661" s="562"/>
      <c r="AU661" s="562"/>
      <c r="AV661" s="562"/>
      <c r="AW661" s="562"/>
      <c r="AX661" s="562"/>
      <c r="AY661" s="562"/>
      <c r="AZ661" s="562"/>
      <c r="BA661" s="562"/>
      <c r="BB661" s="563"/>
      <c r="BE661" s="560">
        <v>0.15</v>
      </c>
      <c r="BO661" s="605"/>
      <c r="BP661" s="605"/>
      <c r="BQ661" s="658"/>
      <c r="BR661" s="658"/>
    </row>
    <row r="662" spans="16:70" s="560" customFormat="1">
      <c r="P662" s="561"/>
      <c r="Q662" s="568"/>
      <c r="R662" s="568">
        <v>0.56999999999999995</v>
      </c>
      <c r="S662" s="562"/>
      <c r="T662" s="562"/>
      <c r="U662" s="562"/>
      <c r="V662" s="562"/>
      <c r="W662" s="562"/>
      <c r="X662" s="609"/>
      <c r="Y662" s="562"/>
      <c r="Z662" s="562"/>
      <c r="AA662" s="562"/>
      <c r="AB662" s="562"/>
      <c r="AC662" s="607" t="s">
        <v>780</v>
      </c>
      <c r="AD662" s="608" t="s">
        <v>616</v>
      </c>
      <c r="AE662" s="561"/>
      <c r="AF662" s="562"/>
      <c r="AG662" s="562"/>
      <c r="AH662" s="562"/>
      <c r="AI662" s="562"/>
      <c r="AJ662" s="562"/>
      <c r="AK662" s="562"/>
      <c r="AL662" s="562"/>
      <c r="AM662" s="562"/>
      <c r="AN662" s="562"/>
      <c r="AO662" s="562"/>
      <c r="AP662" s="562"/>
      <c r="AQ662" s="562"/>
      <c r="AR662" s="562"/>
      <c r="AS662" s="562"/>
      <c r="AT662" s="562"/>
      <c r="AU662" s="562"/>
      <c r="AV662" s="562"/>
      <c r="AW662" s="562"/>
      <c r="AX662" s="562"/>
      <c r="AY662" s="562"/>
      <c r="AZ662" s="562"/>
      <c r="BA662" s="562"/>
      <c r="BB662" s="563"/>
      <c r="BE662" s="560">
        <v>7.4999999999999997E-2</v>
      </c>
      <c r="BO662" s="605"/>
      <c r="BP662" s="605"/>
      <c r="BQ662" s="658"/>
      <c r="BR662" s="658"/>
    </row>
    <row r="663" spans="16:70" s="560" customFormat="1">
      <c r="P663" s="561"/>
      <c r="Q663" s="568"/>
      <c r="R663" s="562">
        <v>0.5</v>
      </c>
      <c r="S663" s="562"/>
      <c r="T663" s="562"/>
      <c r="U663" s="562"/>
      <c r="V663" s="562"/>
      <c r="W663" s="562"/>
      <c r="X663" s="629"/>
      <c r="Y663" s="562"/>
      <c r="Z663" s="562"/>
      <c r="AA663" s="562"/>
      <c r="AB663" s="562"/>
      <c r="AC663" s="607" t="s">
        <v>785</v>
      </c>
      <c r="AD663" s="608" t="s">
        <v>542</v>
      </c>
      <c r="AE663" s="561"/>
      <c r="AF663" s="562"/>
      <c r="AG663" s="562"/>
      <c r="AH663" s="562"/>
      <c r="AI663" s="562"/>
      <c r="AJ663" s="562"/>
      <c r="AK663" s="562"/>
      <c r="AL663" s="562"/>
      <c r="AM663" s="562"/>
      <c r="AN663" s="562"/>
      <c r="AO663" s="562"/>
      <c r="AP663" s="562"/>
      <c r="AQ663" s="562"/>
      <c r="AR663" s="562"/>
      <c r="AS663" s="562"/>
      <c r="AT663" s="562"/>
      <c r="AU663" s="562"/>
      <c r="AV663" s="562"/>
      <c r="AW663" s="562"/>
      <c r="AX663" s="562"/>
      <c r="AY663" s="562"/>
      <c r="AZ663" s="562"/>
      <c r="BA663" s="562"/>
      <c r="BB663" s="563"/>
      <c r="BD663" s="560" t="s">
        <v>1156</v>
      </c>
      <c r="BE663" s="560">
        <v>0.1</v>
      </c>
      <c r="BO663" s="605"/>
      <c r="BP663" s="605"/>
      <c r="BQ663" s="658"/>
      <c r="BR663" s="658"/>
    </row>
    <row r="664" spans="16:70" s="560" customFormat="1">
      <c r="P664" s="561"/>
      <c r="Q664" s="562"/>
      <c r="R664" s="562">
        <v>0.55000000000000004</v>
      </c>
      <c r="S664" s="562"/>
      <c r="T664" s="562"/>
      <c r="U664" s="562"/>
      <c r="V664" s="562"/>
      <c r="W664" s="562"/>
      <c r="X664" s="629"/>
      <c r="Y664" s="562"/>
      <c r="Z664" s="562"/>
      <c r="AA664" s="562"/>
      <c r="AB664" s="562"/>
      <c r="AC664" s="607" t="s">
        <v>789</v>
      </c>
      <c r="AD664" s="608" t="s">
        <v>790</v>
      </c>
      <c r="AE664" s="561"/>
      <c r="AF664" s="562"/>
      <c r="AG664" s="562"/>
      <c r="AH664" s="562"/>
      <c r="AI664" s="562"/>
      <c r="AJ664" s="562"/>
      <c r="AK664" s="562"/>
      <c r="AL664" s="562"/>
      <c r="AM664" s="562"/>
      <c r="AN664" s="562"/>
      <c r="AO664" s="562"/>
      <c r="AP664" s="562"/>
      <c r="AQ664" s="562"/>
      <c r="AR664" s="562"/>
      <c r="AS664" s="562"/>
      <c r="AT664" s="562"/>
      <c r="AU664" s="562"/>
      <c r="AV664" s="562"/>
      <c r="AW664" s="562"/>
      <c r="AX664" s="562"/>
      <c r="AY664" s="562"/>
      <c r="AZ664" s="562"/>
      <c r="BA664" s="562"/>
      <c r="BB664" s="563"/>
      <c r="BE664" s="560">
        <v>0.1</v>
      </c>
      <c r="BO664" s="605"/>
      <c r="BP664" s="605"/>
      <c r="BQ664" s="658"/>
      <c r="BR664" s="658"/>
    </row>
    <row r="665" spans="16:70" s="560" customFormat="1">
      <c r="P665" s="561"/>
      <c r="Q665" s="562"/>
      <c r="R665" s="562">
        <v>0.65</v>
      </c>
      <c r="S665" s="562"/>
      <c r="T665" s="562"/>
      <c r="U665" s="562"/>
      <c r="V665" s="562"/>
      <c r="W665" s="562"/>
      <c r="X665" s="629"/>
      <c r="Y665" s="562"/>
      <c r="Z665" s="562"/>
      <c r="AA665" s="562"/>
      <c r="AB665" s="562"/>
      <c r="AC665" s="607" t="s">
        <v>791</v>
      </c>
      <c r="AD665" s="608" t="s">
        <v>792</v>
      </c>
      <c r="AE665" s="561"/>
      <c r="AF665" s="562"/>
      <c r="AG665" s="562"/>
      <c r="AH665" s="562"/>
      <c r="AI665" s="562"/>
      <c r="AJ665" s="562"/>
      <c r="AK665" s="562"/>
      <c r="AL665" s="562"/>
      <c r="AM665" s="562"/>
      <c r="AN665" s="562"/>
      <c r="AO665" s="562"/>
      <c r="AP665" s="562"/>
      <c r="AQ665" s="562"/>
      <c r="AR665" s="562"/>
      <c r="AS665" s="562"/>
      <c r="AT665" s="562"/>
      <c r="AU665" s="562"/>
      <c r="AV665" s="562"/>
      <c r="AW665" s="562"/>
      <c r="AX665" s="562"/>
      <c r="AY665" s="562"/>
      <c r="AZ665" s="562"/>
      <c r="BA665" s="562"/>
      <c r="BB665" s="563"/>
      <c r="BE665" s="560">
        <v>0.1</v>
      </c>
      <c r="BO665" s="605"/>
      <c r="BP665" s="605"/>
      <c r="BQ665" s="658"/>
      <c r="BR665" s="658"/>
    </row>
    <row r="666" spans="16:70" s="560" customFormat="1">
      <c r="P666" s="561"/>
      <c r="Q666" s="562"/>
      <c r="R666" s="562">
        <v>0.65</v>
      </c>
      <c r="S666" s="562"/>
      <c r="T666" s="562"/>
      <c r="U666" s="562"/>
      <c r="V666" s="562"/>
      <c r="W666" s="562"/>
      <c r="X666" s="562"/>
      <c r="Y666" s="562"/>
      <c r="Z666" s="562"/>
      <c r="AA666" s="562"/>
      <c r="AB666" s="562"/>
      <c r="AC666" s="607" t="s">
        <v>794</v>
      </c>
      <c r="AD666" s="608" t="s">
        <v>795</v>
      </c>
      <c r="AE666" s="561"/>
      <c r="AF666" s="562"/>
      <c r="AG666" s="562"/>
      <c r="AH666" s="562"/>
      <c r="AI666" s="562"/>
      <c r="AJ666" s="562"/>
      <c r="AK666" s="562"/>
      <c r="AL666" s="562"/>
      <c r="AM666" s="562"/>
      <c r="AN666" s="562"/>
      <c r="AO666" s="562"/>
      <c r="AP666" s="562"/>
      <c r="AQ666" s="562"/>
      <c r="AR666" s="562"/>
      <c r="AS666" s="562"/>
      <c r="AT666" s="562"/>
      <c r="AU666" s="562"/>
      <c r="AV666" s="562"/>
      <c r="AW666" s="562"/>
      <c r="AX666" s="562"/>
      <c r="AY666" s="562"/>
      <c r="AZ666" s="562"/>
      <c r="BA666" s="562"/>
      <c r="BB666" s="563"/>
      <c r="BE666" s="560">
        <v>0.1</v>
      </c>
      <c r="BO666" s="605"/>
      <c r="BP666" s="605"/>
      <c r="BQ666" s="658"/>
      <c r="BR666" s="658"/>
    </row>
    <row r="667" spans="16:70" s="560" customFormat="1">
      <c r="P667" s="561"/>
      <c r="Q667" s="562"/>
      <c r="R667" s="562">
        <v>0.7</v>
      </c>
      <c r="S667" s="562"/>
      <c r="T667" s="562"/>
      <c r="U667" s="562"/>
      <c r="V667" s="562"/>
      <c r="W667" s="562"/>
      <c r="X667" s="562"/>
      <c r="Y667" s="562"/>
      <c r="Z667" s="562"/>
      <c r="AA667" s="562"/>
      <c r="AB667" s="562"/>
      <c r="AC667" s="607" t="s">
        <v>798</v>
      </c>
      <c r="AD667" s="608" t="s">
        <v>546</v>
      </c>
      <c r="AE667" s="561"/>
      <c r="AF667" s="562"/>
      <c r="AG667" s="562"/>
      <c r="AH667" s="562"/>
      <c r="AI667" s="562"/>
      <c r="AJ667" s="562"/>
      <c r="AK667" s="562"/>
      <c r="AL667" s="562"/>
      <c r="AM667" s="562"/>
      <c r="AN667" s="562"/>
      <c r="AO667" s="562"/>
      <c r="AP667" s="562"/>
      <c r="AQ667" s="562"/>
      <c r="AR667" s="562"/>
      <c r="AS667" s="562"/>
      <c r="AT667" s="562"/>
      <c r="AU667" s="562"/>
      <c r="AV667" s="562"/>
      <c r="AW667" s="562"/>
      <c r="AX667" s="562"/>
      <c r="AY667" s="562"/>
      <c r="AZ667" s="562"/>
      <c r="BA667" s="562"/>
      <c r="BB667" s="563"/>
      <c r="BD667" s="560" t="s">
        <v>1157</v>
      </c>
      <c r="BE667" s="560">
        <v>0.1</v>
      </c>
      <c r="BO667" s="605"/>
      <c r="BP667" s="605"/>
      <c r="BQ667" s="658"/>
      <c r="BR667" s="658"/>
    </row>
    <row r="668" spans="16:70" s="560" customFormat="1">
      <c r="P668" s="561"/>
      <c r="Q668" s="562"/>
      <c r="R668" s="562">
        <v>0.53</v>
      </c>
      <c r="S668" s="562"/>
      <c r="T668" s="562"/>
      <c r="U668" s="562"/>
      <c r="V668" s="562"/>
      <c r="W668" s="562"/>
      <c r="X668" s="562"/>
      <c r="Y668" s="562"/>
      <c r="Z668" s="562"/>
      <c r="AA668" s="562"/>
      <c r="AB668" s="562"/>
      <c r="AC668" s="607" t="s">
        <v>800</v>
      </c>
      <c r="AD668" s="608" t="s">
        <v>801</v>
      </c>
      <c r="AE668" s="561"/>
      <c r="AF668" s="562"/>
      <c r="AG668" s="562"/>
      <c r="AH668" s="562"/>
      <c r="AI668" s="562"/>
      <c r="AJ668" s="562"/>
      <c r="AK668" s="562"/>
      <c r="AL668" s="562"/>
      <c r="AM668" s="562"/>
      <c r="AN668" s="562"/>
      <c r="AO668" s="562"/>
      <c r="AP668" s="562"/>
      <c r="AQ668" s="562"/>
      <c r="AR668" s="562"/>
      <c r="AS668" s="562"/>
      <c r="AT668" s="562"/>
      <c r="AU668" s="562"/>
      <c r="AV668" s="562"/>
      <c r="AW668" s="562"/>
      <c r="AX668" s="562"/>
      <c r="AY668" s="562"/>
      <c r="AZ668" s="562"/>
      <c r="BA668" s="562"/>
      <c r="BB668" s="563"/>
      <c r="BE668" s="560">
        <v>0.6</v>
      </c>
      <c r="BO668" s="605"/>
      <c r="BP668" s="605"/>
      <c r="BQ668" s="658"/>
      <c r="BR668" s="658"/>
    </row>
    <row r="669" spans="16:70" s="560" customFormat="1">
      <c r="P669" s="561"/>
      <c r="Q669" s="562"/>
      <c r="R669" s="562">
        <v>0.6</v>
      </c>
      <c r="S669" s="562"/>
      <c r="T669" s="562"/>
      <c r="U669" s="562"/>
      <c r="V669" s="562"/>
      <c r="W669" s="562"/>
      <c r="X669" s="562"/>
      <c r="Y669" s="562"/>
      <c r="Z669" s="562"/>
      <c r="AA669" s="562"/>
      <c r="AB669" s="562"/>
      <c r="AC669" s="607" t="s">
        <v>804</v>
      </c>
      <c r="AD669" s="608" t="s">
        <v>805</v>
      </c>
      <c r="AE669" s="561"/>
      <c r="AF669" s="562"/>
      <c r="AG669" s="562"/>
      <c r="AH669" s="562"/>
      <c r="AI669" s="562"/>
      <c r="AJ669" s="562"/>
      <c r="AK669" s="562"/>
      <c r="AL669" s="562"/>
      <c r="AM669" s="562"/>
      <c r="AN669" s="562"/>
      <c r="AO669" s="562"/>
      <c r="AP669" s="562"/>
      <c r="AQ669" s="562"/>
      <c r="AR669" s="562"/>
      <c r="AS669" s="562"/>
      <c r="AT669" s="562"/>
      <c r="AU669" s="562"/>
      <c r="AV669" s="562"/>
      <c r="AW669" s="562"/>
      <c r="AX669" s="562"/>
      <c r="AY669" s="562"/>
      <c r="AZ669" s="562"/>
      <c r="BA669" s="562"/>
      <c r="BB669" s="563"/>
      <c r="BE669" s="560">
        <v>7.4999999999999997E-2</v>
      </c>
      <c r="BO669" s="605"/>
      <c r="BP669" s="605"/>
      <c r="BQ669" s="658"/>
      <c r="BR669" s="658"/>
    </row>
    <row r="670" spans="16:70" s="560" customFormat="1">
      <c r="P670" s="561"/>
      <c r="Q670" s="562"/>
      <c r="R670" s="562">
        <v>0.55000000000000004</v>
      </c>
      <c r="S670" s="562"/>
      <c r="T670" s="562"/>
      <c r="U670" s="562"/>
      <c r="V670" s="562"/>
      <c r="W670" s="562"/>
      <c r="X670" s="562"/>
      <c r="Y670" s="562"/>
      <c r="Z670" s="562"/>
      <c r="AA670" s="562"/>
      <c r="AB670" s="562"/>
      <c r="AC670" s="607" t="s">
        <v>807</v>
      </c>
      <c r="AD670" s="608" t="s">
        <v>808</v>
      </c>
      <c r="AE670" s="561"/>
      <c r="AF670" s="562"/>
      <c r="AG670" s="562"/>
      <c r="AH670" s="562"/>
      <c r="AI670" s="562"/>
      <c r="AJ670" s="562"/>
      <c r="AK670" s="562"/>
      <c r="AL670" s="562"/>
      <c r="AM670" s="562"/>
      <c r="AN670" s="562"/>
      <c r="AO670" s="562"/>
      <c r="AP670" s="562"/>
      <c r="AQ670" s="562"/>
      <c r="AR670" s="562"/>
      <c r="AS670" s="562"/>
      <c r="AT670" s="562"/>
      <c r="AU670" s="562"/>
      <c r="AV670" s="562"/>
      <c r="AW670" s="562"/>
      <c r="AX670" s="562"/>
      <c r="AY670" s="562"/>
      <c r="AZ670" s="562"/>
      <c r="BA670" s="562"/>
      <c r="BB670" s="563"/>
      <c r="BE670" s="560">
        <v>0.13</v>
      </c>
      <c r="BO670" s="605"/>
      <c r="BP670" s="605"/>
      <c r="BQ670" s="658"/>
      <c r="BR670" s="658"/>
    </row>
    <row r="671" spans="16:70" s="560" customFormat="1">
      <c r="P671" s="561"/>
      <c r="Q671" s="562"/>
      <c r="R671" s="562">
        <v>0.5</v>
      </c>
      <c r="S671" s="562"/>
      <c r="T671" s="562"/>
      <c r="U671" s="562"/>
      <c r="V671" s="562"/>
      <c r="W671" s="562"/>
      <c r="X671" s="562"/>
      <c r="Y671" s="562"/>
      <c r="Z671" s="562"/>
      <c r="AA671" s="562"/>
      <c r="AB671" s="562"/>
      <c r="AC671" s="607" t="s">
        <v>810</v>
      </c>
      <c r="AD671" s="608" t="s">
        <v>550</v>
      </c>
      <c r="AE671" s="561"/>
      <c r="AF671" s="562"/>
      <c r="AG671" s="562"/>
      <c r="AH671" s="562"/>
      <c r="AI671" s="562"/>
      <c r="AJ671" s="562"/>
      <c r="AK671" s="562"/>
      <c r="AL671" s="562"/>
      <c r="AM671" s="562"/>
      <c r="AN671" s="562"/>
      <c r="AO671" s="562"/>
      <c r="AP671" s="562"/>
      <c r="AQ671" s="562"/>
      <c r="AR671" s="562"/>
      <c r="AS671" s="562"/>
      <c r="AT671" s="562"/>
      <c r="AU671" s="562"/>
      <c r="AV671" s="562"/>
      <c r="AW671" s="562"/>
      <c r="AX671" s="562"/>
      <c r="AY671" s="562"/>
      <c r="AZ671" s="562"/>
      <c r="BA671" s="562"/>
      <c r="BB671" s="563"/>
      <c r="BD671" s="560" t="s">
        <v>1162</v>
      </c>
      <c r="BE671" s="560">
        <v>0.15</v>
      </c>
      <c r="BO671" s="605"/>
      <c r="BP671" s="605"/>
      <c r="BQ671" s="658"/>
      <c r="BR671" s="658"/>
    </row>
    <row r="672" spans="16:70" s="560" customFormat="1">
      <c r="P672" s="561"/>
      <c r="Q672" s="562"/>
      <c r="R672" s="562">
        <v>0.6</v>
      </c>
      <c r="S672" s="562"/>
      <c r="T672" s="562"/>
      <c r="U672" s="562"/>
      <c r="V672" s="562"/>
      <c r="W672" s="562"/>
      <c r="X672" s="562"/>
      <c r="Y672" s="562"/>
      <c r="Z672" s="562"/>
      <c r="AA672" s="562"/>
      <c r="AB672" s="562"/>
      <c r="AC672" s="607" t="s">
        <v>813</v>
      </c>
      <c r="AD672" s="608" t="s">
        <v>552</v>
      </c>
      <c r="AE672" s="561"/>
      <c r="AF672" s="562"/>
      <c r="AG672" s="562"/>
      <c r="AH672" s="562"/>
      <c r="AI672" s="562"/>
      <c r="AJ672" s="562"/>
      <c r="AK672" s="562"/>
      <c r="AL672" s="562"/>
      <c r="AM672" s="562"/>
      <c r="AN672" s="562"/>
      <c r="AO672" s="562"/>
      <c r="AP672" s="562"/>
      <c r="AQ672" s="562"/>
      <c r="AR672" s="562"/>
      <c r="AS672" s="562"/>
      <c r="AT672" s="562"/>
      <c r="AU672" s="562"/>
      <c r="AV672" s="562"/>
      <c r="AW672" s="562"/>
      <c r="AX672" s="562"/>
      <c r="AY672" s="562"/>
      <c r="AZ672" s="562"/>
      <c r="BA672" s="562"/>
      <c r="BB672" s="563"/>
      <c r="BE672" s="560">
        <v>0.15</v>
      </c>
      <c r="BO672" s="605"/>
      <c r="BP672" s="605"/>
      <c r="BQ672" s="658"/>
      <c r="BR672" s="658"/>
    </row>
    <row r="673" spans="17:70" s="560" customFormat="1">
      <c r="Q673" s="562"/>
      <c r="R673" s="562">
        <v>0.55000000000000004</v>
      </c>
      <c r="S673" s="562"/>
      <c r="T673" s="562"/>
      <c r="U673" s="562"/>
      <c r="V673" s="562"/>
      <c r="W673" s="562"/>
      <c r="X673" s="562"/>
      <c r="Y673" s="562"/>
      <c r="Z673" s="562"/>
      <c r="AA673" s="562"/>
      <c r="AB673" s="562"/>
      <c r="AC673" s="607" t="s">
        <v>815</v>
      </c>
      <c r="AD673" s="608" t="s">
        <v>816</v>
      </c>
      <c r="AE673" s="561"/>
      <c r="AF673" s="562"/>
      <c r="AG673" s="562"/>
      <c r="AH673" s="562"/>
      <c r="AI673" s="562"/>
      <c r="AJ673" s="562"/>
      <c r="AK673" s="562"/>
      <c r="AL673" s="562"/>
      <c r="AM673" s="562"/>
      <c r="AN673" s="562"/>
      <c r="AO673" s="562"/>
      <c r="AP673" s="562"/>
      <c r="AQ673" s="562"/>
      <c r="AR673" s="562"/>
      <c r="AS673" s="562"/>
      <c r="AT673" s="562"/>
      <c r="AU673" s="562"/>
      <c r="AV673" s="562"/>
      <c r="AW673" s="562"/>
      <c r="AX673" s="562"/>
      <c r="AY673" s="562"/>
      <c r="AZ673" s="562"/>
      <c r="BA673" s="562"/>
      <c r="BB673" s="563"/>
      <c r="BE673" s="560">
        <v>0.08</v>
      </c>
      <c r="BO673" s="605"/>
      <c r="BP673" s="605"/>
      <c r="BQ673" s="658"/>
      <c r="BR673" s="658"/>
    </row>
    <row r="674" spans="17:70" s="560" customFormat="1">
      <c r="Q674" s="562"/>
      <c r="R674" s="562">
        <v>0.6</v>
      </c>
      <c r="S674" s="562"/>
      <c r="T674" s="562"/>
      <c r="U674" s="562"/>
      <c r="V674" s="562"/>
      <c r="W674" s="562"/>
      <c r="X674" s="562"/>
      <c r="Y674" s="562"/>
      <c r="Z674" s="562"/>
      <c r="AA674" s="562"/>
      <c r="AB674" s="562"/>
      <c r="AC674" s="562"/>
      <c r="AD674" s="563"/>
      <c r="AE674" s="561"/>
      <c r="AF674" s="562"/>
      <c r="AG674" s="562"/>
      <c r="AH674" s="562"/>
      <c r="AI674" s="562"/>
      <c r="AJ674" s="562"/>
      <c r="AK674" s="562"/>
      <c r="AL674" s="562"/>
      <c r="AM674" s="562"/>
      <c r="AN674" s="562"/>
      <c r="AO674" s="562"/>
      <c r="AP674" s="562"/>
      <c r="AQ674" s="562"/>
      <c r="AR674" s="562"/>
      <c r="AS674" s="562"/>
      <c r="AT674" s="562"/>
      <c r="AU674" s="562"/>
      <c r="AV674" s="562"/>
      <c r="AW674" s="562"/>
      <c r="AX674" s="562"/>
      <c r="AY674" s="562"/>
      <c r="AZ674" s="562"/>
      <c r="BA674" s="562"/>
      <c r="BB674" s="563"/>
      <c r="BE674" s="560">
        <v>0.1</v>
      </c>
      <c r="BO674" s="605"/>
      <c r="BP674" s="605"/>
      <c r="BQ674" s="658"/>
      <c r="BR674" s="658"/>
    </row>
    <row r="675" spans="17:70" s="560" customFormat="1">
      <c r="Q675" s="562"/>
      <c r="R675" s="562">
        <v>0.6</v>
      </c>
      <c r="S675" s="562"/>
      <c r="T675" s="562"/>
      <c r="U675" s="562"/>
      <c r="V675" s="562"/>
      <c r="W675" s="562"/>
      <c r="X675" s="562"/>
      <c r="Y675" s="562"/>
      <c r="Z675" s="562"/>
      <c r="AA675" s="562"/>
      <c r="AB675" s="562"/>
      <c r="AC675" s="562"/>
      <c r="AD675" s="563"/>
      <c r="AE675" s="561"/>
      <c r="AF675" s="562"/>
      <c r="AG675" s="562"/>
      <c r="AH675" s="562"/>
      <c r="AI675" s="562"/>
      <c r="AJ675" s="562"/>
      <c r="AK675" s="562"/>
      <c r="AL675" s="562"/>
      <c r="AM675" s="562"/>
      <c r="AN675" s="562"/>
      <c r="AO675" s="562"/>
      <c r="AP675" s="562"/>
      <c r="AQ675" s="562"/>
      <c r="AR675" s="562"/>
      <c r="AS675" s="562"/>
      <c r="AT675" s="562"/>
      <c r="AU675" s="562"/>
      <c r="AV675" s="562"/>
      <c r="AW675" s="562"/>
      <c r="AX675" s="562"/>
      <c r="AY675" s="562"/>
      <c r="AZ675" s="562"/>
      <c r="BA675" s="562"/>
      <c r="BB675" s="563"/>
      <c r="BD675" s="560" t="s">
        <v>1167</v>
      </c>
      <c r="BE675" s="560">
        <v>0.1</v>
      </c>
      <c r="BO675" s="605"/>
      <c r="BP675" s="605"/>
      <c r="BQ675" s="658"/>
      <c r="BR675" s="658"/>
    </row>
    <row r="676" spans="17:70" s="560" customFormat="1">
      <c r="Q676" s="562"/>
      <c r="R676" s="562">
        <v>0.55000000000000004</v>
      </c>
      <c r="S676" s="562"/>
      <c r="T676" s="562"/>
      <c r="U676" s="562"/>
      <c r="V676" s="562"/>
      <c r="W676" s="562"/>
      <c r="X676" s="562"/>
      <c r="Y676" s="562"/>
      <c r="Z676" s="562"/>
      <c r="AA676" s="562"/>
      <c r="AB676" s="562"/>
      <c r="AC676" s="562"/>
      <c r="AD676" s="563"/>
      <c r="AE676" s="561"/>
      <c r="AF676" s="562"/>
      <c r="AG676" s="562"/>
      <c r="AH676" s="562"/>
      <c r="AI676" s="562"/>
      <c r="AJ676" s="562"/>
      <c r="AK676" s="562"/>
      <c r="AL676" s="562"/>
      <c r="AM676" s="562"/>
      <c r="AN676" s="562"/>
      <c r="AO676" s="562"/>
      <c r="AP676" s="562"/>
      <c r="AQ676" s="562"/>
      <c r="AR676" s="562"/>
      <c r="AS676" s="562"/>
      <c r="AT676" s="562"/>
      <c r="AU676" s="562"/>
      <c r="AV676" s="562"/>
      <c r="AW676" s="562"/>
      <c r="AX676" s="562"/>
      <c r="AY676" s="562"/>
      <c r="AZ676" s="562"/>
      <c r="BA676" s="562"/>
      <c r="BB676" s="563"/>
      <c r="BE676" s="560">
        <v>0.11</v>
      </c>
      <c r="BO676" s="605"/>
      <c r="BP676" s="605"/>
      <c r="BQ676" s="658"/>
      <c r="BR676" s="658"/>
    </row>
    <row r="677" spans="17:70" s="560" customFormat="1">
      <c r="Q677" s="562" t="s">
        <v>821</v>
      </c>
      <c r="R677" s="562"/>
      <c r="S677" s="562"/>
      <c r="T677" s="562"/>
      <c r="U677" s="562"/>
      <c r="V677" s="562"/>
      <c r="W677" s="562"/>
      <c r="X677" s="562"/>
      <c r="Y677" s="562"/>
      <c r="Z677" s="562"/>
      <c r="AA677" s="562"/>
      <c r="AB677" s="562"/>
      <c r="AC677" s="562"/>
      <c r="AD677" s="563"/>
      <c r="AE677" s="561"/>
      <c r="AF677" s="562"/>
      <c r="AG677" s="562"/>
      <c r="AH677" s="562"/>
      <c r="AI677" s="562"/>
      <c r="AJ677" s="562"/>
      <c r="AK677" s="562"/>
      <c r="AL677" s="562"/>
      <c r="AM677" s="562"/>
      <c r="AN677" s="562"/>
      <c r="AO677" s="562"/>
      <c r="AP677" s="562"/>
      <c r="AQ677" s="562"/>
      <c r="AR677" s="562"/>
      <c r="AS677" s="562"/>
      <c r="AT677" s="562"/>
      <c r="AU677" s="562"/>
      <c r="AV677" s="562"/>
      <c r="AW677" s="562"/>
      <c r="AX677" s="562"/>
      <c r="AY677" s="562"/>
      <c r="AZ677" s="562"/>
      <c r="BA677" s="562"/>
      <c r="BB677" s="563"/>
      <c r="BE677" s="560">
        <v>0.17</v>
      </c>
      <c r="BO677" s="605"/>
      <c r="BP677" s="605"/>
      <c r="BQ677" s="658"/>
      <c r="BR677" s="658"/>
    </row>
    <row r="678" spans="17:70" s="560" customFormat="1">
      <c r="Q678" s="562"/>
      <c r="R678" s="562">
        <v>0.5</v>
      </c>
      <c r="S678" s="562"/>
      <c r="T678" s="562"/>
      <c r="U678" s="562"/>
      <c r="V678" s="562"/>
      <c r="W678" s="562"/>
      <c r="X678" s="562"/>
      <c r="Y678" s="562"/>
      <c r="Z678" s="562"/>
      <c r="AA678" s="562"/>
      <c r="AB678" s="562"/>
      <c r="AC678" s="562"/>
      <c r="AD678" s="563"/>
      <c r="AE678" s="561"/>
      <c r="AF678" s="562"/>
      <c r="AG678" s="562"/>
      <c r="AH678" s="562"/>
      <c r="AI678" s="562"/>
      <c r="AJ678" s="562"/>
      <c r="AK678" s="562"/>
      <c r="AL678" s="562"/>
      <c r="AM678" s="562"/>
      <c r="AN678" s="562"/>
      <c r="AO678" s="562"/>
      <c r="AP678" s="562"/>
      <c r="AQ678" s="562"/>
      <c r="AR678" s="562"/>
      <c r="AS678" s="562"/>
      <c r="AT678" s="562"/>
      <c r="AU678" s="562"/>
      <c r="AV678" s="562"/>
      <c r="AW678" s="562"/>
      <c r="AX678" s="562"/>
      <c r="AY678" s="562"/>
      <c r="AZ678" s="562"/>
      <c r="BA678" s="562"/>
      <c r="BB678" s="563"/>
      <c r="BE678" s="560">
        <v>0.14000000000000001</v>
      </c>
      <c r="BO678" s="605"/>
      <c r="BP678" s="605"/>
      <c r="BQ678" s="658"/>
      <c r="BR678" s="658"/>
    </row>
    <row r="679" spans="17:70" s="560" customFormat="1">
      <c r="Q679" s="562"/>
      <c r="R679" s="562">
        <v>0.5</v>
      </c>
      <c r="S679" s="562"/>
      <c r="T679" s="562"/>
      <c r="U679" s="562"/>
      <c r="V679" s="562"/>
      <c r="W679" s="562"/>
      <c r="X679" s="562"/>
      <c r="Y679" s="562"/>
      <c r="Z679" s="562"/>
      <c r="AA679" s="562"/>
      <c r="AB679" s="562"/>
      <c r="AC679" s="562"/>
      <c r="AD679" s="563"/>
      <c r="AE679" s="561"/>
      <c r="AF679" s="562"/>
      <c r="AG679" s="562"/>
      <c r="AH679" s="562"/>
      <c r="AI679" s="562"/>
      <c r="AJ679" s="562"/>
      <c r="AK679" s="562"/>
      <c r="AL679" s="562"/>
      <c r="AM679" s="562"/>
      <c r="AN679" s="562"/>
      <c r="AO679" s="562"/>
      <c r="AP679" s="562"/>
      <c r="AQ679" s="562"/>
      <c r="AR679" s="562"/>
      <c r="AS679" s="562"/>
      <c r="AT679" s="562"/>
      <c r="AU679" s="562"/>
      <c r="AV679" s="562"/>
      <c r="AW679" s="562"/>
      <c r="AX679" s="562"/>
      <c r="AY679" s="562"/>
      <c r="AZ679" s="562"/>
      <c r="BA679" s="562"/>
      <c r="BB679" s="563"/>
      <c r="BD679" s="560" t="s">
        <v>1168</v>
      </c>
      <c r="BE679" s="560">
        <v>0.25</v>
      </c>
      <c r="BO679" s="605"/>
      <c r="BP679" s="605"/>
      <c r="BQ679" s="658"/>
      <c r="BR679" s="658"/>
    </row>
    <row r="680" spans="17:70" s="560" customFormat="1">
      <c r="Q680" s="562"/>
      <c r="R680" s="562">
        <v>0.6</v>
      </c>
      <c r="S680" s="562"/>
      <c r="T680" s="562"/>
      <c r="U680" s="562"/>
      <c r="V680" s="562"/>
      <c r="W680" s="562"/>
      <c r="X680" s="562"/>
      <c r="Y680" s="562"/>
      <c r="Z680" s="562"/>
      <c r="AA680" s="562"/>
      <c r="AB680" s="562"/>
      <c r="AC680" s="562"/>
      <c r="AD680" s="563"/>
      <c r="AE680" s="561"/>
      <c r="AF680" s="562"/>
      <c r="AG680" s="562"/>
      <c r="AH680" s="562"/>
      <c r="AI680" s="562"/>
      <c r="AJ680" s="562"/>
      <c r="AK680" s="562"/>
      <c r="AL680" s="562"/>
      <c r="AM680" s="562"/>
      <c r="AN680" s="562"/>
      <c r="AO680" s="562"/>
      <c r="AP680" s="562"/>
      <c r="AQ680" s="562"/>
      <c r="AR680" s="562"/>
      <c r="AS680" s="562"/>
      <c r="AT680" s="562"/>
      <c r="AU680" s="562"/>
      <c r="AV680" s="562"/>
      <c r="AW680" s="562"/>
      <c r="AX680" s="562"/>
      <c r="AY680" s="562"/>
      <c r="AZ680" s="562"/>
      <c r="BA680" s="562"/>
      <c r="BB680" s="563"/>
      <c r="BE680" s="560">
        <v>0.3</v>
      </c>
      <c r="BO680" s="605"/>
      <c r="BP680" s="605"/>
      <c r="BQ680" s="658"/>
      <c r="BR680" s="658"/>
    </row>
    <row r="681" spans="17:70" s="560" customFormat="1">
      <c r="Q681" s="562"/>
      <c r="R681" s="562">
        <v>0.5</v>
      </c>
      <c r="S681" s="562"/>
      <c r="T681" s="562"/>
      <c r="U681" s="562"/>
      <c r="V681" s="562"/>
      <c r="W681" s="562"/>
      <c r="X681" s="562"/>
      <c r="Y681" s="562"/>
      <c r="Z681" s="562"/>
      <c r="AA681" s="562"/>
      <c r="AB681" s="562"/>
      <c r="AC681" s="562"/>
      <c r="AD681" s="563"/>
      <c r="AE681" s="561"/>
      <c r="AF681" s="562"/>
      <c r="AG681" s="562"/>
      <c r="AH681" s="562"/>
      <c r="AI681" s="562"/>
      <c r="AJ681" s="562"/>
      <c r="AK681" s="562"/>
      <c r="AL681" s="562"/>
      <c r="AM681" s="562"/>
      <c r="AN681" s="562"/>
      <c r="AO681" s="562"/>
      <c r="AP681" s="562"/>
      <c r="AQ681" s="562"/>
      <c r="AR681" s="562"/>
      <c r="AS681" s="562"/>
      <c r="AT681" s="562"/>
      <c r="AU681" s="562"/>
      <c r="AV681" s="562"/>
      <c r="AW681" s="562"/>
      <c r="AX681" s="562"/>
      <c r="AY681" s="562"/>
      <c r="AZ681" s="562"/>
      <c r="BA681" s="562"/>
      <c r="BB681" s="563"/>
      <c r="BE681" s="560" t="s">
        <v>1170</v>
      </c>
      <c r="BO681" s="605"/>
      <c r="BP681" s="605"/>
      <c r="BQ681" s="658"/>
      <c r="BR681" s="658"/>
    </row>
    <row r="682" spans="17:70" s="560" customFormat="1">
      <c r="Q682" s="562"/>
      <c r="R682" s="562">
        <v>0.5</v>
      </c>
      <c r="S682" s="562"/>
      <c r="T682" s="562"/>
      <c r="U682" s="562"/>
      <c r="V682" s="562"/>
      <c r="W682" s="562"/>
      <c r="X682" s="562"/>
      <c r="Y682" s="562"/>
      <c r="Z682" s="562"/>
      <c r="AA682" s="562"/>
      <c r="AB682" s="562"/>
      <c r="AC682" s="562"/>
      <c r="AD682" s="563"/>
      <c r="AE682" s="561"/>
      <c r="AF682" s="562"/>
      <c r="AG682" s="562"/>
      <c r="AH682" s="562"/>
      <c r="AI682" s="562"/>
      <c r="AJ682" s="562"/>
      <c r="AK682" s="562"/>
      <c r="AL682" s="562"/>
      <c r="AM682" s="562"/>
      <c r="AN682" s="562"/>
      <c r="AO682" s="562"/>
      <c r="AP682" s="562"/>
      <c r="AQ682" s="562"/>
      <c r="AR682" s="562"/>
      <c r="AS682" s="562"/>
      <c r="AT682" s="562"/>
      <c r="AU682" s="562"/>
      <c r="AV682" s="562"/>
      <c r="AW682" s="562"/>
      <c r="AX682" s="562"/>
      <c r="AY682" s="562"/>
      <c r="AZ682" s="562"/>
      <c r="BA682" s="562"/>
      <c r="BB682" s="563"/>
      <c r="BD682" s="560" t="s">
        <v>1153</v>
      </c>
      <c r="BE682" s="560">
        <v>0.43</v>
      </c>
      <c r="BO682" s="605"/>
      <c r="BP682" s="605"/>
      <c r="BQ682" s="658"/>
      <c r="BR682" s="658"/>
    </row>
    <row r="683" spans="17:70" s="560" customFormat="1">
      <c r="Q683" s="562"/>
      <c r="R683" s="562">
        <v>0.5</v>
      </c>
      <c r="S683" s="562"/>
      <c r="T683" s="562"/>
      <c r="U683" s="562"/>
      <c r="V683" s="562"/>
      <c r="W683" s="562"/>
      <c r="X683" s="562"/>
      <c r="Y683" s="562"/>
      <c r="Z683" s="562"/>
      <c r="AA683" s="562"/>
      <c r="AB683" s="562"/>
      <c r="AC683" s="562"/>
      <c r="AD683" s="563"/>
      <c r="AE683" s="561"/>
      <c r="AF683" s="562"/>
      <c r="AG683" s="562"/>
      <c r="AH683" s="562"/>
      <c r="AI683" s="562"/>
      <c r="AJ683" s="562"/>
      <c r="AK683" s="562"/>
      <c r="AL683" s="562"/>
      <c r="AM683" s="562"/>
      <c r="AN683" s="562"/>
      <c r="AO683" s="562"/>
      <c r="AP683" s="562"/>
      <c r="AQ683" s="562"/>
      <c r="AR683" s="562"/>
      <c r="AS683" s="562"/>
      <c r="AT683" s="562"/>
      <c r="AU683" s="562"/>
      <c r="AV683" s="562"/>
      <c r="AW683" s="562"/>
      <c r="AX683" s="562"/>
      <c r="AY683" s="562"/>
      <c r="AZ683" s="562"/>
      <c r="BA683" s="562"/>
      <c r="BB683" s="563"/>
      <c r="BE683" s="560">
        <v>0.4</v>
      </c>
      <c r="BO683" s="605"/>
      <c r="BP683" s="605"/>
      <c r="BQ683" s="658"/>
      <c r="BR683" s="658"/>
    </row>
    <row r="684" spans="17:70" s="560" customFormat="1">
      <c r="Q684" s="562"/>
      <c r="R684" s="562">
        <v>0.6</v>
      </c>
      <c r="S684" s="562"/>
      <c r="T684" s="562"/>
      <c r="U684" s="562"/>
      <c r="V684" s="562"/>
      <c r="W684" s="562"/>
      <c r="X684" s="562"/>
      <c r="Y684" s="562"/>
      <c r="Z684" s="562"/>
      <c r="AA684" s="562"/>
      <c r="AB684" s="562"/>
      <c r="AC684" s="562"/>
      <c r="AD684" s="563"/>
      <c r="AE684" s="561"/>
      <c r="AF684" s="562"/>
      <c r="AG684" s="562"/>
      <c r="AH684" s="562"/>
      <c r="AI684" s="562"/>
      <c r="AJ684" s="562"/>
      <c r="AK684" s="562"/>
      <c r="AL684" s="562"/>
      <c r="AM684" s="562"/>
      <c r="AN684" s="562"/>
      <c r="AO684" s="562"/>
      <c r="AP684" s="562"/>
      <c r="AQ684" s="562"/>
      <c r="AR684" s="562"/>
      <c r="AS684" s="562"/>
      <c r="AT684" s="562"/>
      <c r="AU684" s="562"/>
      <c r="AV684" s="562"/>
      <c r="AW684" s="562"/>
      <c r="AX684" s="562"/>
      <c r="AY684" s="562"/>
      <c r="AZ684" s="562"/>
      <c r="BA684" s="562"/>
      <c r="BB684" s="563"/>
      <c r="BE684" s="560">
        <v>0.3</v>
      </c>
      <c r="BO684" s="605"/>
      <c r="BP684" s="605"/>
      <c r="BQ684" s="658"/>
      <c r="BR684" s="658"/>
    </row>
    <row r="685" spans="17:70" s="560" customFormat="1">
      <c r="Q685" s="562"/>
      <c r="R685" s="562">
        <v>0.5</v>
      </c>
      <c r="S685" s="562"/>
      <c r="T685" s="562"/>
      <c r="U685" s="562"/>
      <c r="V685" s="562"/>
      <c r="W685" s="562"/>
      <c r="X685" s="562"/>
      <c r="Y685" s="562"/>
      <c r="Z685" s="562"/>
      <c r="AA685" s="562"/>
      <c r="AB685" s="562"/>
      <c r="AC685" s="562"/>
      <c r="AD685" s="563"/>
      <c r="AE685" s="561"/>
      <c r="AF685" s="562"/>
      <c r="AG685" s="562"/>
      <c r="AH685" s="562"/>
      <c r="AI685" s="562"/>
      <c r="AJ685" s="562"/>
      <c r="AK685" s="562"/>
      <c r="AL685" s="562"/>
      <c r="AM685" s="562"/>
      <c r="AN685" s="562"/>
      <c r="AO685" s="562"/>
      <c r="AP685" s="562"/>
      <c r="AQ685" s="562"/>
      <c r="AR685" s="562"/>
      <c r="AS685" s="562"/>
      <c r="AT685" s="562"/>
      <c r="AU685" s="562"/>
      <c r="AV685" s="562"/>
      <c r="AW685" s="562"/>
      <c r="AX685" s="562"/>
      <c r="AY685" s="562"/>
      <c r="AZ685" s="562"/>
      <c r="BA685" s="562"/>
      <c r="BB685" s="563"/>
      <c r="BE685" s="560">
        <v>0.4</v>
      </c>
      <c r="BO685" s="605"/>
      <c r="BP685" s="605"/>
      <c r="BQ685" s="658"/>
      <c r="BR685" s="658"/>
    </row>
    <row r="686" spans="17:70" s="560" customFormat="1">
      <c r="Q686" s="562"/>
      <c r="R686" s="562">
        <v>0.6</v>
      </c>
      <c r="S686" s="562"/>
      <c r="T686" s="562"/>
      <c r="U686" s="562"/>
      <c r="V686" s="562"/>
      <c r="W686" s="562"/>
      <c r="X686" s="562"/>
      <c r="Y686" s="562"/>
      <c r="Z686" s="562"/>
      <c r="AA686" s="562"/>
      <c r="AB686" s="562"/>
      <c r="AC686" s="562"/>
      <c r="AD686" s="563"/>
      <c r="AE686" s="561"/>
      <c r="AF686" s="562"/>
      <c r="AG686" s="562"/>
      <c r="AH686" s="562"/>
      <c r="AI686" s="562"/>
      <c r="AJ686" s="562"/>
      <c r="AK686" s="562"/>
      <c r="AL686" s="562"/>
      <c r="AM686" s="562"/>
      <c r="AN686" s="562"/>
      <c r="AO686" s="562"/>
      <c r="AP686" s="562"/>
      <c r="AQ686" s="562"/>
      <c r="AR686" s="562"/>
      <c r="AS686" s="562"/>
      <c r="AT686" s="562"/>
      <c r="AU686" s="562"/>
      <c r="AV686" s="562"/>
      <c r="AW686" s="562"/>
      <c r="AX686" s="562"/>
      <c r="AY686" s="562"/>
      <c r="AZ686" s="562"/>
      <c r="BA686" s="562"/>
      <c r="BB686" s="563"/>
      <c r="BD686" s="560" t="s">
        <v>1154</v>
      </c>
      <c r="BE686" s="560">
        <v>0.12</v>
      </c>
      <c r="BO686" s="605"/>
      <c r="BP686" s="605"/>
      <c r="BQ686" s="658"/>
      <c r="BR686" s="658"/>
    </row>
    <row r="687" spans="17:70" s="560" customFormat="1">
      <c r="Q687" s="562"/>
      <c r="R687" s="562">
        <v>0.7</v>
      </c>
      <c r="S687" s="562"/>
      <c r="T687" s="562"/>
      <c r="U687" s="562"/>
      <c r="V687" s="562"/>
      <c r="W687" s="562"/>
      <c r="X687" s="562"/>
      <c r="Y687" s="562"/>
      <c r="Z687" s="562"/>
      <c r="AA687" s="562"/>
      <c r="AB687" s="562"/>
      <c r="AC687" s="562"/>
      <c r="AD687" s="563"/>
      <c r="AE687" s="561"/>
      <c r="AF687" s="562"/>
      <c r="AG687" s="562"/>
      <c r="AH687" s="562"/>
      <c r="AI687" s="562"/>
      <c r="AJ687" s="562"/>
      <c r="AK687" s="562"/>
      <c r="AL687" s="562"/>
      <c r="AM687" s="562"/>
      <c r="AN687" s="562"/>
      <c r="AO687" s="562"/>
      <c r="AP687" s="562"/>
      <c r="AQ687" s="562"/>
      <c r="AR687" s="562"/>
      <c r="AS687" s="562"/>
      <c r="AT687" s="562"/>
      <c r="AU687" s="562"/>
      <c r="AV687" s="562"/>
      <c r="AW687" s="562"/>
      <c r="AX687" s="562"/>
      <c r="AY687" s="562"/>
      <c r="AZ687" s="562"/>
      <c r="BA687" s="562"/>
      <c r="BB687" s="563"/>
      <c r="BE687" s="560">
        <v>0.31</v>
      </c>
      <c r="BO687" s="605"/>
      <c r="BP687" s="605"/>
      <c r="BQ687" s="658"/>
      <c r="BR687" s="658"/>
    </row>
    <row r="688" spans="17:70" s="560" customFormat="1">
      <c r="Q688" s="562"/>
      <c r="R688" s="562">
        <v>0.7</v>
      </c>
      <c r="S688" s="562"/>
      <c r="T688" s="562"/>
      <c r="U688" s="562"/>
      <c r="V688" s="562"/>
      <c r="W688" s="562"/>
      <c r="X688" s="562"/>
      <c r="Y688" s="562"/>
      <c r="Z688" s="562"/>
      <c r="AA688" s="562"/>
      <c r="AB688" s="562"/>
      <c r="AC688" s="562"/>
      <c r="AD688" s="563"/>
      <c r="AE688" s="561"/>
      <c r="AF688" s="562"/>
      <c r="AG688" s="562"/>
      <c r="AH688" s="562"/>
      <c r="AI688" s="562"/>
      <c r="AJ688" s="562"/>
      <c r="AK688" s="562"/>
      <c r="AL688" s="562"/>
      <c r="AM688" s="562"/>
      <c r="AN688" s="562"/>
      <c r="AO688" s="562"/>
      <c r="AP688" s="562"/>
      <c r="AQ688" s="562"/>
      <c r="AR688" s="562"/>
      <c r="AS688" s="562"/>
      <c r="AT688" s="562"/>
      <c r="AU688" s="562"/>
      <c r="AV688" s="562"/>
      <c r="AW688" s="562"/>
      <c r="AX688" s="562"/>
      <c r="AY688" s="562"/>
      <c r="AZ688" s="562"/>
      <c r="BA688" s="562"/>
      <c r="BB688" s="563"/>
      <c r="BE688" s="560">
        <v>0.35</v>
      </c>
      <c r="BO688" s="605"/>
      <c r="BP688" s="605"/>
      <c r="BQ688" s="658"/>
      <c r="BR688" s="658"/>
    </row>
    <row r="689" spans="16:70" s="560" customFormat="1">
      <c r="P689" s="561"/>
      <c r="Q689" s="562"/>
      <c r="R689" s="562">
        <v>0.75</v>
      </c>
      <c r="S689" s="562"/>
      <c r="T689" s="562"/>
      <c r="U689" s="562"/>
      <c r="V689" s="562"/>
      <c r="W689" s="562"/>
      <c r="X689" s="562"/>
      <c r="Y689" s="562"/>
      <c r="Z689" s="562"/>
      <c r="AA689" s="562"/>
      <c r="AB689" s="562"/>
      <c r="AC689" s="562"/>
      <c r="AD689" s="563"/>
      <c r="AE689" s="561"/>
      <c r="AF689" s="562"/>
      <c r="AG689" s="562"/>
      <c r="AH689" s="562"/>
      <c r="AI689" s="562"/>
      <c r="AJ689" s="562"/>
      <c r="AK689" s="562"/>
      <c r="AL689" s="562"/>
      <c r="AM689" s="562"/>
      <c r="AN689" s="562"/>
      <c r="AO689" s="562"/>
      <c r="AP689" s="562"/>
      <c r="AQ689" s="562"/>
      <c r="AR689" s="562"/>
      <c r="AS689" s="562"/>
      <c r="AT689" s="562"/>
      <c r="AU689" s="562"/>
      <c r="AV689" s="562"/>
      <c r="AW689" s="562"/>
      <c r="AX689" s="562"/>
      <c r="AY689" s="562"/>
      <c r="AZ689" s="562"/>
      <c r="BA689" s="562"/>
      <c r="BB689" s="563"/>
      <c r="BE689" s="560" t="s">
        <v>776</v>
      </c>
      <c r="BO689" s="605"/>
      <c r="BP689" s="605"/>
      <c r="BQ689" s="658"/>
      <c r="BR689" s="658"/>
    </row>
    <row r="690" spans="16:70" s="560" customFormat="1">
      <c r="P690" s="561"/>
      <c r="Q690" s="562"/>
      <c r="R690" s="562">
        <v>0.7</v>
      </c>
      <c r="S690" s="562"/>
      <c r="T690" s="562"/>
      <c r="U690" s="562"/>
      <c r="V690" s="562"/>
      <c r="W690" s="562"/>
      <c r="X690" s="562"/>
      <c r="Y690" s="562"/>
      <c r="Z690" s="562"/>
      <c r="AA690" s="562"/>
      <c r="AB690" s="562"/>
      <c r="AC690" s="562"/>
      <c r="AD690" s="563"/>
      <c r="AE690" s="561"/>
      <c r="AF690" s="562"/>
      <c r="AG690" s="562"/>
      <c r="AH690" s="562"/>
      <c r="AI690" s="562"/>
      <c r="AJ690" s="562"/>
      <c r="AK690" s="562"/>
      <c r="AL690" s="562"/>
      <c r="AM690" s="562"/>
      <c r="AN690" s="562"/>
      <c r="AO690" s="562"/>
      <c r="AP690" s="562"/>
      <c r="AQ690" s="562"/>
      <c r="AR690" s="562"/>
      <c r="AS690" s="562"/>
      <c r="AT690" s="562"/>
      <c r="AU690" s="562"/>
      <c r="AV690" s="562"/>
      <c r="AW690" s="562"/>
      <c r="AX690" s="562"/>
      <c r="AY690" s="562"/>
      <c r="AZ690" s="562"/>
      <c r="BA690" s="562"/>
      <c r="BB690" s="563"/>
      <c r="BD690" s="560" t="s">
        <v>1155</v>
      </c>
      <c r="BE690" s="560">
        <v>1.05</v>
      </c>
      <c r="BO690" s="605"/>
      <c r="BP690" s="605"/>
      <c r="BQ690" s="658"/>
      <c r="BR690" s="658"/>
    </row>
    <row r="691" spans="16:70" s="560" customFormat="1">
      <c r="P691" s="561"/>
      <c r="Q691" s="562"/>
      <c r="R691" s="562">
        <v>0.65</v>
      </c>
      <c r="S691" s="562"/>
      <c r="T691" s="562"/>
      <c r="U691" s="562"/>
      <c r="V691" s="562"/>
      <c r="W691" s="562"/>
      <c r="X691" s="562"/>
      <c r="Y691" s="562"/>
      <c r="Z691" s="562"/>
      <c r="AA691" s="562"/>
      <c r="AB691" s="562"/>
      <c r="AC691" s="562"/>
      <c r="AD691" s="563"/>
      <c r="AE691" s="561"/>
      <c r="AF691" s="562"/>
      <c r="AG691" s="562"/>
      <c r="AH691" s="562"/>
      <c r="AI691" s="562"/>
      <c r="AJ691" s="562"/>
      <c r="AK691" s="562"/>
      <c r="AL691" s="562"/>
      <c r="AM691" s="562"/>
      <c r="AN691" s="562"/>
      <c r="AO691" s="562"/>
      <c r="AP691" s="562"/>
      <c r="AQ691" s="562"/>
      <c r="AR691" s="562"/>
      <c r="AS691" s="562"/>
      <c r="AT691" s="562"/>
      <c r="AU691" s="562"/>
      <c r="AV691" s="562"/>
      <c r="AW691" s="562"/>
      <c r="AX691" s="562"/>
      <c r="AY691" s="562"/>
      <c r="AZ691" s="562"/>
      <c r="BA691" s="562"/>
      <c r="BB691" s="563"/>
      <c r="BE691" s="560">
        <v>0.6</v>
      </c>
      <c r="BO691" s="605"/>
      <c r="BP691" s="605"/>
      <c r="BQ691" s="658"/>
      <c r="BR691" s="658"/>
    </row>
    <row r="692" spans="16:70" s="560" customFormat="1">
      <c r="P692" s="561"/>
      <c r="Q692" s="562"/>
      <c r="R692" s="562">
        <v>0.65</v>
      </c>
      <c r="S692" s="562"/>
      <c r="T692" s="562"/>
      <c r="U692" s="562"/>
      <c r="V692" s="562"/>
      <c r="W692" s="562"/>
      <c r="X692" s="562"/>
      <c r="Y692" s="562"/>
      <c r="Z692" s="562"/>
      <c r="AA692" s="562"/>
      <c r="AB692" s="562"/>
      <c r="AC692" s="562"/>
      <c r="AD692" s="563"/>
      <c r="AE692" s="561"/>
      <c r="AF692" s="562"/>
      <c r="AG692" s="562"/>
      <c r="AH692" s="562"/>
      <c r="AI692" s="562"/>
      <c r="AJ692" s="562"/>
      <c r="AK692" s="562"/>
      <c r="AL692" s="562"/>
      <c r="AM692" s="562"/>
      <c r="AN692" s="562"/>
      <c r="AO692" s="562"/>
      <c r="AP692" s="562"/>
      <c r="AQ692" s="562"/>
      <c r="AR692" s="562"/>
      <c r="AS692" s="562"/>
      <c r="AT692" s="562"/>
      <c r="AU692" s="562"/>
      <c r="AV692" s="562"/>
      <c r="AW692" s="562"/>
      <c r="AX692" s="562"/>
      <c r="AY692" s="562"/>
      <c r="AZ692" s="562"/>
      <c r="BA692" s="562"/>
      <c r="BB692" s="563"/>
      <c r="BE692" s="560">
        <v>0.5</v>
      </c>
      <c r="BO692" s="605"/>
      <c r="BP692" s="605"/>
      <c r="BQ692" s="658"/>
      <c r="BR692" s="658"/>
    </row>
    <row r="693" spans="16:70" s="560" customFormat="1">
      <c r="P693" s="561"/>
      <c r="Q693" s="562" t="s">
        <v>799</v>
      </c>
      <c r="R693" s="562"/>
      <c r="S693" s="562"/>
      <c r="T693" s="562"/>
      <c r="U693" s="562"/>
      <c r="V693" s="562"/>
      <c r="W693" s="562"/>
      <c r="X693" s="562"/>
      <c r="Y693" s="562"/>
      <c r="Z693" s="562"/>
      <c r="AA693" s="562"/>
      <c r="AB693" s="562"/>
      <c r="AC693" s="562"/>
      <c r="AD693" s="563"/>
      <c r="AE693" s="561"/>
      <c r="AF693" s="562"/>
      <c r="AG693" s="562"/>
      <c r="AH693" s="562"/>
      <c r="AI693" s="562"/>
      <c r="AJ693" s="562"/>
      <c r="AK693" s="562"/>
      <c r="AL693" s="562"/>
      <c r="AM693" s="562"/>
      <c r="AN693" s="562"/>
      <c r="AO693" s="562"/>
      <c r="AP693" s="562"/>
      <c r="AQ693" s="562"/>
      <c r="AR693" s="562"/>
      <c r="AS693" s="562"/>
      <c r="AT693" s="562"/>
      <c r="AU693" s="562"/>
      <c r="AV693" s="562"/>
      <c r="AW693" s="562"/>
      <c r="AX693" s="562"/>
      <c r="AY693" s="562"/>
      <c r="AZ693" s="562"/>
      <c r="BA693" s="562"/>
      <c r="BB693" s="563"/>
      <c r="BE693" s="560">
        <v>0.4</v>
      </c>
      <c r="BO693" s="605"/>
      <c r="BP693" s="605"/>
      <c r="BQ693" s="658"/>
      <c r="BR693" s="658"/>
    </row>
    <row r="694" spans="16:70" s="560" customFormat="1">
      <c r="P694" s="561"/>
      <c r="Q694" s="562"/>
      <c r="R694" s="562">
        <v>1</v>
      </c>
      <c r="S694" s="562"/>
      <c r="T694" s="562"/>
      <c r="U694" s="562"/>
      <c r="V694" s="562"/>
      <c r="W694" s="562"/>
      <c r="X694" s="562"/>
      <c r="Y694" s="562"/>
      <c r="Z694" s="562"/>
      <c r="AA694" s="562"/>
      <c r="AB694" s="562"/>
      <c r="AC694" s="562"/>
      <c r="AD694" s="563"/>
      <c r="AE694" s="561"/>
      <c r="AF694" s="562"/>
      <c r="AG694" s="562"/>
      <c r="AH694" s="562"/>
      <c r="AI694" s="562"/>
      <c r="AJ694" s="562"/>
      <c r="AK694" s="562"/>
      <c r="AL694" s="562"/>
      <c r="AM694" s="562"/>
      <c r="AN694" s="562"/>
      <c r="AO694" s="562"/>
      <c r="AP694" s="562"/>
      <c r="AQ694" s="562"/>
      <c r="AR694" s="562"/>
      <c r="AS694" s="562"/>
      <c r="AT694" s="562"/>
      <c r="AU694" s="562"/>
      <c r="AV694" s="562"/>
      <c r="AW694" s="562"/>
      <c r="AX694" s="562"/>
      <c r="AY694" s="562"/>
      <c r="AZ694" s="562"/>
      <c r="BA694" s="562"/>
      <c r="BB694" s="563"/>
      <c r="BD694" s="560" t="s">
        <v>1156</v>
      </c>
      <c r="BE694" s="560">
        <v>0.28000000000000003</v>
      </c>
      <c r="BO694" s="605"/>
      <c r="BP694" s="605"/>
      <c r="BQ694" s="658"/>
      <c r="BR694" s="658"/>
    </row>
    <row r="695" spans="16:70" s="560" customFormat="1">
      <c r="P695" s="561"/>
      <c r="Q695" s="562"/>
      <c r="R695" s="562">
        <v>1</v>
      </c>
      <c r="S695" s="562"/>
      <c r="T695" s="562"/>
      <c r="U695" s="562"/>
      <c r="V695" s="562"/>
      <c r="W695" s="562"/>
      <c r="X695" s="562"/>
      <c r="Y695" s="562"/>
      <c r="Z695" s="562"/>
      <c r="AA695" s="562"/>
      <c r="AB695" s="562"/>
      <c r="AC695" s="562"/>
      <c r="AD695" s="563"/>
      <c r="AE695" s="561"/>
      <c r="AF695" s="562"/>
      <c r="AG695" s="562"/>
      <c r="AH695" s="562"/>
      <c r="AI695" s="562"/>
      <c r="AJ695" s="562"/>
      <c r="AK695" s="562"/>
      <c r="AL695" s="562"/>
      <c r="AM695" s="562"/>
      <c r="AN695" s="562"/>
      <c r="AO695" s="562"/>
      <c r="AP695" s="562"/>
      <c r="AQ695" s="562"/>
      <c r="AR695" s="562"/>
      <c r="AS695" s="562"/>
      <c r="AT695" s="562"/>
      <c r="AU695" s="562"/>
      <c r="AV695" s="562"/>
      <c r="AW695" s="562"/>
      <c r="AX695" s="562"/>
      <c r="AY695" s="562"/>
      <c r="AZ695" s="562"/>
      <c r="BA695" s="562"/>
      <c r="BB695" s="563"/>
      <c r="BE695" s="560">
        <v>0.35</v>
      </c>
      <c r="BO695" s="605"/>
      <c r="BP695" s="605"/>
      <c r="BQ695" s="658"/>
      <c r="BR695" s="658"/>
    </row>
    <row r="696" spans="16:70" s="560" customFormat="1">
      <c r="P696" s="561"/>
      <c r="Q696" s="562"/>
      <c r="R696" s="562">
        <v>0.8</v>
      </c>
      <c r="S696" s="562"/>
      <c r="T696" s="562"/>
      <c r="U696" s="562"/>
      <c r="V696" s="562"/>
      <c r="W696" s="562"/>
      <c r="X696" s="562"/>
      <c r="Y696" s="562"/>
      <c r="Z696" s="562"/>
      <c r="AA696" s="562"/>
      <c r="AB696" s="562"/>
      <c r="AC696" s="562"/>
      <c r="AD696" s="563"/>
      <c r="AE696" s="561"/>
      <c r="AF696" s="562"/>
      <c r="AG696" s="562"/>
      <c r="AH696" s="562"/>
      <c r="AI696" s="562"/>
      <c r="AJ696" s="562"/>
      <c r="AK696" s="562"/>
      <c r="AL696" s="562"/>
      <c r="AM696" s="562"/>
      <c r="AN696" s="562"/>
      <c r="AO696" s="562"/>
      <c r="AP696" s="562"/>
      <c r="AQ696" s="562"/>
      <c r="AR696" s="562"/>
      <c r="AS696" s="562"/>
      <c r="AT696" s="562"/>
      <c r="AU696" s="562"/>
      <c r="AV696" s="562"/>
      <c r="AW696" s="562"/>
      <c r="AX696" s="562"/>
      <c r="AY696" s="562"/>
      <c r="AZ696" s="562"/>
      <c r="BA696" s="562"/>
      <c r="BB696" s="563"/>
      <c r="BE696" s="560">
        <v>0.35</v>
      </c>
      <c r="BO696" s="605"/>
      <c r="BP696" s="605"/>
      <c r="BQ696" s="658"/>
      <c r="BR696" s="658"/>
    </row>
    <row r="697" spans="16:70" s="560" customFormat="1">
      <c r="P697" s="561"/>
      <c r="Q697" s="562"/>
      <c r="R697" s="562">
        <v>0.8</v>
      </c>
      <c r="S697" s="562"/>
      <c r="T697" s="562"/>
      <c r="U697" s="562"/>
      <c r="V697" s="562"/>
      <c r="W697" s="562"/>
      <c r="X697" s="562"/>
      <c r="Y697" s="562"/>
      <c r="Z697" s="562"/>
      <c r="AA697" s="562"/>
      <c r="AB697" s="562"/>
      <c r="AC697" s="562"/>
      <c r="AD697" s="563"/>
      <c r="AE697" s="561"/>
      <c r="AF697" s="562"/>
      <c r="AG697" s="562"/>
      <c r="AH697" s="562"/>
      <c r="AI697" s="562"/>
      <c r="AJ697" s="562"/>
      <c r="AK697" s="562"/>
      <c r="AL697" s="562"/>
      <c r="AM697" s="562"/>
      <c r="AN697" s="562"/>
      <c r="AO697" s="562"/>
      <c r="AP697" s="562"/>
      <c r="AQ697" s="562"/>
      <c r="AR697" s="562"/>
      <c r="AS697" s="562"/>
      <c r="AT697" s="562"/>
      <c r="AU697" s="562"/>
      <c r="AV697" s="562"/>
      <c r="AW697" s="562"/>
      <c r="AX697" s="562"/>
      <c r="AY697" s="562"/>
      <c r="AZ697" s="562"/>
      <c r="BA697" s="562"/>
      <c r="BB697" s="563"/>
      <c r="BE697" s="560">
        <v>0.5</v>
      </c>
      <c r="BO697" s="605"/>
      <c r="BP697" s="605"/>
      <c r="BQ697" s="658"/>
      <c r="BR697" s="658"/>
    </row>
    <row r="698" spans="16:70" s="560" customFormat="1">
      <c r="P698" s="561"/>
      <c r="Q698" s="562"/>
      <c r="R698" s="562">
        <v>0.8</v>
      </c>
      <c r="S698" s="562"/>
      <c r="T698" s="562"/>
      <c r="U698" s="562"/>
      <c r="V698" s="562"/>
      <c r="W698" s="562"/>
      <c r="X698" s="562"/>
      <c r="Y698" s="562"/>
      <c r="Z698" s="562"/>
      <c r="AA698" s="562"/>
      <c r="AB698" s="562"/>
      <c r="AC698" s="562"/>
      <c r="AD698" s="563"/>
      <c r="AE698" s="561"/>
      <c r="AF698" s="562"/>
      <c r="AG698" s="562"/>
      <c r="AH698" s="562"/>
      <c r="AI698" s="562"/>
      <c r="AJ698" s="562"/>
      <c r="AK698" s="562"/>
      <c r="AL698" s="562"/>
      <c r="AM698" s="562"/>
      <c r="AN698" s="562"/>
      <c r="AO698" s="562"/>
      <c r="AP698" s="562"/>
      <c r="AQ698" s="562"/>
      <c r="AR698" s="562"/>
      <c r="AS698" s="562"/>
      <c r="AT698" s="562"/>
      <c r="AU698" s="562"/>
      <c r="AV698" s="562"/>
      <c r="AW698" s="562"/>
      <c r="AX698" s="562"/>
      <c r="AY698" s="562"/>
      <c r="AZ698" s="562"/>
      <c r="BA698" s="562"/>
      <c r="BB698" s="563"/>
      <c r="BD698" s="560" t="s">
        <v>1157</v>
      </c>
      <c r="BE698" s="560">
        <v>0.36</v>
      </c>
      <c r="BO698" s="605"/>
      <c r="BP698" s="605"/>
      <c r="BQ698" s="658"/>
      <c r="BR698" s="658"/>
    </row>
    <row r="699" spans="16:70" s="560" customFormat="1">
      <c r="P699" s="561"/>
      <c r="Q699" s="562"/>
      <c r="R699" s="562">
        <v>0.65</v>
      </c>
      <c r="S699" s="562"/>
      <c r="T699" s="562"/>
      <c r="U699" s="562"/>
      <c r="V699" s="562"/>
      <c r="W699" s="562"/>
      <c r="X699" s="562"/>
      <c r="Y699" s="562"/>
      <c r="Z699" s="562"/>
      <c r="AA699" s="562"/>
      <c r="AB699" s="562"/>
      <c r="AC699" s="562"/>
      <c r="AD699" s="563"/>
      <c r="AE699" s="561"/>
      <c r="AF699" s="562"/>
      <c r="AG699" s="562"/>
      <c r="AH699" s="562"/>
      <c r="AI699" s="562"/>
      <c r="AJ699" s="562"/>
      <c r="AK699" s="562"/>
      <c r="AL699" s="562"/>
      <c r="AM699" s="562"/>
      <c r="AN699" s="562"/>
      <c r="AO699" s="562"/>
      <c r="AP699" s="562"/>
      <c r="AQ699" s="562"/>
      <c r="AR699" s="562"/>
      <c r="AS699" s="562"/>
      <c r="AT699" s="562"/>
      <c r="AU699" s="562"/>
      <c r="AV699" s="562"/>
      <c r="AW699" s="562"/>
      <c r="AX699" s="562"/>
      <c r="AY699" s="562"/>
      <c r="AZ699" s="562"/>
      <c r="BA699" s="562"/>
      <c r="BB699" s="563"/>
      <c r="BE699" s="560">
        <v>35</v>
      </c>
      <c r="BO699" s="605"/>
      <c r="BP699" s="605"/>
      <c r="BQ699" s="658"/>
      <c r="BR699" s="658"/>
    </row>
    <row r="700" spans="16:70" s="560" customFormat="1">
      <c r="P700" s="561"/>
      <c r="Q700" s="562"/>
      <c r="R700" s="562">
        <v>0.7</v>
      </c>
      <c r="S700" s="562"/>
      <c r="T700" s="562"/>
      <c r="U700" s="562"/>
      <c r="V700" s="562"/>
      <c r="W700" s="562"/>
      <c r="X700" s="562"/>
      <c r="Y700" s="562"/>
      <c r="Z700" s="562"/>
      <c r="AA700" s="562"/>
      <c r="AB700" s="562"/>
      <c r="AC700" s="562"/>
      <c r="AD700" s="563"/>
      <c r="AE700" s="561"/>
      <c r="AF700" s="562"/>
      <c r="AG700" s="562"/>
      <c r="AH700" s="562"/>
      <c r="AI700" s="562"/>
      <c r="AJ700" s="562"/>
      <c r="AK700" s="562"/>
      <c r="AL700" s="562"/>
      <c r="AM700" s="562"/>
      <c r="AN700" s="562"/>
      <c r="AO700" s="562"/>
      <c r="AP700" s="562"/>
      <c r="AQ700" s="562"/>
      <c r="AR700" s="562"/>
      <c r="AS700" s="562"/>
      <c r="AT700" s="562"/>
      <c r="AU700" s="562"/>
      <c r="AV700" s="562"/>
      <c r="AW700" s="562"/>
      <c r="AX700" s="562"/>
      <c r="AY700" s="562"/>
      <c r="AZ700" s="562"/>
      <c r="BA700" s="562"/>
      <c r="BB700" s="563"/>
      <c r="BE700" s="560">
        <v>0.39</v>
      </c>
      <c r="BO700" s="605"/>
      <c r="BP700" s="605"/>
      <c r="BQ700" s="658"/>
      <c r="BR700" s="658"/>
    </row>
    <row r="701" spans="16:70" s="560" customFormat="1">
      <c r="P701" s="561"/>
      <c r="Q701" s="562"/>
      <c r="R701" s="562">
        <v>0.2</v>
      </c>
      <c r="S701" s="562"/>
      <c r="T701" s="562"/>
      <c r="U701" s="562"/>
      <c r="V701" s="562"/>
      <c r="W701" s="562"/>
      <c r="X701" s="562"/>
      <c r="Y701" s="562"/>
      <c r="Z701" s="562"/>
      <c r="AA701" s="562"/>
      <c r="AB701" s="562"/>
      <c r="AC701" s="562"/>
      <c r="AD701" s="563"/>
      <c r="AE701" s="561"/>
      <c r="AF701" s="562"/>
      <c r="AG701" s="562"/>
      <c r="AH701" s="562"/>
      <c r="AI701" s="562"/>
      <c r="AJ701" s="562"/>
      <c r="AK701" s="562"/>
      <c r="AL701" s="562"/>
      <c r="AM701" s="562"/>
      <c r="AN701" s="562"/>
      <c r="AO701" s="562"/>
      <c r="AP701" s="562"/>
      <c r="AQ701" s="562"/>
      <c r="AR701" s="562"/>
      <c r="AS701" s="562"/>
      <c r="AT701" s="562"/>
      <c r="AU701" s="562"/>
      <c r="AV701" s="562"/>
      <c r="AW701" s="562"/>
      <c r="AX701" s="562"/>
      <c r="AY701" s="562"/>
      <c r="AZ701" s="562"/>
      <c r="BA701" s="562"/>
      <c r="BB701" s="563"/>
      <c r="BE701" s="560">
        <v>0.4</v>
      </c>
      <c r="BO701" s="605"/>
      <c r="BP701" s="605"/>
      <c r="BQ701" s="658"/>
      <c r="BR701" s="658"/>
    </row>
    <row r="702" spans="16:70" s="560" customFormat="1">
      <c r="P702" s="561"/>
      <c r="Q702" s="562"/>
      <c r="R702" s="562">
        <f>COUNT(R662:R701)</f>
        <v>38</v>
      </c>
      <c r="S702" s="562"/>
      <c r="T702" s="562"/>
      <c r="U702" s="562"/>
      <c r="V702" s="562"/>
      <c r="W702" s="562"/>
      <c r="X702" s="562"/>
      <c r="Y702" s="562"/>
      <c r="Z702" s="562"/>
      <c r="AA702" s="562"/>
      <c r="AB702" s="562"/>
      <c r="AC702" s="562"/>
      <c r="AD702" s="563"/>
      <c r="AE702" s="561"/>
      <c r="AF702" s="562"/>
      <c r="AG702" s="562"/>
      <c r="AH702" s="562"/>
      <c r="AI702" s="562"/>
      <c r="AJ702" s="562"/>
      <c r="AK702" s="562"/>
      <c r="AL702" s="562"/>
      <c r="AM702" s="562"/>
      <c r="AN702" s="562"/>
      <c r="AO702" s="562"/>
      <c r="AP702" s="562"/>
      <c r="AQ702" s="562"/>
      <c r="AR702" s="562"/>
      <c r="AS702" s="562"/>
      <c r="AT702" s="562"/>
      <c r="AU702" s="562"/>
      <c r="AV702" s="562"/>
      <c r="AW702" s="562"/>
      <c r="AX702" s="562"/>
      <c r="AY702" s="562"/>
      <c r="AZ702" s="562"/>
      <c r="BA702" s="562"/>
      <c r="BB702" s="563"/>
      <c r="BD702" s="560" t="s">
        <v>1162</v>
      </c>
      <c r="BE702" s="560">
        <v>0.35</v>
      </c>
      <c r="BO702" s="605"/>
      <c r="BP702" s="605"/>
      <c r="BQ702" s="658"/>
      <c r="BR702" s="658"/>
    </row>
    <row r="703" spans="16:70" s="560" customFormat="1">
      <c r="P703" s="567">
        <v>41150</v>
      </c>
      <c r="Q703" s="568" t="s">
        <v>725</v>
      </c>
      <c r="R703" s="568"/>
      <c r="S703" s="568" t="s">
        <v>726</v>
      </c>
      <c r="T703" s="569" t="s">
        <v>727</v>
      </c>
      <c r="U703" s="569" t="s">
        <v>728</v>
      </c>
      <c r="V703" s="569" t="s">
        <v>729</v>
      </c>
      <c r="W703" s="569" t="s">
        <v>730</v>
      </c>
      <c r="X703" s="569" t="s">
        <v>731</v>
      </c>
      <c r="Y703" s="568"/>
      <c r="Z703" s="562"/>
      <c r="AA703" s="562"/>
      <c r="AB703" s="562"/>
      <c r="AC703" s="562"/>
      <c r="AD703" s="563"/>
      <c r="AE703" s="561"/>
      <c r="AF703" s="562"/>
      <c r="AG703" s="562"/>
      <c r="AH703" s="562"/>
      <c r="AI703" s="562"/>
      <c r="AJ703" s="562"/>
      <c r="AK703" s="562"/>
      <c r="AL703" s="562"/>
      <c r="AM703" s="562"/>
      <c r="AN703" s="562"/>
      <c r="AO703" s="562"/>
      <c r="AP703" s="562"/>
      <c r="AQ703" s="562"/>
      <c r="AR703" s="562"/>
      <c r="AS703" s="562"/>
      <c r="AT703" s="562"/>
      <c r="AU703" s="562"/>
      <c r="AV703" s="562"/>
      <c r="AW703" s="562"/>
      <c r="AX703" s="562"/>
      <c r="AY703" s="562"/>
      <c r="AZ703" s="562"/>
      <c r="BA703" s="562"/>
      <c r="BB703" s="563"/>
      <c r="BE703" s="560">
        <v>0.38</v>
      </c>
      <c r="BO703" s="605"/>
      <c r="BP703" s="605"/>
      <c r="BQ703" s="658"/>
      <c r="BR703" s="658"/>
    </row>
    <row r="704" spans="16:70" s="560" customFormat="1">
      <c r="P704" s="561"/>
      <c r="Q704" s="568"/>
      <c r="R704" s="568"/>
      <c r="S704" s="568"/>
      <c r="T704" s="569" t="s">
        <v>1171</v>
      </c>
      <c r="U704" s="569" t="s">
        <v>1172</v>
      </c>
      <c r="V704" s="577"/>
      <c r="W704" s="577"/>
      <c r="X704" s="569">
        <v>2505</v>
      </c>
      <c r="Y704" s="578" t="s">
        <v>1173</v>
      </c>
      <c r="Z704" s="562"/>
      <c r="AA704" s="562"/>
      <c r="AB704" s="562"/>
      <c r="AC704" s="562"/>
      <c r="AD704" s="563"/>
      <c r="AE704" s="561"/>
      <c r="AF704" s="562"/>
      <c r="AG704" s="562"/>
      <c r="AH704" s="562"/>
      <c r="AI704" s="562"/>
      <c r="AJ704" s="562"/>
      <c r="AK704" s="562"/>
      <c r="AL704" s="562"/>
      <c r="AM704" s="562"/>
      <c r="AN704" s="562"/>
      <c r="AO704" s="562"/>
      <c r="AP704" s="562"/>
      <c r="AQ704" s="562"/>
      <c r="AR704" s="562"/>
      <c r="AS704" s="562"/>
      <c r="AT704" s="562"/>
      <c r="AU704" s="562"/>
      <c r="AV704" s="562"/>
      <c r="AW704" s="562"/>
      <c r="AX704" s="562"/>
      <c r="AY704" s="562"/>
      <c r="AZ704" s="562"/>
      <c r="BA704" s="562"/>
      <c r="BB704" s="563"/>
      <c r="BE704" s="560">
        <v>0.45</v>
      </c>
      <c r="BO704" s="605"/>
      <c r="BP704" s="605"/>
      <c r="BQ704" s="658"/>
      <c r="BR704" s="658"/>
    </row>
    <row r="705" spans="16:70" s="560" customFormat="1">
      <c r="P705" s="561" t="s">
        <v>593</v>
      </c>
      <c r="Q705" s="578" t="s">
        <v>1174</v>
      </c>
      <c r="R705" s="578"/>
      <c r="S705" s="569"/>
      <c r="T705" s="568"/>
      <c r="U705" s="568"/>
      <c r="V705" s="569"/>
      <c r="W705" s="569"/>
      <c r="X705" s="569"/>
      <c r="Y705" s="569"/>
      <c r="Z705" s="562"/>
      <c r="AA705" s="562"/>
      <c r="AB705" s="562"/>
      <c r="AC705" s="562"/>
      <c r="AD705" s="563"/>
      <c r="AE705" s="561"/>
      <c r="AF705" s="562"/>
      <c r="AG705" s="562"/>
      <c r="AH705" s="562"/>
      <c r="AI705" s="562"/>
      <c r="AJ705" s="562"/>
      <c r="AK705" s="562"/>
      <c r="AL705" s="562"/>
      <c r="AM705" s="562"/>
      <c r="AN705" s="562"/>
      <c r="AO705" s="562"/>
      <c r="AP705" s="562"/>
      <c r="AQ705" s="562"/>
      <c r="AR705" s="562"/>
      <c r="AS705" s="562"/>
      <c r="AT705" s="562"/>
      <c r="AU705" s="562"/>
      <c r="AV705" s="562"/>
      <c r="AW705" s="562"/>
      <c r="AX705" s="562"/>
      <c r="AY705" s="562"/>
      <c r="AZ705" s="562"/>
      <c r="BA705" s="562"/>
      <c r="BB705" s="563"/>
      <c r="BE705" s="560">
        <v>0.45</v>
      </c>
      <c r="BO705" s="605"/>
      <c r="BP705" s="605"/>
      <c r="BQ705" s="658"/>
      <c r="BR705" s="658"/>
    </row>
    <row r="706" spans="16:70" s="560" customFormat="1">
      <c r="P706" s="587"/>
      <c r="Q706" s="588" t="s">
        <v>755</v>
      </c>
      <c r="R706" s="588" t="s">
        <v>756</v>
      </c>
      <c r="S706" s="588" t="s">
        <v>757</v>
      </c>
      <c r="T706" s="588" t="s">
        <v>758</v>
      </c>
      <c r="U706" s="588" t="s">
        <v>759</v>
      </c>
      <c r="V706" s="588" t="s">
        <v>760</v>
      </c>
      <c r="W706" s="588" t="s">
        <v>761</v>
      </c>
      <c r="X706" s="588" t="s">
        <v>762</v>
      </c>
      <c r="Y706" s="588" t="s">
        <v>763</v>
      </c>
      <c r="Z706" s="562"/>
      <c r="AA706" s="562"/>
      <c r="AB706" s="562"/>
      <c r="AC706" s="588" t="s">
        <v>764</v>
      </c>
      <c r="AD706" s="589"/>
      <c r="AE706" s="561"/>
      <c r="AF706" s="562"/>
      <c r="AG706" s="562"/>
      <c r="AH706" s="562"/>
      <c r="AI706" s="562"/>
      <c r="AJ706" s="562"/>
      <c r="AK706" s="562"/>
      <c r="AL706" s="562"/>
      <c r="AM706" s="562"/>
      <c r="AN706" s="562"/>
      <c r="AO706" s="562"/>
      <c r="AP706" s="562"/>
      <c r="AQ706" s="562"/>
      <c r="AR706" s="562"/>
      <c r="AS706" s="562"/>
      <c r="AT706" s="562"/>
      <c r="AU706" s="562"/>
      <c r="AV706" s="562"/>
      <c r="AW706" s="562"/>
      <c r="AX706" s="562"/>
      <c r="AY706" s="562"/>
      <c r="AZ706" s="562"/>
      <c r="BA706" s="562"/>
      <c r="BB706" s="563"/>
      <c r="BD706" s="560" t="s">
        <v>1167</v>
      </c>
      <c r="BE706" s="560">
        <v>0.6</v>
      </c>
      <c r="BO706" s="605"/>
      <c r="BP706" s="605"/>
      <c r="BQ706" s="658"/>
      <c r="BR706" s="658"/>
    </row>
    <row r="707" spans="16:70" s="560" customFormat="1">
      <c r="P707" s="561"/>
      <c r="Q707" s="568" t="s">
        <v>775</v>
      </c>
      <c r="R707" s="562"/>
      <c r="S707" s="562"/>
      <c r="T707" s="562"/>
      <c r="U707" s="562"/>
      <c r="V707" s="562"/>
      <c r="W707" s="562"/>
      <c r="X707" s="629"/>
      <c r="Y707" s="562"/>
      <c r="Z707" s="562"/>
      <c r="AA707" s="562"/>
      <c r="AB707" s="562"/>
      <c r="AC707" s="577"/>
      <c r="AD707" s="589"/>
      <c r="AE707" s="561"/>
      <c r="AF707" s="562"/>
      <c r="AG707" s="562"/>
      <c r="AH707" s="562"/>
      <c r="AI707" s="562"/>
      <c r="AJ707" s="562"/>
      <c r="AK707" s="562"/>
      <c r="AL707" s="562"/>
      <c r="AM707" s="562"/>
      <c r="AN707" s="562"/>
      <c r="AO707" s="562"/>
      <c r="AP707" s="562"/>
      <c r="AQ707" s="562"/>
      <c r="AR707" s="562"/>
      <c r="AS707" s="562"/>
      <c r="AT707" s="562"/>
      <c r="AU707" s="562"/>
      <c r="AV707" s="562"/>
      <c r="AW707" s="562"/>
      <c r="AX707" s="562"/>
      <c r="AY707" s="562"/>
      <c r="AZ707" s="562"/>
      <c r="BA707" s="562"/>
      <c r="BB707" s="563"/>
      <c r="BE707" s="560">
        <v>0.39</v>
      </c>
      <c r="BO707" s="605"/>
      <c r="BP707" s="605"/>
      <c r="BQ707" s="658"/>
      <c r="BR707" s="658"/>
    </row>
    <row r="708" spans="16:70" s="560" customFormat="1">
      <c r="P708" s="561"/>
      <c r="Q708" s="568"/>
      <c r="R708" s="568">
        <v>0.8</v>
      </c>
      <c r="S708" s="562"/>
      <c r="T708" s="562"/>
      <c r="U708" s="562"/>
      <c r="V708" s="562"/>
      <c r="W708" s="562"/>
      <c r="X708" s="609"/>
      <c r="Y708" s="562"/>
      <c r="Z708" s="562"/>
      <c r="AA708" s="562"/>
      <c r="AB708" s="562"/>
      <c r="AC708" s="607" t="s">
        <v>780</v>
      </c>
      <c r="AD708" s="608" t="s">
        <v>616</v>
      </c>
      <c r="AE708" s="561"/>
      <c r="AF708" s="562"/>
      <c r="AG708" s="562"/>
      <c r="AH708" s="562"/>
      <c r="AI708" s="562"/>
      <c r="AJ708" s="562"/>
      <c r="AK708" s="562"/>
      <c r="AL708" s="562"/>
      <c r="AM708" s="562"/>
      <c r="AN708" s="562"/>
      <c r="AO708" s="562"/>
      <c r="AP708" s="562"/>
      <c r="AQ708" s="562"/>
      <c r="AR708" s="562"/>
      <c r="AS708" s="562"/>
      <c r="AT708" s="562"/>
      <c r="AU708" s="562"/>
      <c r="AV708" s="562"/>
      <c r="AW708" s="562"/>
      <c r="AX708" s="562"/>
      <c r="AY708" s="562"/>
      <c r="AZ708" s="562"/>
      <c r="BA708" s="562"/>
      <c r="BB708" s="563"/>
      <c r="BE708" s="560">
        <v>0.28000000000000003</v>
      </c>
      <c r="BO708" s="605"/>
      <c r="BP708" s="605"/>
      <c r="BQ708" s="658"/>
      <c r="BR708" s="658"/>
    </row>
    <row r="709" spans="16:70" s="560" customFormat="1">
      <c r="P709" s="561"/>
      <c r="Q709" s="568"/>
      <c r="R709" s="562">
        <v>0.82</v>
      </c>
      <c r="S709" s="562"/>
      <c r="T709" s="562"/>
      <c r="U709" s="562"/>
      <c r="V709" s="562"/>
      <c r="W709" s="562"/>
      <c r="X709" s="629"/>
      <c r="Y709" s="562"/>
      <c r="Z709" s="562"/>
      <c r="AA709" s="562"/>
      <c r="AB709" s="562"/>
      <c r="AC709" s="607" t="s">
        <v>785</v>
      </c>
      <c r="AD709" s="608" t="s">
        <v>542</v>
      </c>
      <c r="AE709" s="561"/>
      <c r="AF709" s="562"/>
      <c r="AG709" s="562"/>
      <c r="AH709" s="562"/>
      <c r="AI709" s="562"/>
      <c r="AJ709" s="562"/>
      <c r="AK709" s="562"/>
      <c r="AL709" s="562"/>
      <c r="AM709" s="562"/>
      <c r="AN709" s="562"/>
      <c r="AO709" s="562"/>
      <c r="AP709" s="562"/>
      <c r="AQ709" s="562"/>
      <c r="AR709" s="562"/>
      <c r="AS709" s="562"/>
      <c r="AT709" s="562"/>
      <c r="AU709" s="562"/>
      <c r="AV709" s="562"/>
      <c r="AW709" s="562"/>
      <c r="AX709" s="562"/>
      <c r="AY709" s="562"/>
      <c r="AZ709" s="562"/>
      <c r="BA709" s="562"/>
      <c r="BB709" s="563"/>
      <c r="BE709" s="560">
        <v>0.18</v>
      </c>
      <c r="BO709" s="605"/>
      <c r="BP709" s="605"/>
      <c r="BQ709" s="658"/>
      <c r="BR709" s="658"/>
    </row>
    <row r="710" spans="16:70" s="560" customFormat="1">
      <c r="P710" s="561"/>
      <c r="Q710" s="562"/>
      <c r="R710" s="562">
        <v>0.87</v>
      </c>
      <c r="S710" s="562"/>
      <c r="T710" s="562"/>
      <c r="U710" s="562"/>
      <c r="V710" s="562"/>
      <c r="W710" s="562"/>
      <c r="X710" s="629"/>
      <c r="Y710" s="562"/>
      <c r="Z710" s="562"/>
      <c r="AA710" s="562"/>
      <c r="AB710" s="562"/>
      <c r="AC710" s="607" t="s">
        <v>789</v>
      </c>
      <c r="AD710" s="608" t="s">
        <v>790</v>
      </c>
      <c r="AE710" s="561"/>
      <c r="AF710" s="562"/>
      <c r="AG710" s="562"/>
      <c r="AH710" s="562"/>
      <c r="AI710" s="562"/>
      <c r="AJ710" s="562"/>
      <c r="AK710" s="562"/>
      <c r="AL710" s="562"/>
      <c r="AM710" s="562"/>
      <c r="AN710" s="562"/>
      <c r="AO710" s="562"/>
      <c r="AP710" s="562"/>
      <c r="AQ710" s="562"/>
      <c r="AR710" s="562"/>
      <c r="AS710" s="562"/>
      <c r="AT710" s="562"/>
      <c r="AU710" s="562"/>
      <c r="AV710" s="562"/>
      <c r="AW710" s="562"/>
      <c r="AX710" s="562"/>
      <c r="AY710" s="562"/>
      <c r="AZ710" s="562"/>
      <c r="BA710" s="562"/>
      <c r="BB710" s="563"/>
      <c r="BD710" s="560" t="s">
        <v>1168</v>
      </c>
      <c r="BE710" s="560">
        <v>0.1</v>
      </c>
      <c r="BO710" s="605"/>
      <c r="BP710" s="605"/>
      <c r="BQ710" s="658"/>
      <c r="BR710" s="658"/>
    </row>
    <row r="711" spans="16:70" s="560" customFormat="1">
      <c r="P711" s="561"/>
      <c r="Q711" s="562"/>
      <c r="R711" s="562">
        <v>0.8</v>
      </c>
      <c r="S711" s="562"/>
      <c r="T711" s="562"/>
      <c r="U711" s="562"/>
      <c r="V711" s="562"/>
      <c r="W711" s="562"/>
      <c r="X711" s="629"/>
      <c r="Y711" s="562"/>
      <c r="Z711" s="562"/>
      <c r="AA711" s="562"/>
      <c r="AB711" s="562"/>
      <c r="AC711" s="607" t="s">
        <v>791</v>
      </c>
      <c r="AD711" s="608" t="s">
        <v>792</v>
      </c>
      <c r="AE711" s="561"/>
      <c r="AF711" s="562"/>
      <c r="AG711" s="562"/>
      <c r="AH711" s="562"/>
      <c r="AI711" s="562"/>
      <c r="AJ711" s="562"/>
      <c r="AK711" s="562"/>
      <c r="AL711" s="562"/>
      <c r="AM711" s="562"/>
      <c r="AN711" s="562"/>
      <c r="AO711" s="562"/>
      <c r="AP711" s="562"/>
      <c r="AQ711" s="562"/>
      <c r="AR711" s="562"/>
      <c r="AS711" s="562"/>
      <c r="AT711" s="562"/>
      <c r="AU711" s="562"/>
      <c r="AV711" s="562"/>
      <c r="AW711" s="562"/>
      <c r="AX711" s="562"/>
      <c r="AY711" s="562"/>
      <c r="AZ711" s="562"/>
      <c r="BA711" s="562"/>
      <c r="BB711" s="563"/>
      <c r="BE711" s="560">
        <v>0.1</v>
      </c>
      <c r="BO711" s="605"/>
      <c r="BP711" s="605"/>
      <c r="BQ711" s="658"/>
      <c r="BR711" s="658"/>
    </row>
    <row r="712" spans="16:70" s="560" customFormat="1">
      <c r="P712" s="561"/>
      <c r="Q712" s="562"/>
      <c r="R712" s="562">
        <v>0.8</v>
      </c>
      <c r="S712" s="562"/>
      <c r="T712" s="562"/>
      <c r="U712" s="562"/>
      <c r="V712" s="562"/>
      <c r="W712" s="562"/>
      <c r="X712" s="562"/>
      <c r="Y712" s="562"/>
      <c r="Z712" s="562"/>
      <c r="AA712" s="562"/>
      <c r="AB712" s="562"/>
      <c r="AC712" s="607" t="s">
        <v>794</v>
      </c>
      <c r="AD712" s="608" t="s">
        <v>795</v>
      </c>
      <c r="AE712" s="561"/>
      <c r="AF712" s="562"/>
      <c r="AG712" s="562"/>
      <c r="AH712" s="562"/>
      <c r="AI712" s="562"/>
      <c r="AJ712" s="562"/>
      <c r="AK712" s="562"/>
      <c r="AL712" s="562"/>
      <c r="AM712" s="562"/>
      <c r="AN712" s="562"/>
      <c r="AO712" s="562"/>
      <c r="AP712" s="562"/>
      <c r="AQ712" s="562"/>
      <c r="AR712" s="562"/>
      <c r="AS712" s="562"/>
      <c r="AT712" s="562"/>
      <c r="AU712" s="562"/>
      <c r="AV712" s="562"/>
      <c r="AW712" s="562"/>
      <c r="AX712" s="562"/>
      <c r="AY712" s="562"/>
      <c r="AZ712" s="562"/>
      <c r="BA712" s="562"/>
      <c r="BB712" s="563"/>
      <c r="BE712" s="560">
        <v>0.36</v>
      </c>
      <c r="BO712" s="605"/>
      <c r="BP712" s="605"/>
      <c r="BQ712" s="658"/>
      <c r="BR712" s="658"/>
    </row>
    <row r="713" spans="16:70" s="560" customFormat="1">
      <c r="P713" s="561"/>
      <c r="Q713" s="562"/>
      <c r="R713" s="562">
        <v>0.7</v>
      </c>
      <c r="S713" s="562"/>
      <c r="T713" s="562"/>
      <c r="U713" s="562"/>
      <c r="V713" s="562"/>
      <c r="W713" s="562"/>
      <c r="X713" s="562"/>
      <c r="Y713" s="562"/>
      <c r="Z713" s="562"/>
      <c r="AA713" s="562"/>
      <c r="AB713" s="562"/>
      <c r="AC713" s="607" t="s">
        <v>798</v>
      </c>
      <c r="AD713" s="608" t="s">
        <v>546</v>
      </c>
      <c r="AE713" s="561"/>
      <c r="AF713" s="562"/>
      <c r="AG713" s="562"/>
      <c r="AH713" s="562"/>
      <c r="AI713" s="562"/>
      <c r="AJ713" s="562"/>
      <c r="AK713" s="562"/>
      <c r="AL713" s="562"/>
      <c r="AM713" s="562"/>
      <c r="AN713" s="562"/>
      <c r="AO713" s="562"/>
      <c r="AP713" s="562"/>
      <c r="AQ713" s="562"/>
      <c r="AR713" s="562"/>
      <c r="AS713" s="562"/>
      <c r="AT713" s="562"/>
      <c r="AU713" s="562"/>
      <c r="AV713" s="562"/>
      <c r="AW713" s="562"/>
      <c r="AX713" s="562"/>
      <c r="AY713" s="562"/>
      <c r="AZ713" s="562"/>
      <c r="BA713" s="562"/>
      <c r="BB713" s="563"/>
      <c r="BE713" s="560">
        <v>0.36</v>
      </c>
      <c r="BO713" s="605"/>
      <c r="BP713" s="605"/>
      <c r="BQ713" s="658"/>
      <c r="BR713" s="658"/>
    </row>
    <row r="714" spans="16:70" s="560" customFormat="1">
      <c r="P714" s="561"/>
      <c r="Q714" s="562"/>
      <c r="R714" s="562">
        <v>0.7</v>
      </c>
      <c r="S714" s="562"/>
      <c r="T714" s="562"/>
      <c r="U714" s="562"/>
      <c r="V714" s="562"/>
      <c r="W714" s="562"/>
      <c r="X714" s="562"/>
      <c r="Y714" s="562"/>
      <c r="Z714" s="562"/>
      <c r="AA714" s="562"/>
      <c r="AB714" s="562"/>
      <c r="AC714" s="607" t="s">
        <v>800</v>
      </c>
      <c r="AD714" s="608" t="s">
        <v>801</v>
      </c>
      <c r="AE714" s="561"/>
      <c r="AF714" s="562"/>
      <c r="AG714" s="562"/>
      <c r="AH714" s="562"/>
      <c r="AI714" s="562"/>
      <c r="AJ714" s="562"/>
      <c r="AK714" s="562"/>
      <c r="AL714" s="562"/>
      <c r="AM714" s="562"/>
      <c r="AN714" s="562"/>
      <c r="AO714" s="562"/>
      <c r="AP714" s="562"/>
      <c r="AQ714" s="562"/>
      <c r="AR714" s="562"/>
      <c r="AS714" s="562"/>
      <c r="AT714" s="562"/>
      <c r="AU714" s="562"/>
      <c r="AV714" s="562"/>
      <c r="AW714" s="562"/>
      <c r="AX714" s="562"/>
      <c r="AY714" s="562"/>
      <c r="AZ714" s="562"/>
      <c r="BA714" s="562"/>
      <c r="BB714" s="563"/>
      <c r="BD714" s="560" t="s">
        <v>1175</v>
      </c>
      <c r="BE714" s="560">
        <v>0.35</v>
      </c>
      <c r="BO714" s="605"/>
      <c r="BP714" s="605"/>
      <c r="BQ714" s="658"/>
      <c r="BR714" s="658"/>
    </row>
    <row r="715" spans="16:70" s="560" customFormat="1">
      <c r="P715" s="561"/>
      <c r="Q715" s="562"/>
      <c r="R715" s="562">
        <v>0.7</v>
      </c>
      <c r="S715" s="562"/>
      <c r="T715" s="562"/>
      <c r="U715" s="562"/>
      <c r="V715" s="562"/>
      <c r="W715" s="562"/>
      <c r="X715" s="562"/>
      <c r="Y715" s="562"/>
      <c r="Z715" s="562"/>
      <c r="AA715" s="562"/>
      <c r="AB715" s="562"/>
      <c r="AC715" s="607" t="s">
        <v>804</v>
      </c>
      <c r="AD715" s="608" t="s">
        <v>805</v>
      </c>
      <c r="AE715" s="561"/>
      <c r="AF715" s="562"/>
      <c r="AG715" s="562"/>
      <c r="AH715" s="562"/>
      <c r="AI715" s="562"/>
      <c r="AJ715" s="562"/>
      <c r="AK715" s="562"/>
      <c r="AL715" s="562"/>
      <c r="AM715" s="562"/>
      <c r="AN715" s="562"/>
      <c r="AO715" s="562"/>
      <c r="AP715" s="562"/>
      <c r="AQ715" s="562"/>
      <c r="AR715" s="562"/>
      <c r="AS715" s="562"/>
      <c r="AT715" s="562"/>
      <c r="AU715" s="562"/>
      <c r="AV715" s="562"/>
      <c r="AW715" s="562"/>
      <c r="AX715" s="562"/>
      <c r="AY715" s="562"/>
      <c r="AZ715" s="562"/>
      <c r="BA715" s="562"/>
      <c r="BB715" s="563"/>
      <c r="BE715" s="560">
        <v>0.34</v>
      </c>
      <c r="BO715" s="605"/>
      <c r="BP715" s="605"/>
      <c r="BQ715" s="658"/>
      <c r="BR715" s="658"/>
    </row>
    <row r="716" spans="16:70" s="560" customFormat="1">
      <c r="P716" s="561"/>
      <c r="Q716" s="562"/>
      <c r="R716" s="562">
        <v>0.7</v>
      </c>
      <c r="S716" s="562"/>
      <c r="T716" s="562"/>
      <c r="U716" s="562"/>
      <c r="V716" s="562"/>
      <c r="W716" s="562"/>
      <c r="X716" s="562"/>
      <c r="Y716" s="562"/>
      <c r="Z716" s="562"/>
      <c r="AA716" s="562"/>
      <c r="AB716" s="562"/>
      <c r="AC716" s="607" t="s">
        <v>807</v>
      </c>
      <c r="AD716" s="608" t="s">
        <v>808</v>
      </c>
      <c r="AE716" s="561"/>
      <c r="AF716" s="562"/>
      <c r="AG716" s="562"/>
      <c r="AH716" s="562"/>
      <c r="AI716" s="562"/>
      <c r="AJ716" s="562"/>
      <c r="AK716" s="562"/>
      <c r="AL716" s="562"/>
      <c r="AM716" s="562"/>
      <c r="AN716" s="562"/>
      <c r="AO716" s="562"/>
      <c r="AP716" s="562"/>
      <c r="AQ716" s="562"/>
      <c r="AR716" s="562"/>
      <c r="AS716" s="562"/>
      <c r="AT716" s="562"/>
      <c r="AU716" s="562"/>
      <c r="AV716" s="562"/>
      <c r="AW716" s="562"/>
      <c r="AX716" s="562"/>
      <c r="AY716" s="562"/>
      <c r="AZ716" s="562"/>
      <c r="BA716" s="562"/>
      <c r="BB716" s="563"/>
      <c r="BE716" s="560">
        <v>0.38</v>
      </c>
      <c r="BO716" s="605"/>
      <c r="BP716" s="605"/>
      <c r="BQ716" s="658"/>
      <c r="BR716" s="658"/>
    </row>
    <row r="717" spans="16:70" s="560" customFormat="1">
      <c r="P717" s="561"/>
      <c r="Q717" s="562"/>
      <c r="R717" s="562">
        <v>0.7</v>
      </c>
      <c r="S717" s="562"/>
      <c r="T717" s="562"/>
      <c r="U717" s="562"/>
      <c r="V717" s="562"/>
      <c r="W717" s="562"/>
      <c r="X717" s="562"/>
      <c r="Y717" s="562"/>
      <c r="Z717" s="562"/>
      <c r="AA717" s="562"/>
      <c r="AB717" s="562"/>
      <c r="AC717" s="607" t="s">
        <v>810</v>
      </c>
      <c r="AD717" s="608" t="s">
        <v>550</v>
      </c>
      <c r="AE717" s="561"/>
      <c r="AF717" s="562"/>
      <c r="AG717" s="562"/>
      <c r="AH717" s="562"/>
      <c r="AI717" s="562"/>
      <c r="AJ717" s="562"/>
      <c r="AK717" s="562"/>
      <c r="AL717" s="562"/>
      <c r="AM717" s="562"/>
      <c r="AN717" s="562"/>
      <c r="AO717" s="562"/>
      <c r="AP717" s="562"/>
      <c r="AQ717" s="562"/>
      <c r="AR717" s="562"/>
      <c r="AS717" s="562"/>
      <c r="AT717" s="562"/>
      <c r="AU717" s="562"/>
      <c r="AV717" s="562"/>
      <c r="AW717" s="562"/>
      <c r="AX717" s="562"/>
      <c r="AY717" s="562"/>
      <c r="AZ717" s="562"/>
      <c r="BA717" s="562"/>
      <c r="BB717" s="563"/>
      <c r="BE717" s="560">
        <v>0.4</v>
      </c>
      <c r="BO717" s="605"/>
      <c r="BP717" s="605"/>
      <c r="BQ717" s="658"/>
      <c r="BR717" s="658"/>
    </row>
    <row r="718" spans="16:70" s="560" customFormat="1">
      <c r="P718" s="561"/>
      <c r="Q718" s="562"/>
      <c r="R718" s="562">
        <v>0.68</v>
      </c>
      <c r="S718" s="562"/>
      <c r="T718" s="562"/>
      <c r="U718" s="562"/>
      <c r="V718" s="562"/>
      <c r="W718" s="562"/>
      <c r="X718" s="562"/>
      <c r="Y718" s="562"/>
      <c r="Z718" s="562"/>
      <c r="AA718" s="562"/>
      <c r="AB718" s="562"/>
      <c r="AC718" s="607" t="s">
        <v>813</v>
      </c>
      <c r="AD718" s="608" t="s">
        <v>552</v>
      </c>
      <c r="AE718" s="561"/>
      <c r="AF718" s="562"/>
      <c r="AG718" s="562"/>
      <c r="AH718" s="562"/>
      <c r="AI718" s="562"/>
      <c r="AJ718" s="562"/>
      <c r="AK718" s="562"/>
      <c r="AL718" s="562"/>
      <c r="AM718" s="562"/>
      <c r="AN718" s="562"/>
      <c r="AO718" s="562"/>
      <c r="AP718" s="562"/>
      <c r="AQ718" s="562"/>
      <c r="AR718" s="562"/>
      <c r="AS718" s="562"/>
      <c r="AT718" s="562"/>
      <c r="AU718" s="562"/>
      <c r="AV718" s="562"/>
      <c r="AW718" s="562"/>
      <c r="AX718" s="562"/>
      <c r="AY718" s="562"/>
      <c r="AZ718" s="562"/>
      <c r="BA718" s="562"/>
      <c r="BB718" s="563"/>
      <c r="BD718" s="560" t="s">
        <v>1176</v>
      </c>
      <c r="BE718" s="560">
        <v>0.45</v>
      </c>
      <c r="BO718" s="605"/>
      <c r="BP718" s="605"/>
      <c r="BQ718" s="658"/>
      <c r="BR718" s="658"/>
    </row>
    <row r="719" spans="16:70" s="560" customFormat="1">
      <c r="P719" s="561"/>
      <c r="Q719" s="562"/>
      <c r="R719" s="562">
        <v>0.8</v>
      </c>
      <c r="S719" s="562"/>
      <c r="T719" s="562"/>
      <c r="U719" s="562"/>
      <c r="V719" s="562"/>
      <c r="W719" s="562"/>
      <c r="X719" s="562"/>
      <c r="Y719" s="562"/>
      <c r="Z719" s="562"/>
      <c r="AA719" s="562"/>
      <c r="AB719" s="562"/>
      <c r="AC719" s="607" t="s">
        <v>815</v>
      </c>
      <c r="AD719" s="608" t="s">
        <v>816</v>
      </c>
      <c r="AE719" s="561"/>
      <c r="AF719" s="562"/>
      <c r="AG719" s="562"/>
      <c r="AH719" s="562"/>
      <c r="AI719" s="562"/>
      <c r="AJ719" s="562"/>
      <c r="AK719" s="562"/>
      <c r="AL719" s="562"/>
      <c r="AM719" s="562"/>
      <c r="AN719" s="562"/>
      <c r="AO719" s="562"/>
      <c r="AP719" s="562"/>
      <c r="AQ719" s="562"/>
      <c r="AR719" s="562"/>
      <c r="AS719" s="562"/>
      <c r="AT719" s="562"/>
      <c r="AU719" s="562"/>
      <c r="AV719" s="562"/>
      <c r="AW719" s="562"/>
      <c r="AX719" s="562"/>
      <c r="AY719" s="562"/>
      <c r="AZ719" s="562"/>
      <c r="BA719" s="562"/>
      <c r="BB719" s="563"/>
      <c r="BE719" s="560">
        <v>0.17</v>
      </c>
      <c r="BO719" s="605"/>
      <c r="BP719" s="605"/>
      <c r="BQ719" s="658"/>
      <c r="BR719" s="658"/>
    </row>
    <row r="720" spans="16:70" s="560" customFormat="1">
      <c r="P720" s="561"/>
      <c r="Q720" s="562"/>
      <c r="R720" s="562">
        <v>0.7</v>
      </c>
      <c r="S720" s="562"/>
      <c r="T720" s="562"/>
      <c r="U720" s="562"/>
      <c r="V720" s="562"/>
      <c r="W720" s="562"/>
      <c r="X720" s="562"/>
      <c r="Y720" s="562"/>
      <c r="Z720" s="562"/>
      <c r="AA720" s="562"/>
      <c r="AB720" s="562"/>
      <c r="AC720" s="562"/>
      <c r="AD720" s="563"/>
      <c r="AE720" s="561"/>
      <c r="AF720" s="562"/>
      <c r="AG720" s="562"/>
      <c r="AH720" s="562"/>
      <c r="AI720" s="562"/>
      <c r="AJ720" s="562"/>
      <c r="AK720" s="562"/>
      <c r="AL720" s="562"/>
      <c r="AM720" s="562"/>
      <c r="AN720" s="562"/>
      <c r="AO720" s="562"/>
      <c r="AP720" s="562"/>
      <c r="AQ720" s="562"/>
      <c r="AR720" s="562"/>
      <c r="AS720" s="562"/>
      <c r="AT720" s="562"/>
      <c r="AU720" s="562"/>
      <c r="AV720" s="562"/>
      <c r="AW720" s="562"/>
      <c r="AX720" s="562"/>
      <c r="AY720" s="562"/>
      <c r="AZ720" s="562"/>
      <c r="BA720" s="562"/>
      <c r="BB720" s="563"/>
      <c r="BE720" s="560">
        <v>2.5000000000000001E-2</v>
      </c>
      <c r="BO720" s="605"/>
      <c r="BP720" s="605"/>
      <c r="BQ720" s="658"/>
      <c r="BR720" s="658"/>
    </row>
    <row r="721" spans="17:70" s="560" customFormat="1">
      <c r="Q721" s="562"/>
      <c r="R721" s="562">
        <v>0.7</v>
      </c>
      <c r="S721" s="562"/>
      <c r="T721" s="562"/>
      <c r="U721" s="562"/>
      <c r="V721" s="562"/>
      <c r="W721" s="562"/>
      <c r="X721" s="562"/>
      <c r="Y721" s="562"/>
      <c r="Z721" s="562"/>
      <c r="AA721" s="562"/>
      <c r="AB721" s="562"/>
      <c r="AC721" s="562"/>
      <c r="AD721" s="563"/>
      <c r="AE721" s="561"/>
      <c r="AF721" s="562"/>
      <c r="AG721" s="562"/>
      <c r="AH721" s="562"/>
      <c r="AI721" s="562"/>
      <c r="AJ721" s="562"/>
      <c r="AK721" s="562"/>
      <c r="AL721" s="562"/>
      <c r="AM721" s="562"/>
      <c r="AN721" s="562"/>
      <c r="AO721" s="562"/>
      <c r="AP721" s="562"/>
      <c r="AQ721" s="562"/>
      <c r="AR721" s="562"/>
      <c r="AS721" s="562"/>
      <c r="AT721" s="562"/>
      <c r="AU721" s="562"/>
      <c r="AV721" s="562"/>
      <c r="AW721" s="562"/>
      <c r="AX721" s="562"/>
      <c r="AY721" s="562"/>
      <c r="AZ721" s="562"/>
      <c r="BA721" s="562"/>
      <c r="BB721" s="563"/>
      <c r="BE721" s="560" t="s">
        <v>1177</v>
      </c>
      <c r="BO721" s="605"/>
      <c r="BP721" s="605"/>
      <c r="BQ721" s="658"/>
      <c r="BR721" s="658"/>
    </row>
    <row r="722" spans="17:70" s="560" customFormat="1">
      <c r="Q722" s="562"/>
      <c r="R722" s="562">
        <v>0.75</v>
      </c>
      <c r="S722" s="562"/>
      <c r="T722" s="562"/>
      <c r="U722" s="562"/>
      <c r="V722" s="562"/>
      <c r="W722" s="562"/>
      <c r="X722" s="562"/>
      <c r="Y722" s="562"/>
      <c r="Z722" s="562"/>
      <c r="AA722" s="562"/>
      <c r="AB722" s="562"/>
      <c r="AC722" s="562"/>
      <c r="AD722" s="563"/>
      <c r="AE722" s="561"/>
      <c r="AF722" s="562"/>
      <c r="AG722" s="562"/>
      <c r="AH722" s="562"/>
      <c r="AI722" s="562"/>
      <c r="AJ722" s="562"/>
      <c r="AK722" s="562"/>
      <c r="AL722" s="562"/>
      <c r="AM722" s="562"/>
      <c r="AN722" s="562"/>
      <c r="AO722" s="562"/>
      <c r="AP722" s="562"/>
      <c r="AQ722" s="562"/>
      <c r="AR722" s="562"/>
      <c r="AS722" s="562"/>
      <c r="AT722" s="562"/>
      <c r="AU722" s="562"/>
      <c r="AV722" s="562"/>
      <c r="AW722" s="562"/>
      <c r="AX722" s="562"/>
      <c r="AY722" s="562"/>
      <c r="AZ722" s="562"/>
      <c r="BA722" s="562"/>
      <c r="BB722" s="563"/>
      <c r="BD722" s="560" t="s">
        <v>1153</v>
      </c>
      <c r="BE722" s="560">
        <v>0.15</v>
      </c>
      <c r="BO722" s="605"/>
      <c r="BP722" s="605"/>
      <c r="BQ722" s="658"/>
      <c r="BR722" s="658"/>
    </row>
    <row r="723" spans="17:70" s="560" customFormat="1">
      <c r="Q723" s="562" t="s">
        <v>821</v>
      </c>
      <c r="R723" s="562"/>
      <c r="S723" s="562"/>
      <c r="T723" s="562"/>
      <c r="U723" s="562"/>
      <c r="V723" s="562"/>
      <c r="W723" s="562"/>
      <c r="X723" s="562"/>
      <c r="Y723" s="562"/>
      <c r="Z723" s="562"/>
      <c r="AA723" s="562"/>
      <c r="AB723" s="562"/>
      <c r="AC723" s="562"/>
      <c r="AD723" s="563"/>
      <c r="AE723" s="561"/>
      <c r="AF723" s="562"/>
      <c r="AG723" s="562"/>
      <c r="AH723" s="562"/>
      <c r="AI723" s="562"/>
      <c r="AJ723" s="562"/>
      <c r="AK723" s="562"/>
      <c r="AL723" s="562"/>
      <c r="AM723" s="562"/>
      <c r="AN723" s="562"/>
      <c r="AO723" s="562"/>
      <c r="AP723" s="562"/>
      <c r="AQ723" s="562"/>
      <c r="AR723" s="562"/>
      <c r="AS723" s="562"/>
      <c r="AT723" s="562"/>
      <c r="AU723" s="562"/>
      <c r="AV723" s="562"/>
      <c r="AW723" s="562"/>
      <c r="AX723" s="562"/>
      <c r="AY723" s="562"/>
      <c r="AZ723" s="562"/>
      <c r="BA723" s="562"/>
      <c r="BB723" s="563"/>
      <c r="BE723" s="560">
        <v>0.13</v>
      </c>
      <c r="BO723" s="605"/>
      <c r="BP723" s="605"/>
      <c r="BQ723" s="658"/>
      <c r="BR723" s="658"/>
    </row>
    <row r="724" spans="17:70" s="560" customFormat="1">
      <c r="Q724" s="562"/>
      <c r="R724" s="562">
        <v>0.75</v>
      </c>
      <c r="S724" s="562"/>
      <c r="T724" s="562"/>
      <c r="U724" s="562"/>
      <c r="V724" s="562"/>
      <c r="W724" s="562"/>
      <c r="X724" s="562"/>
      <c r="Y724" s="562"/>
      <c r="Z724" s="562"/>
      <c r="AA724" s="562"/>
      <c r="AB724" s="562"/>
      <c r="AC724" s="562"/>
      <c r="AD724" s="563"/>
      <c r="AE724" s="561"/>
      <c r="AF724" s="562"/>
      <c r="AG724" s="562"/>
      <c r="AH724" s="562"/>
      <c r="AI724" s="562"/>
      <c r="AJ724" s="562"/>
      <c r="AK724" s="562"/>
      <c r="AL724" s="562"/>
      <c r="AM724" s="562"/>
      <c r="AN724" s="562"/>
      <c r="AO724" s="562"/>
      <c r="AP724" s="562"/>
      <c r="AQ724" s="562"/>
      <c r="AR724" s="562"/>
      <c r="AS724" s="562"/>
      <c r="AT724" s="562"/>
      <c r="AU724" s="562"/>
      <c r="AV724" s="562"/>
      <c r="AW724" s="562"/>
      <c r="AX724" s="562"/>
      <c r="AY724" s="562"/>
      <c r="AZ724" s="562"/>
      <c r="BA724" s="562"/>
      <c r="BB724" s="563"/>
      <c r="BE724" s="560">
        <v>0.15</v>
      </c>
      <c r="BO724" s="605"/>
      <c r="BP724" s="605"/>
      <c r="BQ724" s="658"/>
      <c r="BR724" s="658"/>
    </row>
    <row r="725" spans="17:70" s="560" customFormat="1">
      <c r="Q725" s="562"/>
      <c r="R725" s="562">
        <v>0.8</v>
      </c>
      <c r="S725" s="562"/>
      <c r="T725" s="562"/>
      <c r="U725" s="562"/>
      <c r="V725" s="562"/>
      <c r="W725" s="562"/>
      <c r="X725" s="562"/>
      <c r="Y725" s="562"/>
      <c r="Z725" s="562"/>
      <c r="AA725" s="562"/>
      <c r="AB725" s="562"/>
      <c r="AC725" s="562"/>
      <c r="AD725" s="563"/>
      <c r="AE725" s="561"/>
      <c r="AF725" s="562"/>
      <c r="AG725" s="562"/>
      <c r="AH725" s="562"/>
      <c r="AI725" s="562"/>
      <c r="AJ725" s="562"/>
      <c r="AK725" s="562"/>
      <c r="AL725" s="562"/>
      <c r="AM725" s="562"/>
      <c r="AN725" s="562"/>
      <c r="AO725" s="562"/>
      <c r="AP725" s="562"/>
      <c r="AQ725" s="562"/>
      <c r="AR725" s="562"/>
      <c r="AS725" s="562"/>
      <c r="AT725" s="562"/>
      <c r="AU725" s="562"/>
      <c r="AV725" s="562"/>
      <c r="AW725" s="562"/>
      <c r="AX725" s="562"/>
      <c r="AY725" s="562"/>
      <c r="AZ725" s="562"/>
      <c r="BA725" s="562"/>
      <c r="BB725" s="563"/>
      <c r="BE725" s="560">
        <v>0.1</v>
      </c>
      <c r="BO725" s="605"/>
      <c r="BP725" s="605"/>
      <c r="BQ725" s="658"/>
      <c r="BR725" s="658"/>
    </row>
    <row r="726" spans="17:70" s="560" customFormat="1">
      <c r="Q726" s="562"/>
      <c r="R726" s="562">
        <v>0.8</v>
      </c>
      <c r="S726" s="562"/>
      <c r="T726" s="562"/>
      <c r="U726" s="562"/>
      <c r="V726" s="562"/>
      <c r="W726" s="562"/>
      <c r="X726" s="562"/>
      <c r="Y726" s="562"/>
      <c r="Z726" s="562"/>
      <c r="AA726" s="562"/>
      <c r="AB726" s="562"/>
      <c r="AC726" s="562"/>
      <c r="AD726" s="563"/>
      <c r="AE726" s="561"/>
      <c r="AF726" s="562"/>
      <c r="AG726" s="562"/>
      <c r="AH726" s="562"/>
      <c r="AI726" s="562"/>
      <c r="AJ726" s="562"/>
      <c r="AK726" s="562"/>
      <c r="AL726" s="562"/>
      <c r="AM726" s="562"/>
      <c r="AN726" s="562"/>
      <c r="AO726" s="562"/>
      <c r="AP726" s="562"/>
      <c r="AQ726" s="562"/>
      <c r="AR726" s="562"/>
      <c r="AS726" s="562"/>
      <c r="AT726" s="562"/>
      <c r="AU726" s="562"/>
      <c r="AV726" s="562"/>
      <c r="AW726" s="562"/>
      <c r="AX726" s="562"/>
      <c r="AY726" s="562"/>
      <c r="AZ726" s="562"/>
      <c r="BA726" s="562"/>
      <c r="BB726" s="563"/>
      <c r="BD726" s="560" t="s">
        <v>1154</v>
      </c>
      <c r="BE726" s="560">
        <v>0</v>
      </c>
      <c r="BO726" s="605"/>
      <c r="BP726" s="605"/>
      <c r="BQ726" s="658"/>
      <c r="BR726" s="658"/>
    </row>
    <row r="727" spans="17:70" s="560" customFormat="1">
      <c r="Q727" s="562"/>
      <c r="R727" s="562">
        <v>0.7</v>
      </c>
      <c r="S727" s="562"/>
      <c r="T727" s="562"/>
      <c r="U727" s="562"/>
      <c r="V727" s="562"/>
      <c r="W727" s="562"/>
      <c r="X727" s="562"/>
      <c r="Y727" s="562"/>
      <c r="Z727" s="562"/>
      <c r="AA727" s="562"/>
      <c r="AB727" s="562"/>
      <c r="AC727" s="562"/>
      <c r="AD727" s="563"/>
      <c r="AE727" s="561"/>
      <c r="AF727" s="562"/>
      <c r="AG727" s="562"/>
      <c r="AH727" s="562"/>
      <c r="AI727" s="562"/>
      <c r="AJ727" s="562"/>
      <c r="AK727" s="562"/>
      <c r="AL727" s="562"/>
      <c r="AM727" s="562"/>
      <c r="AN727" s="562"/>
      <c r="AO727" s="562"/>
      <c r="AP727" s="562"/>
      <c r="AQ727" s="562"/>
      <c r="AR727" s="562"/>
      <c r="AS727" s="562"/>
      <c r="AT727" s="562"/>
      <c r="AU727" s="562"/>
      <c r="AV727" s="562"/>
      <c r="AW727" s="562"/>
      <c r="AX727" s="562"/>
      <c r="AY727" s="562"/>
      <c r="AZ727" s="562"/>
      <c r="BA727" s="562"/>
      <c r="BB727" s="563"/>
      <c r="BE727" s="560">
        <v>0</v>
      </c>
      <c r="BO727" s="605"/>
      <c r="BP727" s="605"/>
      <c r="BQ727" s="658"/>
      <c r="BR727" s="658"/>
    </row>
    <row r="728" spans="17:70" s="560" customFormat="1">
      <c r="Q728" s="562"/>
      <c r="R728" s="562">
        <v>0.7</v>
      </c>
      <c r="S728" s="562"/>
      <c r="T728" s="562"/>
      <c r="U728" s="562"/>
      <c r="V728" s="562"/>
      <c r="W728" s="562"/>
      <c r="X728" s="562"/>
      <c r="Y728" s="562"/>
      <c r="Z728" s="562"/>
      <c r="AA728" s="562"/>
      <c r="AB728" s="562"/>
      <c r="AC728" s="562"/>
      <c r="AD728" s="563"/>
      <c r="AE728" s="561"/>
      <c r="AF728" s="562"/>
      <c r="AG728" s="562"/>
      <c r="AH728" s="562"/>
      <c r="AI728" s="562"/>
      <c r="AJ728" s="562"/>
      <c r="AK728" s="562"/>
      <c r="AL728" s="562"/>
      <c r="AM728" s="562"/>
      <c r="AN728" s="562"/>
      <c r="AO728" s="562"/>
      <c r="AP728" s="562"/>
      <c r="AQ728" s="562"/>
      <c r="AR728" s="562"/>
      <c r="AS728" s="562"/>
      <c r="AT728" s="562"/>
      <c r="AU728" s="562"/>
      <c r="AV728" s="562"/>
      <c r="AW728" s="562"/>
      <c r="AX728" s="562"/>
      <c r="AY728" s="562"/>
      <c r="AZ728" s="562"/>
      <c r="BA728" s="562"/>
      <c r="BB728" s="563"/>
      <c r="BE728" s="560">
        <v>0.03</v>
      </c>
      <c r="BO728" s="605"/>
      <c r="BP728" s="605"/>
      <c r="BQ728" s="658"/>
      <c r="BR728" s="658"/>
    </row>
    <row r="729" spans="17:70" s="560" customFormat="1">
      <c r="Q729" s="562"/>
      <c r="R729" s="562">
        <v>0.7</v>
      </c>
      <c r="S729" s="562"/>
      <c r="T729" s="562"/>
      <c r="U729" s="562"/>
      <c r="V729" s="562"/>
      <c r="W729" s="562"/>
      <c r="X729" s="562"/>
      <c r="Y729" s="562"/>
      <c r="Z729" s="562"/>
      <c r="AA729" s="562"/>
      <c r="AB729" s="562"/>
      <c r="AC729" s="562"/>
      <c r="AD729" s="563"/>
      <c r="AE729" s="561"/>
      <c r="AF729" s="562"/>
      <c r="AG729" s="562"/>
      <c r="AH729" s="562"/>
      <c r="AI729" s="562"/>
      <c r="AJ729" s="562"/>
      <c r="AK729" s="562"/>
      <c r="AL729" s="562"/>
      <c r="AM729" s="562"/>
      <c r="AN729" s="562"/>
      <c r="AO729" s="562"/>
      <c r="AP729" s="562"/>
      <c r="AQ729" s="562"/>
      <c r="AR729" s="562"/>
      <c r="AS729" s="562"/>
      <c r="AT729" s="562"/>
      <c r="AU729" s="562"/>
      <c r="AV729" s="562"/>
      <c r="AW729" s="562"/>
      <c r="AX729" s="562"/>
      <c r="AY729" s="562"/>
      <c r="AZ729" s="562"/>
      <c r="BA729" s="562"/>
      <c r="BB729" s="563"/>
      <c r="BE729" s="560">
        <v>0.12</v>
      </c>
      <c r="BO729" s="605"/>
      <c r="BP729" s="605"/>
      <c r="BQ729" s="658"/>
      <c r="BR729" s="658"/>
    </row>
    <row r="730" spans="17:70" s="560" customFormat="1">
      <c r="Q730" s="562"/>
      <c r="R730" s="562">
        <v>0.7</v>
      </c>
      <c r="S730" s="562"/>
      <c r="T730" s="562"/>
      <c r="U730" s="562"/>
      <c r="V730" s="562"/>
      <c r="W730" s="562"/>
      <c r="X730" s="562"/>
      <c r="Y730" s="562"/>
      <c r="Z730" s="562"/>
      <c r="AA730" s="562"/>
      <c r="AB730" s="562"/>
      <c r="AC730" s="562"/>
      <c r="AD730" s="563"/>
      <c r="AE730" s="561"/>
      <c r="AF730" s="562"/>
      <c r="AG730" s="562"/>
      <c r="AH730" s="562"/>
      <c r="AI730" s="562"/>
      <c r="AJ730" s="562"/>
      <c r="AK730" s="562"/>
      <c r="AL730" s="562"/>
      <c r="AM730" s="562"/>
      <c r="AN730" s="562"/>
      <c r="AO730" s="562"/>
      <c r="AP730" s="562"/>
      <c r="AQ730" s="562"/>
      <c r="AR730" s="562"/>
      <c r="AS730" s="562"/>
      <c r="AT730" s="562"/>
      <c r="AU730" s="562"/>
      <c r="AV730" s="562"/>
      <c r="AW730" s="562"/>
      <c r="AX730" s="562"/>
      <c r="AY730" s="562"/>
      <c r="AZ730" s="562"/>
      <c r="BA730" s="562"/>
      <c r="BB730" s="563"/>
      <c r="BD730" s="560" t="s">
        <v>1155</v>
      </c>
      <c r="BE730" s="560">
        <v>0.14000000000000001</v>
      </c>
      <c r="BO730" s="605"/>
      <c r="BP730" s="605"/>
      <c r="BQ730" s="658"/>
      <c r="BR730" s="658"/>
    </row>
    <row r="731" spans="17:70" s="560" customFormat="1">
      <c r="Q731" s="562"/>
      <c r="R731" s="562">
        <v>0.65</v>
      </c>
      <c r="S731" s="562"/>
      <c r="T731" s="562"/>
      <c r="U731" s="562"/>
      <c r="V731" s="562"/>
      <c r="W731" s="562"/>
      <c r="X731" s="562"/>
      <c r="Y731" s="562"/>
      <c r="Z731" s="562"/>
      <c r="AA731" s="562"/>
      <c r="AB731" s="562"/>
      <c r="AC731" s="562"/>
      <c r="AD731" s="563"/>
      <c r="AE731" s="561"/>
      <c r="AF731" s="562"/>
      <c r="AG731" s="562"/>
      <c r="AH731" s="562"/>
      <c r="AI731" s="562"/>
      <c r="AJ731" s="562"/>
      <c r="AK731" s="562"/>
      <c r="AL731" s="562"/>
      <c r="AM731" s="562"/>
      <c r="AN731" s="562"/>
      <c r="AO731" s="562"/>
      <c r="AP731" s="562"/>
      <c r="AQ731" s="562"/>
      <c r="AR731" s="562"/>
      <c r="AS731" s="562"/>
      <c r="AT731" s="562"/>
      <c r="AU731" s="562"/>
      <c r="AV731" s="562"/>
      <c r="AW731" s="562"/>
      <c r="AX731" s="562"/>
      <c r="AY731" s="562"/>
      <c r="AZ731" s="562"/>
      <c r="BA731" s="562"/>
      <c r="BB731" s="563"/>
      <c r="BE731" s="560">
        <v>0.12</v>
      </c>
      <c r="BO731" s="605"/>
      <c r="BP731" s="605"/>
      <c r="BQ731" s="658"/>
      <c r="BR731" s="658"/>
    </row>
    <row r="732" spans="17:70" s="560" customFormat="1">
      <c r="Q732" s="562"/>
      <c r="R732" s="562">
        <v>0.8</v>
      </c>
      <c r="S732" s="562"/>
      <c r="T732" s="562"/>
      <c r="U732" s="562"/>
      <c r="V732" s="562"/>
      <c r="W732" s="562"/>
      <c r="X732" s="562"/>
      <c r="Y732" s="562"/>
      <c r="Z732" s="562"/>
      <c r="AA732" s="562"/>
      <c r="AB732" s="562"/>
      <c r="AC732" s="562"/>
      <c r="AD732" s="563"/>
      <c r="AE732" s="561"/>
      <c r="AF732" s="562"/>
      <c r="AG732" s="562"/>
      <c r="AH732" s="562"/>
      <c r="AI732" s="562"/>
      <c r="AJ732" s="562"/>
      <c r="AK732" s="562"/>
      <c r="AL732" s="562"/>
      <c r="AM732" s="562"/>
      <c r="AN732" s="562"/>
      <c r="AO732" s="562"/>
      <c r="AP732" s="562"/>
      <c r="AQ732" s="562"/>
      <c r="AR732" s="562"/>
      <c r="AS732" s="562"/>
      <c r="AT732" s="562"/>
      <c r="AU732" s="562"/>
      <c r="AV732" s="562"/>
      <c r="AW732" s="562"/>
      <c r="AX732" s="562"/>
      <c r="AY732" s="562"/>
      <c r="AZ732" s="562"/>
      <c r="BA732" s="562"/>
      <c r="BB732" s="563"/>
      <c r="BE732" s="560">
        <v>7.4999999999999997E-2</v>
      </c>
      <c r="BO732" s="605"/>
      <c r="BP732" s="605"/>
      <c r="BQ732" s="658"/>
      <c r="BR732" s="658"/>
    </row>
    <row r="733" spans="17:70" s="560" customFormat="1">
      <c r="Q733" s="562"/>
      <c r="R733" s="562">
        <v>0.75</v>
      </c>
      <c r="S733" s="562"/>
      <c r="T733" s="562"/>
      <c r="U733" s="562"/>
      <c r="V733" s="562"/>
      <c r="W733" s="562"/>
      <c r="X733" s="562"/>
      <c r="Y733" s="562"/>
      <c r="Z733" s="562"/>
      <c r="AA733" s="562"/>
      <c r="AB733" s="562"/>
      <c r="AC733" s="562"/>
      <c r="AD733" s="563"/>
      <c r="AE733" s="561"/>
      <c r="AF733" s="562"/>
      <c r="AG733" s="562"/>
      <c r="AH733" s="562"/>
      <c r="AI733" s="562"/>
      <c r="AJ733" s="562"/>
      <c r="AK733" s="562"/>
      <c r="AL733" s="562"/>
      <c r="AM733" s="562"/>
      <c r="AN733" s="562"/>
      <c r="AO733" s="562"/>
      <c r="AP733" s="562"/>
      <c r="AQ733" s="562"/>
      <c r="AR733" s="562"/>
      <c r="AS733" s="562"/>
      <c r="AT733" s="562"/>
      <c r="AU733" s="562"/>
      <c r="AV733" s="562"/>
      <c r="AW733" s="562"/>
      <c r="AX733" s="562"/>
      <c r="AY733" s="562"/>
      <c r="AZ733" s="562"/>
      <c r="BA733" s="562"/>
      <c r="BB733" s="563"/>
      <c r="BE733" s="560">
        <v>7.4999999999999997E-2</v>
      </c>
      <c r="BO733" s="605"/>
      <c r="BP733" s="605"/>
      <c r="BQ733" s="658"/>
      <c r="BR733" s="658"/>
    </row>
    <row r="734" spans="17:70" s="560" customFormat="1">
      <c r="Q734" s="562"/>
      <c r="R734" s="562">
        <v>0.8</v>
      </c>
      <c r="S734" s="562"/>
      <c r="T734" s="562"/>
      <c r="U734" s="562"/>
      <c r="V734" s="562"/>
      <c r="W734" s="562"/>
      <c r="X734" s="562"/>
      <c r="Y734" s="562"/>
      <c r="Z734" s="562"/>
      <c r="AA734" s="562"/>
      <c r="AB734" s="562"/>
      <c r="AC734" s="562"/>
      <c r="AD734" s="563"/>
      <c r="AE734" s="561"/>
      <c r="AF734" s="562"/>
      <c r="AG734" s="562"/>
      <c r="AH734" s="562"/>
      <c r="AI734" s="562"/>
      <c r="AJ734" s="562"/>
      <c r="AK734" s="562"/>
      <c r="AL734" s="562"/>
      <c r="AM734" s="562"/>
      <c r="AN734" s="562"/>
      <c r="AO734" s="562"/>
      <c r="AP734" s="562"/>
      <c r="AQ734" s="562"/>
      <c r="AR734" s="562"/>
      <c r="AS734" s="562"/>
      <c r="AT734" s="562"/>
      <c r="AU734" s="562"/>
      <c r="AV734" s="562"/>
      <c r="AW734" s="562"/>
      <c r="AX734" s="562"/>
      <c r="AY734" s="562"/>
      <c r="AZ734" s="562"/>
      <c r="BA734" s="562"/>
      <c r="BB734" s="563"/>
      <c r="BD734" s="560" t="s">
        <v>1156</v>
      </c>
      <c r="BE734" s="560">
        <v>7.4999999999999997E-2</v>
      </c>
      <c r="BO734" s="605"/>
      <c r="BP734" s="605"/>
      <c r="BQ734" s="658"/>
      <c r="BR734" s="658"/>
    </row>
    <row r="735" spans="17:70" s="560" customFormat="1">
      <c r="Q735" s="562"/>
      <c r="R735" s="562">
        <v>0.7</v>
      </c>
      <c r="S735" s="562"/>
      <c r="T735" s="562"/>
      <c r="U735" s="562"/>
      <c r="V735" s="562"/>
      <c r="W735" s="562"/>
      <c r="X735" s="562"/>
      <c r="Y735" s="562"/>
      <c r="Z735" s="562"/>
      <c r="AA735" s="562"/>
      <c r="AB735" s="562"/>
      <c r="AC735" s="562"/>
      <c r="AD735" s="563"/>
      <c r="AE735" s="561"/>
      <c r="AF735" s="562"/>
      <c r="AG735" s="562"/>
      <c r="AH735" s="562"/>
      <c r="AI735" s="562"/>
      <c r="AJ735" s="562"/>
      <c r="AK735" s="562"/>
      <c r="AL735" s="562"/>
      <c r="AM735" s="562"/>
      <c r="AN735" s="562"/>
      <c r="AO735" s="562"/>
      <c r="AP735" s="562"/>
      <c r="AQ735" s="562"/>
      <c r="AR735" s="562"/>
      <c r="AS735" s="562"/>
      <c r="AT735" s="562"/>
      <c r="AU735" s="562"/>
      <c r="AV735" s="562"/>
      <c r="AW735" s="562"/>
      <c r="AX735" s="562"/>
      <c r="AY735" s="562"/>
      <c r="AZ735" s="562"/>
      <c r="BA735" s="562"/>
      <c r="BB735" s="563"/>
      <c r="BE735" s="560">
        <v>0.05</v>
      </c>
      <c r="BO735" s="605"/>
      <c r="BP735" s="605"/>
      <c r="BQ735" s="658"/>
      <c r="BR735" s="658"/>
    </row>
    <row r="736" spans="17:70" s="560" customFormat="1">
      <c r="Q736" s="562"/>
      <c r="R736" s="562">
        <v>0.8</v>
      </c>
      <c r="S736" s="562"/>
      <c r="T736" s="562"/>
      <c r="U736" s="562"/>
      <c r="V736" s="562"/>
      <c r="W736" s="562"/>
      <c r="X736" s="562"/>
      <c r="Y736" s="562"/>
      <c r="Z736" s="562"/>
      <c r="AA736" s="562"/>
      <c r="AB736" s="562"/>
      <c r="AC736" s="562"/>
      <c r="AD736" s="563"/>
      <c r="AE736" s="561"/>
      <c r="AF736" s="562"/>
      <c r="AG736" s="562"/>
      <c r="AH736" s="562"/>
      <c r="AI736" s="562"/>
      <c r="AJ736" s="562"/>
      <c r="AK736" s="562"/>
      <c r="AL736" s="562"/>
      <c r="AM736" s="562"/>
      <c r="AN736" s="562"/>
      <c r="AO736" s="562"/>
      <c r="AP736" s="562"/>
      <c r="AQ736" s="562"/>
      <c r="AR736" s="562"/>
      <c r="AS736" s="562"/>
      <c r="AT736" s="562"/>
      <c r="AU736" s="562"/>
      <c r="AV736" s="562"/>
      <c r="AW736" s="562"/>
      <c r="AX736" s="562"/>
      <c r="AY736" s="562"/>
      <c r="AZ736" s="562"/>
      <c r="BA736" s="562"/>
      <c r="BB736" s="563"/>
      <c r="BE736" s="560">
        <v>0.08</v>
      </c>
      <c r="BO736" s="605"/>
      <c r="BP736" s="605"/>
      <c r="BQ736" s="658"/>
      <c r="BR736" s="658"/>
    </row>
    <row r="737" spans="17:70" s="560" customFormat="1">
      <c r="Q737" s="562"/>
      <c r="R737" s="562">
        <v>0.75</v>
      </c>
      <c r="S737" s="562"/>
      <c r="T737" s="562"/>
      <c r="U737" s="562"/>
      <c r="V737" s="562"/>
      <c r="W737" s="562"/>
      <c r="X737" s="562"/>
      <c r="Y737" s="562"/>
      <c r="Z737" s="562"/>
      <c r="AA737" s="562"/>
      <c r="AB737" s="562"/>
      <c r="AC737" s="562"/>
      <c r="AD737" s="563"/>
      <c r="AE737" s="561"/>
      <c r="AF737" s="562"/>
      <c r="AG737" s="562"/>
      <c r="AH737" s="562"/>
      <c r="AI737" s="562"/>
      <c r="AJ737" s="562"/>
      <c r="AK737" s="562"/>
      <c r="AL737" s="562"/>
      <c r="AM737" s="562"/>
      <c r="AN737" s="562"/>
      <c r="AO737" s="562"/>
      <c r="AP737" s="562"/>
      <c r="AQ737" s="562"/>
      <c r="AR737" s="562"/>
      <c r="AS737" s="562"/>
      <c r="AT737" s="562"/>
      <c r="AU737" s="562"/>
      <c r="AV737" s="562"/>
      <c r="AW737" s="562"/>
      <c r="AX737" s="562"/>
      <c r="AY737" s="562"/>
      <c r="AZ737" s="562"/>
      <c r="BA737" s="562"/>
      <c r="BB737" s="563"/>
      <c r="BE737" s="560">
        <v>0.1</v>
      </c>
      <c r="BO737" s="605"/>
      <c r="BP737" s="605"/>
      <c r="BQ737" s="658"/>
      <c r="BR737" s="658"/>
    </row>
    <row r="738" spans="17:70" s="560" customFormat="1">
      <c r="Q738" s="562"/>
      <c r="R738" s="562">
        <v>0.75</v>
      </c>
      <c r="S738" s="562"/>
      <c r="T738" s="562"/>
      <c r="U738" s="562"/>
      <c r="V738" s="562"/>
      <c r="W738" s="562"/>
      <c r="X738" s="562"/>
      <c r="Y738" s="562"/>
      <c r="Z738" s="562"/>
      <c r="AA738" s="562"/>
      <c r="AB738" s="562"/>
      <c r="AC738" s="562"/>
      <c r="AD738" s="563"/>
      <c r="AE738" s="561"/>
      <c r="AF738" s="562"/>
      <c r="AG738" s="562"/>
      <c r="AH738" s="562"/>
      <c r="AI738" s="562"/>
      <c r="AJ738" s="562"/>
      <c r="AK738" s="562"/>
      <c r="AL738" s="562"/>
      <c r="AM738" s="562"/>
      <c r="AN738" s="562"/>
      <c r="AO738" s="562"/>
      <c r="AP738" s="562"/>
      <c r="AQ738" s="562"/>
      <c r="AR738" s="562"/>
      <c r="AS738" s="562"/>
      <c r="AT738" s="562"/>
      <c r="AU738" s="562"/>
      <c r="AV738" s="562"/>
      <c r="AW738" s="562"/>
      <c r="AX738" s="562"/>
      <c r="AY738" s="562"/>
      <c r="AZ738" s="562"/>
      <c r="BA738" s="562"/>
      <c r="BB738" s="563"/>
      <c r="BD738" s="560" t="s">
        <v>1157</v>
      </c>
      <c r="BE738" s="560">
        <v>0.16</v>
      </c>
      <c r="BO738" s="605"/>
      <c r="BP738" s="605"/>
      <c r="BQ738" s="658"/>
      <c r="BR738" s="658"/>
    </row>
    <row r="739" spans="17:70" s="560" customFormat="1">
      <c r="Q739" s="562"/>
      <c r="R739" s="562">
        <v>0.75</v>
      </c>
      <c r="S739" s="562"/>
      <c r="T739" s="562"/>
      <c r="U739" s="562"/>
      <c r="V739" s="562"/>
      <c r="W739" s="562"/>
      <c r="X739" s="562"/>
      <c r="Y739" s="562"/>
      <c r="Z739" s="562"/>
      <c r="AA739" s="562"/>
      <c r="AB739" s="562"/>
      <c r="AC739" s="562"/>
      <c r="AD739" s="563"/>
      <c r="AE739" s="561"/>
      <c r="AF739" s="562"/>
      <c r="AG739" s="562"/>
      <c r="AH739" s="562"/>
      <c r="AI739" s="562"/>
      <c r="AJ739" s="562"/>
      <c r="AK739" s="562"/>
      <c r="AL739" s="562"/>
      <c r="AM739" s="562"/>
      <c r="AN739" s="562"/>
      <c r="AO739" s="562"/>
      <c r="AP739" s="562"/>
      <c r="AQ739" s="562"/>
      <c r="AR739" s="562"/>
      <c r="AS739" s="562"/>
      <c r="AT739" s="562"/>
      <c r="AU739" s="562"/>
      <c r="AV739" s="562"/>
      <c r="AW739" s="562"/>
      <c r="AX739" s="562"/>
      <c r="AY739" s="562"/>
      <c r="AZ739" s="562"/>
      <c r="BA739" s="562"/>
      <c r="BB739" s="563"/>
      <c r="BE739" s="560">
        <v>0.17</v>
      </c>
      <c r="BO739" s="605"/>
      <c r="BP739" s="605"/>
      <c r="BQ739" s="658"/>
      <c r="BR739" s="658"/>
    </row>
    <row r="740" spans="17:70" s="560" customFormat="1">
      <c r="Q740" s="562"/>
      <c r="R740" s="562">
        <v>0.75</v>
      </c>
      <c r="S740" s="562"/>
      <c r="T740" s="562"/>
      <c r="U740" s="562"/>
      <c r="V740" s="562"/>
      <c r="W740" s="562"/>
      <c r="X740" s="562"/>
      <c r="Y740" s="562"/>
      <c r="Z740" s="562"/>
      <c r="AA740" s="562"/>
      <c r="AB740" s="562"/>
      <c r="AC740" s="562"/>
      <c r="AD740" s="563"/>
      <c r="AE740" s="561"/>
      <c r="AF740" s="562"/>
      <c r="AG740" s="562"/>
      <c r="AH740" s="562"/>
      <c r="AI740" s="562"/>
      <c r="AJ740" s="562"/>
      <c r="AK740" s="562"/>
      <c r="AL740" s="562"/>
      <c r="AM740" s="562"/>
      <c r="AN740" s="562"/>
      <c r="AO740" s="562"/>
      <c r="AP740" s="562"/>
      <c r="AQ740" s="562"/>
      <c r="AR740" s="562"/>
      <c r="AS740" s="562"/>
      <c r="AT740" s="562"/>
      <c r="AU740" s="562"/>
      <c r="AV740" s="562"/>
      <c r="AW740" s="562"/>
      <c r="AX740" s="562"/>
      <c r="AY740" s="562"/>
      <c r="AZ740" s="562"/>
      <c r="BA740" s="562"/>
      <c r="BB740" s="563"/>
      <c r="BE740" s="560">
        <v>0.15</v>
      </c>
      <c r="BO740" s="605"/>
      <c r="BP740" s="605"/>
      <c r="BQ740" s="658"/>
      <c r="BR740" s="658"/>
    </row>
    <row r="741" spans="17:70" s="560" customFormat="1">
      <c r="Q741" s="562" t="s">
        <v>799</v>
      </c>
      <c r="R741" s="562"/>
      <c r="S741" s="562"/>
      <c r="T741" s="562"/>
      <c r="U741" s="562"/>
      <c r="V741" s="562"/>
      <c r="W741" s="562"/>
      <c r="X741" s="562"/>
      <c r="Y741" s="562"/>
      <c r="Z741" s="562"/>
      <c r="AA741" s="562"/>
      <c r="AB741" s="562"/>
      <c r="AC741" s="562"/>
      <c r="AD741" s="563"/>
      <c r="AE741" s="561"/>
      <c r="AF741" s="562"/>
      <c r="AG741" s="562"/>
      <c r="AH741" s="562"/>
      <c r="AI741" s="562"/>
      <c r="AJ741" s="562"/>
      <c r="AK741" s="562"/>
      <c r="AL741" s="562"/>
      <c r="AM741" s="562"/>
      <c r="AN741" s="562"/>
      <c r="AO741" s="562"/>
      <c r="AP741" s="562"/>
      <c r="AQ741" s="562"/>
      <c r="AR741" s="562"/>
      <c r="AS741" s="562"/>
      <c r="AT741" s="562"/>
      <c r="AU741" s="562"/>
      <c r="AV741" s="562"/>
      <c r="AW741" s="562"/>
      <c r="AX741" s="562"/>
      <c r="AY741" s="562"/>
      <c r="AZ741" s="562"/>
      <c r="BA741" s="562"/>
      <c r="BB741" s="563"/>
      <c r="BE741" s="560">
        <v>0.18</v>
      </c>
      <c r="BO741" s="605"/>
      <c r="BP741" s="605"/>
      <c r="BQ741" s="658"/>
      <c r="BR741" s="658"/>
    </row>
    <row r="742" spans="17:70" s="560" customFormat="1">
      <c r="Q742" s="562"/>
      <c r="R742" s="562">
        <v>0.9</v>
      </c>
      <c r="S742" s="562"/>
      <c r="T742" s="562"/>
      <c r="U742" s="562"/>
      <c r="V742" s="562"/>
      <c r="W742" s="562"/>
      <c r="X742" s="562"/>
      <c r="Y742" s="562"/>
      <c r="Z742" s="562"/>
      <c r="AA742" s="562"/>
      <c r="AB742" s="562"/>
      <c r="AC742" s="562"/>
      <c r="AD742" s="563"/>
      <c r="AE742" s="561"/>
      <c r="AF742" s="562"/>
      <c r="AG742" s="562"/>
      <c r="AH742" s="562"/>
      <c r="AI742" s="562"/>
      <c r="AJ742" s="562"/>
      <c r="AK742" s="562"/>
      <c r="AL742" s="562"/>
      <c r="AM742" s="562"/>
      <c r="AN742" s="562"/>
      <c r="AO742" s="562"/>
      <c r="AP742" s="562"/>
      <c r="AQ742" s="562"/>
      <c r="AR742" s="562"/>
      <c r="AS742" s="562"/>
      <c r="AT742" s="562"/>
      <c r="AU742" s="562"/>
      <c r="AV742" s="562"/>
      <c r="AW742" s="562"/>
      <c r="AX742" s="562"/>
      <c r="AY742" s="562"/>
      <c r="AZ742" s="562"/>
      <c r="BA742" s="562"/>
      <c r="BB742" s="563"/>
      <c r="BD742" s="560" t="s">
        <v>1162</v>
      </c>
      <c r="BE742" s="560">
        <v>0.2</v>
      </c>
      <c r="BO742" s="605"/>
      <c r="BP742" s="605"/>
      <c r="BQ742" s="658"/>
      <c r="BR742" s="658"/>
    </row>
    <row r="743" spans="17:70" s="560" customFormat="1">
      <c r="Q743" s="562"/>
      <c r="R743" s="562">
        <v>0.9</v>
      </c>
      <c r="S743" s="562"/>
      <c r="T743" s="562"/>
      <c r="U743" s="562"/>
      <c r="V743" s="562"/>
      <c r="W743" s="562"/>
      <c r="X743" s="562"/>
      <c r="Y743" s="562"/>
      <c r="Z743" s="562"/>
      <c r="AA743" s="562"/>
      <c r="AB743" s="562"/>
      <c r="AC743" s="562"/>
      <c r="AD743" s="563"/>
      <c r="AE743" s="561"/>
      <c r="AF743" s="562"/>
      <c r="AG743" s="562"/>
      <c r="AH743" s="562"/>
      <c r="AI743" s="562"/>
      <c r="AJ743" s="562"/>
      <c r="AK743" s="562"/>
      <c r="AL743" s="562"/>
      <c r="AM743" s="562"/>
      <c r="AN743" s="562"/>
      <c r="AO743" s="562"/>
      <c r="AP743" s="562"/>
      <c r="AQ743" s="562"/>
      <c r="AR743" s="562"/>
      <c r="AS743" s="562"/>
      <c r="AT743" s="562"/>
      <c r="AU743" s="562"/>
      <c r="AV743" s="562"/>
      <c r="AW743" s="562"/>
      <c r="AX743" s="562"/>
      <c r="AY743" s="562"/>
      <c r="AZ743" s="562"/>
      <c r="BA743" s="562"/>
      <c r="BB743" s="563"/>
      <c r="BE743" s="560">
        <v>0.5</v>
      </c>
      <c r="BO743" s="605"/>
      <c r="BP743" s="605"/>
      <c r="BQ743" s="658"/>
      <c r="BR743" s="658"/>
    </row>
    <row r="744" spans="17:70" s="560" customFormat="1">
      <c r="Q744" s="562"/>
      <c r="R744" s="562">
        <v>0.75</v>
      </c>
      <c r="S744" s="562"/>
      <c r="T744" s="562"/>
      <c r="U744" s="562"/>
      <c r="V744" s="562"/>
      <c r="W744" s="562"/>
      <c r="X744" s="562"/>
      <c r="Y744" s="562"/>
      <c r="Z744" s="562"/>
      <c r="AA744" s="562"/>
      <c r="AB744" s="562"/>
      <c r="AC744" s="562"/>
      <c r="AD744" s="563"/>
      <c r="AE744" s="561"/>
      <c r="AF744" s="562"/>
      <c r="AG744" s="562"/>
      <c r="AH744" s="562"/>
      <c r="AI744" s="562"/>
      <c r="AJ744" s="562"/>
      <c r="AK744" s="562"/>
      <c r="AL744" s="562"/>
      <c r="AM744" s="562"/>
      <c r="AN744" s="562"/>
      <c r="AO744" s="562"/>
      <c r="AP744" s="562"/>
      <c r="AQ744" s="562"/>
      <c r="AR744" s="562"/>
      <c r="AS744" s="562"/>
      <c r="AT744" s="562"/>
      <c r="AU744" s="562"/>
      <c r="AV744" s="562"/>
      <c r="AW744" s="562"/>
      <c r="AX744" s="562"/>
      <c r="AY744" s="562"/>
      <c r="AZ744" s="562"/>
      <c r="BA744" s="562"/>
      <c r="BB744" s="563"/>
      <c r="BE744" s="560">
        <v>0.1</v>
      </c>
      <c r="BO744" s="605"/>
      <c r="BP744" s="605"/>
      <c r="BQ744" s="658"/>
      <c r="BR744" s="658"/>
    </row>
    <row r="745" spans="17:70" s="560" customFormat="1">
      <c r="Q745" s="562"/>
      <c r="R745" s="562">
        <v>0.7</v>
      </c>
      <c r="S745" s="562"/>
      <c r="T745" s="562"/>
      <c r="U745" s="562"/>
      <c r="V745" s="562"/>
      <c r="W745" s="562"/>
      <c r="X745" s="562"/>
      <c r="Y745" s="562"/>
      <c r="Z745" s="562"/>
      <c r="AA745" s="562"/>
      <c r="AB745" s="562"/>
      <c r="AC745" s="562"/>
      <c r="AD745" s="563"/>
      <c r="AE745" s="561"/>
      <c r="AF745" s="562"/>
      <c r="AG745" s="562"/>
      <c r="AH745" s="562"/>
      <c r="AI745" s="562"/>
      <c r="AJ745" s="562"/>
      <c r="AK745" s="562"/>
      <c r="AL745" s="562"/>
      <c r="AM745" s="562"/>
      <c r="AN745" s="562"/>
      <c r="AO745" s="562"/>
      <c r="AP745" s="562"/>
      <c r="AQ745" s="562"/>
      <c r="AR745" s="562"/>
      <c r="AS745" s="562"/>
      <c r="AT745" s="562"/>
      <c r="AU745" s="562"/>
      <c r="AV745" s="562"/>
      <c r="AW745" s="562"/>
      <c r="AX745" s="562"/>
      <c r="AY745" s="562"/>
      <c r="AZ745" s="562"/>
      <c r="BA745" s="562"/>
      <c r="BB745" s="563"/>
      <c r="BE745" s="560">
        <v>0.08</v>
      </c>
      <c r="BO745" s="605"/>
      <c r="BP745" s="605"/>
      <c r="BQ745" s="658"/>
      <c r="BR745" s="658"/>
    </row>
    <row r="746" spans="17:70" s="560" customFormat="1">
      <c r="Q746" s="562"/>
      <c r="R746" s="562">
        <v>0.75</v>
      </c>
      <c r="S746" s="562"/>
      <c r="T746" s="562"/>
      <c r="U746" s="562"/>
      <c r="V746" s="562"/>
      <c r="W746" s="562"/>
      <c r="X746" s="562"/>
      <c r="Y746" s="562"/>
      <c r="Z746" s="562"/>
      <c r="AA746" s="562"/>
      <c r="AB746" s="562"/>
      <c r="AC746" s="562"/>
      <c r="AD746" s="563"/>
      <c r="AE746" s="561"/>
      <c r="AF746" s="562"/>
      <c r="AG746" s="562"/>
      <c r="AH746" s="562"/>
      <c r="AI746" s="562"/>
      <c r="AJ746" s="562"/>
      <c r="AK746" s="562"/>
      <c r="AL746" s="562"/>
      <c r="AM746" s="562"/>
      <c r="AN746" s="562"/>
      <c r="AO746" s="562"/>
      <c r="AP746" s="562"/>
      <c r="AQ746" s="562"/>
      <c r="AR746" s="562"/>
      <c r="AS746" s="562"/>
      <c r="AT746" s="562"/>
      <c r="AU746" s="562"/>
      <c r="AV746" s="562"/>
      <c r="AW746" s="562"/>
      <c r="AX746" s="562"/>
      <c r="AY746" s="562"/>
      <c r="AZ746" s="562"/>
      <c r="BA746" s="562"/>
      <c r="BB746" s="563"/>
      <c r="BD746" s="560" t="s">
        <v>1167</v>
      </c>
      <c r="BE746" s="560">
        <v>0.15</v>
      </c>
      <c r="BO746" s="605"/>
      <c r="BP746" s="605"/>
      <c r="BQ746" s="658"/>
      <c r="BR746" s="658"/>
    </row>
    <row r="747" spans="17:70" s="560" customFormat="1">
      <c r="Q747" s="562"/>
      <c r="R747" s="562">
        <v>0.8</v>
      </c>
      <c r="S747" s="562"/>
      <c r="T747" s="562"/>
      <c r="U747" s="562"/>
      <c r="V747" s="562"/>
      <c r="W747" s="562"/>
      <c r="X747" s="562"/>
      <c r="Y747" s="562"/>
      <c r="Z747" s="562"/>
      <c r="AA747" s="562"/>
      <c r="AB747" s="562"/>
      <c r="AC747" s="562"/>
      <c r="AD747" s="563"/>
      <c r="AE747" s="561"/>
      <c r="AF747" s="562"/>
      <c r="AG747" s="562"/>
      <c r="AH747" s="562"/>
      <c r="AI747" s="562"/>
      <c r="AJ747" s="562"/>
      <c r="AK747" s="562"/>
      <c r="AL747" s="562"/>
      <c r="AM747" s="562"/>
      <c r="AN747" s="562"/>
      <c r="AO747" s="562"/>
      <c r="AP747" s="562"/>
      <c r="AQ747" s="562"/>
      <c r="AR747" s="562"/>
      <c r="AS747" s="562"/>
      <c r="AT747" s="562"/>
      <c r="AU747" s="562"/>
      <c r="AV747" s="562"/>
      <c r="AW747" s="562"/>
      <c r="AX747" s="562"/>
      <c r="AY747" s="562"/>
      <c r="AZ747" s="562"/>
      <c r="BA747" s="562"/>
      <c r="BB747" s="563"/>
      <c r="BE747" s="560">
        <v>0.18</v>
      </c>
      <c r="BO747" s="605"/>
      <c r="BP747" s="605"/>
      <c r="BQ747" s="658"/>
      <c r="BR747" s="658"/>
    </row>
    <row r="748" spans="17:70" s="560" customFormat="1">
      <c r="Q748" s="562"/>
      <c r="R748" s="562">
        <v>0.75</v>
      </c>
      <c r="S748" s="562"/>
      <c r="T748" s="562"/>
      <c r="U748" s="562"/>
      <c r="V748" s="562"/>
      <c r="W748" s="562"/>
      <c r="X748" s="562"/>
      <c r="Y748" s="562"/>
      <c r="Z748" s="562"/>
      <c r="AA748" s="562"/>
      <c r="AB748" s="562"/>
      <c r="AC748" s="562"/>
      <c r="AD748" s="563"/>
      <c r="AE748" s="561"/>
      <c r="AF748" s="562"/>
      <c r="AG748" s="562"/>
      <c r="AH748" s="562"/>
      <c r="AI748" s="562"/>
      <c r="AJ748" s="562"/>
      <c r="AK748" s="562"/>
      <c r="AL748" s="562"/>
      <c r="AM748" s="562"/>
      <c r="AN748" s="562"/>
      <c r="AO748" s="562"/>
      <c r="AP748" s="562"/>
      <c r="AQ748" s="562"/>
      <c r="AR748" s="562"/>
      <c r="AS748" s="562"/>
      <c r="AT748" s="562"/>
      <c r="AU748" s="562"/>
      <c r="AV748" s="562"/>
      <c r="AW748" s="562"/>
      <c r="AX748" s="562"/>
      <c r="AY748" s="562"/>
      <c r="AZ748" s="562"/>
      <c r="BA748" s="562"/>
      <c r="BB748" s="563"/>
      <c r="BE748" s="560">
        <v>0.15</v>
      </c>
      <c r="BO748" s="605"/>
      <c r="BP748" s="605"/>
      <c r="BQ748" s="658"/>
      <c r="BR748" s="658"/>
    </row>
    <row r="749" spans="17:70" s="560" customFormat="1">
      <c r="Q749" s="562"/>
      <c r="R749" s="562">
        <v>0.7</v>
      </c>
      <c r="S749" s="562"/>
      <c r="T749" s="562"/>
      <c r="U749" s="562"/>
      <c r="V749" s="562"/>
      <c r="W749" s="562"/>
      <c r="X749" s="562"/>
      <c r="Y749" s="562"/>
      <c r="Z749" s="562"/>
      <c r="AA749" s="562"/>
      <c r="AB749" s="562"/>
      <c r="AC749" s="562"/>
      <c r="AD749" s="563"/>
      <c r="AE749" s="561"/>
      <c r="AF749" s="562"/>
      <c r="AG749" s="562"/>
      <c r="AH749" s="562"/>
      <c r="AI749" s="562"/>
      <c r="AJ749" s="562"/>
      <c r="AK749" s="562"/>
      <c r="AL749" s="562"/>
      <c r="AM749" s="562"/>
      <c r="AN749" s="562"/>
      <c r="AO749" s="562"/>
      <c r="AP749" s="562"/>
      <c r="AQ749" s="562"/>
      <c r="AR749" s="562"/>
      <c r="AS749" s="562"/>
      <c r="AT749" s="562"/>
      <c r="AU749" s="562"/>
      <c r="AV749" s="562"/>
      <c r="AW749" s="562"/>
      <c r="AX749" s="562"/>
      <c r="AY749" s="562"/>
      <c r="AZ749" s="562"/>
      <c r="BA749" s="562"/>
      <c r="BB749" s="563"/>
      <c r="BE749" s="560">
        <v>0.14000000000000001</v>
      </c>
      <c r="BO749" s="605"/>
      <c r="BP749" s="605"/>
      <c r="BQ749" s="658"/>
      <c r="BR749" s="658"/>
    </row>
    <row r="750" spans="17:70" s="560" customFormat="1">
      <c r="Q750" s="562"/>
      <c r="R750" s="562">
        <v>0.75</v>
      </c>
      <c r="S750" s="562"/>
      <c r="T750" s="562"/>
      <c r="U750" s="562"/>
      <c r="V750" s="562"/>
      <c r="W750" s="562"/>
      <c r="X750" s="562"/>
      <c r="Y750" s="562"/>
      <c r="Z750" s="562"/>
      <c r="AA750" s="562"/>
      <c r="AB750" s="562"/>
      <c r="AC750" s="562"/>
      <c r="AD750" s="563"/>
      <c r="AE750" s="561"/>
      <c r="AF750" s="562"/>
      <c r="AG750" s="562"/>
      <c r="AH750" s="562"/>
      <c r="AI750" s="562"/>
      <c r="AJ750" s="562"/>
      <c r="AK750" s="562"/>
      <c r="AL750" s="562"/>
      <c r="AM750" s="562"/>
      <c r="AN750" s="562"/>
      <c r="AO750" s="562"/>
      <c r="AP750" s="562"/>
      <c r="AQ750" s="562"/>
      <c r="AR750" s="562"/>
      <c r="AS750" s="562"/>
      <c r="AT750" s="562"/>
      <c r="AU750" s="562"/>
      <c r="AV750" s="562"/>
      <c r="AW750" s="562"/>
      <c r="AX750" s="562"/>
      <c r="AY750" s="562"/>
      <c r="AZ750" s="562"/>
      <c r="BA750" s="562"/>
      <c r="BB750" s="563"/>
      <c r="BD750" s="560" t="s">
        <v>1168</v>
      </c>
      <c r="BE750" s="560">
        <v>0.14000000000000001</v>
      </c>
      <c r="BO750" s="605"/>
      <c r="BP750" s="605"/>
      <c r="BQ750" s="658"/>
      <c r="BR750" s="658"/>
    </row>
    <row r="751" spans="17:70" s="560" customFormat="1">
      <c r="Q751" s="562"/>
      <c r="R751" s="562">
        <v>0.75</v>
      </c>
      <c r="S751" s="562"/>
      <c r="T751" s="562"/>
      <c r="U751" s="562"/>
      <c r="V751" s="562"/>
      <c r="W751" s="562"/>
      <c r="X751" s="562"/>
      <c r="Y751" s="562"/>
      <c r="Z751" s="562"/>
      <c r="AA751" s="562"/>
      <c r="AB751" s="562"/>
      <c r="AC751" s="562"/>
      <c r="AD751" s="563"/>
      <c r="AE751" s="561"/>
      <c r="AF751" s="562"/>
      <c r="AG751" s="562"/>
      <c r="AH751" s="562"/>
      <c r="AI751" s="562"/>
      <c r="AJ751" s="562"/>
      <c r="AK751" s="562"/>
      <c r="AL751" s="562"/>
      <c r="AM751" s="562"/>
      <c r="AN751" s="562"/>
      <c r="AO751" s="562"/>
      <c r="AP751" s="562"/>
      <c r="AQ751" s="562"/>
      <c r="AR751" s="562"/>
      <c r="AS751" s="562"/>
      <c r="AT751" s="562"/>
      <c r="AU751" s="562"/>
      <c r="AV751" s="562"/>
      <c r="AW751" s="562"/>
      <c r="AX751" s="562"/>
      <c r="AY751" s="562"/>
      <c r="AZ751" s="562"/>
      <c r="BA751" s="562"/>
      <c r="BB751" s="563"/>
      <c r="BE751" s="560">
        <v>0.14000000000000001</v>
      </c>
      <c r="BO751" s="605"/>
      <c r="BP751" s="605"/>
      <c r="BQ751" s="658"/>
      <c r="BR751" s="658"/>
    </row>
    <row r="752" spans="17:70" s="560" customFormat="1">
      <c r="Q752" s="562"/>
      <c r="R752" s="562">
        <v>0.75</v>
      </c>
      <c r="S752" s="562"/>
      <c r="T752" s="562"/>
      <c r="U752" s="562"/>
      <c r="V752" s="562"/>
      <c r="W752" s="562"/>
      <c r="X752" s="562"/>
      <c r="Y752" s="562"/>
      <c r="Z752" s="562"/>
      <c r="AA752" s="562"/>
      <c r="AB752" s="562"/>
      <c r="AC752" s="562"/>
      <c r="AD752" s="563"/>
      <c r="AE752" s="561"/>
      <c r="AF752" s="562"/>
      <c r="AG752" s="562"/>
      <c r="AH752" s="562"/>
      <c r="AI752" s="562"/>
      <c r="AJ752" s="562"/>
      <c r="AK752" s="562"/>
      <c r="AL752" s="562"/>
      <c r="AM752" s="562"/>
      <c r="AN752" s="562"/>
      <c r="AO752" s="562"/>
      <c r="AP752" s="562"/>
      <c r="AQ752" s="562"/>
      <c r="AR752" s="562"/>
      <c r="AS752" s="562"/>
      <c r="AT752" s="562"/>
      <c r="AU752" s="562"/>
      <c r="AV752" s="562"/>
      <c r="AW752" s="562"/>
      <c r="AX752" s="562"/>
      <c r="AY752" s="562"/>
      <c r="AZ752" s="562"/>
      <c r="BA752" s="562"/>
      <c r="BB752" s="563"/>
      <c r="BE752" s="560">
        <v>0.1</v>
      </c>
      <c r="BO752" s="605"/>
      <c r="BP752" s="605"/>
      <c r="BQ752" s="658"/>
      <c r="BR752" s="658"/>
    </row>
    <row r="753" spans="17:73" s="560" customFormat="1">
      <c r="Q753" s="562"/>
      <c r="R753" s="562">
        <v>0.7</v>
      </c>
      <c r="S753" s="562"/>
      <c r="T753" s="562"/>
      <c r="U753" s="562"/>
      <c r="V753" s="562"/>
      <c r="W753" s="562"/>
      <c r="X753" s="562"/>
      <c r="Y753" s="562"/>
      <c r="Z753" s="562"/>
      <c r="AA753" s="562"/>
      <c r="AB753" s="562"/>
      <c r="AC753" s="562"/>
      <c r="AD753" s="563"/>
      <c r="AE753" s="561"/>
      <c r="AF753" s="562"/>
      <c r="AG753" s="562"/>
      <c r="AH753" s="562"/>
      <c r="AI753" s="562"/>
      <c r="AJ753" s="562"/>
      <c r="AK753" s="562"/>
      <c r="AL753" s="562"/>
      <c r="AM753" s="562"/>
      <c r="AN753" s="562"/>
      <c r="AO753" s="562"/>
      <c r="AP753" s="562"/>
      <c r="AQ753" s="562"/>
      <c r="AR753" s="562"/>
      <c r="AS753" s="562"/>
      <c r="AT753" s="562"/>
      <c r="AU753" s="562"/>
      <c r="AV753" s="562"/>
      <c r="AW753" s="562"/>
      <c r="AX753" s="562"/>
      <c r="AY753" s="562"/>
      <c r="AZ753" s="562"/>
      <c r="BA753" s="562"/>
      <c r="BB753" s="563"/>
      <c r="BE753" s="560">
        <v>0.17</v>
      </c>
      <c r="BO753" s="605"/>
      <c r="BP753" s="605"/>
      <c r="BQ753" s="658"/>
      <c r="BR753" s="658"/>
    </row>
    <row r="754" spans="17:73" s="560" customFormat="1">
      <c r="Q754" s="562"/>
      <c r="R754" s="562">
        <v>0.8</v>
      </c>
      <c r="S754" s="562"/>
      <c r="T754" s="562"/>
      <c r="U754" s="562"/>
      <c r="V754" s="562"/>
      <c r="W754" s="562"/>
      <c r="X754" s="562"/>
      <c r="Y754" s="562"/>
      <c r="Z754" s="562"/>
      <c r="AA754" s="562"/>
      <c r="AB754" s="562"/>
      <c r="AC754" s="562"/>
      <c r="AD754" s="563"/>
      <c r="AE754" s="561"/>
      <c r="AF754" s="562"/>
      <c r="AG754" s="562"/>
      <c r="AH754" s="562"/>
      <c r="AI754" s="562"/>
      <c r="AJ754" s="562"/>
      <c r="AK754" s="562"/>
      <c r="AL754" s="562"/>
      <c r="AM754" s="562"/>
      <c r="AN754" s="562"/>
      <c r="AO754" s="562"/>
      <c r="AP754" s="562"/>
      <c r="AQ754" s="562"/>
      <c r="AR754" s="562"/>
      <c r="AS754" s="562"/>
      <c r="AT754" s="562"/>
      <c r="AU754" s="562"/>
      <c r="AV754" s="562"/>
      <c r="AW754" s="562"/>
      <c r="AX754" s="562"/>
      <c r="AY754" s="562"/>
      <c r="AZ754" s="562"/>
      <c r="BA754" s="562"/>
      <c r="BB754" s="563"/>
      <c r="BD754" s="560" t="s">
        <v>1175</v>
      </c>
      <c r="BE754" s="560">
        <v>0.18</v>
      </c>
      <c r="BO754" s="708"/>
      <c r="BP754" s="708"/>
      <c r="BQ754" s="658"/>
      <c r="BR754" s="658"/>
    </row>
    <row r="755" spans="17:73" s="560" customFormat="1">
      <c r="Q755" s="562"/>
      <c r="R755" s="562">
        <v>0.72</v>
      </c>
      <c r="S755" s="562"/>
      <c r="T755" s="562"/>
      <c r="U755" s="562"/>
      <c r="V755" s="562"/>
      <c r="W755" s="562"/>
      <c r="X755" s="562"/>
      <c r="Y755" s="562"/>
      <c r="Z755" s="562"/>
      <c r="AA755" s="562"/>
      <c r="AB755" s="562"/>
      <c r="AC755" s="562"/>
      <c r="AD755" s="563"/>
      <c r="AE755" s="561"/>
      <c r="AF755" s="562"/>
      <c r="AG755" s="562"/>
      <c r="AH755" s="562"/>
      <c r="AI755" s="562"/>
      <c r="AJ755" s="562"/>
      <c r="AK755" s="562"/>
      <c r="AL755" s="562"/>
      <c r="AM755" s="562"/>
      <c r="AN755" s="562"/>
      <c r="AO755" s="562"/>
      <c r="AP755" s="562"/>
      <c r="AQ755" s="562"/>
      <c r="AR755" s="562"/>
      <c r="AS755" s="562"/>
      <c r="AT755" s="562"/>
      <c r="AU755" s="562"/>
      <c r="AV755" s="562"/>
      <c r="AW755" s="562"/>
      <c r="AX755" s="562"/>
      <c r="AY755" s="562"/>
      <c r="AZ755" s="562"/>
      <c r="BA755" s="562"/>
      <c r="BB755" s="563"/>
      <c r="BE755" s="560">
        <v>0.13</v>
      </c>
      <c r="BO755" s="603"/>
      <c r="BP755" s="603"/>
      <c r="BQ755" s="658"/>
      <c r="BR755" s="658"/>
    </row>
    <row r="756" spans="17:73" s="560" customFormat="1">
      <c r="Q756" s="562"/>
      <c r="R756" s="562">
        <v>0.8</v>
      </c>
      <c r="S756" s="562"/>
      <c r="T756" s="562"/>
      <c r="U756" s="562"/>
      <c r="V756" s="562"/>
      <c r="W756" s="562"/>
      <c r="X756" s="562"/>
      <c r="Y756" s="562"/>
      <c r="Z756" s="562"/>
      <c r="AA756" s="562"/>
      <c r="AB756" s="562"/>
      <c r="AC756" s="562"/>
      <c r="AD756" s="563"/>
      <c r="AE756" s="561"/>
      <c r="AF756" s="562"/>
      <c r="AG756" s="562"/>
      <c r="AH756" s="562"/>
      <c r="AI756" s="562"/>
      <c r="AJ756" s="562"/>
      <c r="AK756" s="562"/>
      <c r="AL756" s="562"/>
      <c r="AM756" s="562"/>
      <c r="AN756" s="562"/>
      <c r="AO756" s="562"/>
      <c r="AP756" s="562"/>
      <c r="AQ756" s="562"/>
      <c r="AR756" s="562"/>
      <c r="AS756" s="562"/>
      <c r="AT756" s="562"/>
      <c r="AU756" s="562"/>
      <c r="AV756" s="562"/>
      <c r="AW756" s="562"/>
      <c r="AX756" s="562"/>
      <c r="AY756" s="562"/>
      <c r="AZ756" s="562"/>
      <c r="BA756" s="562"/>
      <c r="BB756" s="563"/>
      <c r="BO756" s="611"/>
      <c r="BP756" s="611"/>
      <c r="BQ756" s="658"/>
      <c r="BR756" s="658"/>
    </row>
    <row r="757" spans="17:73" s="560" customFormat="1">
      <c r="Q757" s="562" t="s">
        <v>1019</v>
      </c>
      <c r="R757" s="562"/>
      <c r="S757" s="562"/>
      <c r="T757" s="562"/>
      <c r="U757" s="562"/>
      <c r="V757" s="562"/>
      <c r="W757" s="562"/>
      <c r="X757" s="562"/>
      <c r="Y757" s="562"/>
      <c r="Z757" s="562"/>
      <c r="AA757" s="562"/>
      <c r="AB757" s="562"/>
      <c r="AC757" s="562"/>
      <c r="AD757" s="563"/>
      <c r="AE757" s="561"/>
      <c r="AF757" s="562"/>
      <c r="AG757" s="562"/>
      <c r="AH757" s="562"/>
      <c r="AI757" s="562"/>
      <c r="AJ757" s="562"/>
      <c r="AK757" s="562"/>
      <c r="AL757" s="562"/>
      <c r="AM757" s="562"/>
      <c r="AN757" s="562"/>
      <c r="AO757" s="562"/>
      <c r="AP757" s="562"/>
      <c r="AQ757" s="562"/>
      <c r="AR757" s="562"/>
      <c r="AS757" s="562"/>
      <c r="AT757" s="562"/>
      <c r="AU757" s="562"/>
      <c r="AV757" s="562"/>
      <c r="AW757" s="562"/>
      <c r="AX757" s="562"/>
      <c r="AY757" s="562"/>
      <c r="AZ757" s="562"/>
      <c r="BA757" s="562"/>
      <c r="BB757" s="563"/>
      <c r="BO757" s="603"/>
      <c r="BP757" s="603"/>
      <c r="BQ757" s="658"/>
      <c r="BR757" s="658"/>
      <c r="BT757" s="709"/>
      <c r="BU757" s="709"/>
    </row>
    <row r="758" spans="17:73" s="560" customFormat="1">
      <c r="Q758" s="562"/>
      <c r="R758" s="562">
        <v>0.7</v>
      </c>
      <c r="S758" s="562"/>
      <c r="T758" s="562"/>
      <c r="U758" s="562"/>
      <c r="V758" s="562"/>
      <c r="W758" s="562"/>
      <c r="X758" s="562"/>
      <c r="Y758" s="562"/>
      <c r="Z758" s="562"/>
      <c r="AA758" s="562"/>
      <c r="AB758" s="562"/>
      <c r="AC758" s="562"/>
      <c r="AD758" s="563"/>
      <c r="AE758" s="561"/>
      <c r="AF758" s="562"/>
      <c r="AG758" s="562"/>
      <c r="AH758" s="562"/>
      <c r="AI758" s="562"/>
      <c r="AJ758" s="562"/>
      <c r="AK758" s="562"/>
      <c r="AL758" s="562"/>
      <c r="AM758" s="562"/>
      <c r="AN758" s="562"/>
      <c r="AO758" s="562"/>
      <c r="AP758" s="562"/>
      <c r="AQ758" s="562"/>
      <c r="AR758" s="562"/>
      <c r="AS758" s="562"/>
      <c r="AT758" s="562"/>
      <c r="AU758" s="562"/>
      <c r="AV758" s="562"/>
      <c r="AW758" s="562"/>
      <c r="AX758" s="562"/>
      <c r="AY758" s="562"/>
      <c r="AZ758" s="562"/>
      <c r="BA758" s="562"/>
      <c r="BB758" s="563"/>
      <c r="BG758" s="674" t="s">
        <v>129</v>
      </c>
      <c r="BH758" s="615" t="s">
        <v>765</v>
      </c>
      <c r="BI758" s="615" t="s">
        <v>766</v>
      </c>
      <c r="BJ758" s="616" t="s">
        <v>767</v>
      </c>
      <c r="BK758" s="617" t="s">
        <v>768</v>
      </c>
      <c r="BL758" s="674" t="s">
        <v>129</v>
      </c>
      <c r="BM758" s="618" t="s">
        <v>769</v>
      </c>
      <c r="BN758" s="674" t="s">
        <v>129</v>
      </c>
      <c r="BO758" s="619" t="s">
        <v>770</v>
      </c>
      <c r="BP758" s="619" t="s">
        <v>771</v>
      </c>
      <c r="BQ758" s="710" t="s">
        <v>772</v>
      </c>
      <c r="BR758" s="710" t="s">
        <v>773</v>
      </c>
      <c r="BS758" s="576"/>
      <c r="BT758" s="711"/>
      <c r="BU758" s="711"/>
    </row>
    <row r="759" spans="17:73" s="560" customFormat="1">
      <c r="Q759" s="562"/>
      <c r="R759" s="562">
        <v>0.65</v>
      </c>
      <c r="S759" s="562"/>
      <c r="T759" s="562"/>
      <c r="U759" s="562"/>
      <c r="V759" s="562"/>
      <c r="W759" s="562"/>
      <c r="X759" s="562"/>
      <c r="Y759" s="562"/>
      <c r="Z759" s="562"/>
      <c r="AA759" s="562"/>
      <c r="AB759" s="562"/>
      <c r="AC759" s="562"/>
      <c r="AD759" s="563"/>
      <c r="AE759" s="561"/>
      <c r="AF759" s="562"/>
      <c r="AG759" s="562"/>
      <c r="AH759" s="562"/>
      <c r="AI759" s="562"/>
      <c r="AJ759" s="562"/>
      <c r="AK759" s="562"/>
      <c r="AL759" s="562"/>
      <c r="AM759" s="562"/>
      <c r="AN759" s="562"/>
      <c r="AO759" s="562"/>
      <c r="AP759" s="562"/>
      <c r="AQ759" s="562"/>
      <c r="AR759" s="562"/>
      <c r="AS759" s="562"/>
      <c r="AT759" s="562"/>
      <c r="AU759" s="562"/>
      <c r="AV759" s="562"/>
      <c r="AW759" s="562"/>
      <c r="AX759" s="562"/>
      <c r="AY759" s="562"/>
      <c r="AZ759" s="562"/>
      <c r="BA759" s="562"/>
      <c r="BB759" s="563"/>
      <c r="BH759" s="586">
        <f>BH45+BH65+BH102+BH144+BH176+BH206+BH240+BH280+BH319+BH357+BH396+BH433+BH489+BH531+BH576+BH614</f>
        <v>76</v>
      </c>
      <c r="BI759" s="586">
        <f>BI45+BI65+BI102+BI144+BI176+BI206+BI240+BI280+BI319+BI357+BI396+BI433+BI489+BI531+BI576+BI614</f>
        <v>428</v>
      </c>
      <c r="BJ759" s="586">
        <f>BJ45+BJ65++BJ102+BJ144+BJ176+BJ206+BJ240+BJ280+BJ319+BJ357+BJ396+BJ433+BJ489+BJ531+BJ576+BJ614</f>
        <v>29</v>
      </c>
      <c r="BK759" s="586">
        <f>BK45+BK65+BK102+BK144+BK176+BK206+BK240+BK280+BK319+BK357+BK396+BK433+BK489+BK531+BK576+BK614</f>
        <v>41</v>
      </c>
      <c r="BM759" s="712">
        <f>BM45+BM102+BM144+BM176+BM206+BM240+BM280+BM319+BM357+BM396+BM433+BM489+BM531+BM614+BM576</f>
        <v>2114.3459999999995</v>
      </c>
      <c r="BO759" s="611"/>
      <c r="BP759" s="611"/>
      <c r="BQ759" s="713">
        <v>55</v>
      </c>
      <c r="BR759" s="713">
        <v>436</v>
      </c>
      <c r="BS759" s="566"/>
      <c r="BT759" s="604"/>
      <c r="BU759" s="604"/>
    </row>
    <row r="760" spans="17:73" s="560" customFormat="1">
      <c r="Q760" s="562"/>
      <c r="R760" s="562">
        <v>0.7</v>
      </c>
      <c r="S760" s="562"/>
      <c r="T760" s="562"/>
      <c r="U760" s="562"/>
      <c r="V760" s="562"/>
      <c r="W760" s="562"/>
      <c r="X760" s="562"/>
      <c r="Y760" s="562"/>
      <c r="Z760" s="562"/>
      <c r="AA760" s="562"/>
      <c r="AB760" s="562"/>
      <c r="AC760" s="562"/>
      <c r="AD760" s="563"/>
      <c r="AE760" s="561"/>
      <c r="AF760" s="562"/>
      <c r="AG760" s="562"/>
      <c r="AH760" s="562"/>
      <c r="AI760" s="562"/>
      <c r="AJ760" s="562"/>
      <c r="AK760" s="562"/>
      <c r="AL760" s="562"/>
      <c r="AM760" s="562"/>
      <c r="AN760" s="562"/>
      <c r="AO760" s="562"/>
      <c r="AP760" s="562"/>
      <c r="AQ760" s="562"/>
      <c r="AR760" s="562"/>
      <c r="AS760" s="562"/>
      <c r="AT760" s="562"/>
      <c r="AU760" s="562"/>
      <c r="AV760" s="562"/>
      <c r="AW760" s="562"/>
      <c r="AX760" s="562"/>
      <c r="AY760" s="562"/>
      <c r="AZ760" s="562"/>
      <c r="BA760" s="562"/>
      <c r="BB760" s="563"/>
      <c r="BH760" s="714" t="s">
        <v>1178</v>
      </c>
      <c r="BN760" s="566"/>
      <c r="BO760" s="603"/>
      <c r="BP760" s="603"/>
      <c r="BQ760" s="604"/>
      <c r="BR760" s="604"/>
      <c r="BS760" s="586"/>
      <c r="BT760" s="714"/>
      <c r="BU760" s="705"/>
    </row>
    <row r="761" spans="17:73" s="560" customFormat="1">
      <c r="Q761" s="562"/>
      <c r="R761" s="562">
        <v>0.65</v>
      </c>
      <c r="S761" s="562"/>
      <c r="T761" s="562"/>
      <c r="U761" s="562"/>
      <c r="V761" s="562"/>
      <c r="W761" s="562"/>
      <c r="X761" s="562"/>
      <c r="Y761" s="562"/>
      <c r="Z761" s="562"/>
      <c r="AA761" s="562"/>
      <c r="AB761" s="562"/>
      <c r="AC761" s="562"/>
      <c r="AD761" s="563"/>
      <c r="AE761" s="561"/>
      <c r="AF761" s="562"/>
      <c r="AG761" s="562"/>
      <c r="AH761" s="562"/>
      <c r="AI761" s="562"/>
      <c r="AJ761" s="562"/>
      <c r="AK761" s="562"/>
      <c r="AL761" s="562"/>
      <c r="AM761" s="562"/>
      <c r="AN761" s="562"/>
      <c r="AO761" s="562"/>
      <c r="AP761" s="562"/>
      <c r="AQ761" s="562"/>
      <c r="AR761" s="562"/>
      <c r="AS761" s="562"/>
      <c r="AT761" s="562"/>
      <c r="AU761" s="562"/>
      <c r="AV761" s="562"/>
      <c r="AW761" s="562"/>
      <c r="AX761" s="562"/>
      <c r="AY761" s="562"/>
      <c r="AZ761" s="562"/>
      <c r="BA761" s="562"/>
      <c r="BB761" s="563"/>
      <c r="BH761" s="560" t="s">
        <v>1179</v>
      </c>
      <c r="BN761" s="586"/>
      <c r="BO761" s="704"/>
      <c r="BP761" s="704"/>
      <c r="BQ761" s="714" t="s">
        <v>1180</v>
      </c>
      <c r="BR761" s="705"/>
      <c r="BS761" s="652"/>
      <c r="BT761" s="715"/>
      <c r="BU761" s="612"/>
    </row>
    <row r="762" spans="17:73" s="560" customFormat="1">
      <c r="Q762" s="562"/>
      <c r="R762" s="562">
        <v>0.7</v>
      </c>
      <c r="S762" s="562"/>
      <c r="T762" s="562"/>
      <c r="U762" s="562"/>
      <c r="V762" s="562"/>
      <c r="W762" s="562"/>
      <c r="X762" s="562"/>
      <c r="Y762" s="562"/>
      <c r="Z762" s="562"/>
      <c r="AA762" s="562"/>
      <c r="AB762" s="562"/>
      <c r="AC762" s="562"/>
      <c r="AD762" s="563"/>
      <c r="AE762" s="561"/>
      <c r="AF762" s="562"/>
      <c r="AG762" s="562"/>
      <c r="AH762" s="562"/>
      <c r="AI762" s="562"/>
      <c r="AJ762" s="562"/>
      <c r="AK762" s="562"/>
      <c r="AL762" s="562"/>
      <c r="AM762" s="562"/>
      <c r="AN762" s="562"/>
      <c r="AO762" s="562"/>
      <c r="AP762" s="562"/>
      <c r="AQ762" s="562"/>
      <c r="AR762" s="562"/>
      <c r="AS762" s="562"/>
      <c r="AT762" s="562"/>
      <c r="AU762" s="562"/>
      <c r="AV762" s="562"/>
      <c r="AW762" s="562"/>
      <c r="AX762" s="562"/>
      <c r="AY762" s="562"/>
      <c r="AZ762" s="562"/>
      <c r="BA762" s="562"/>
      <c r="BB762" s="563"/>
      <c r="BJ762" s="714" t="s">
        <v>1181</v>
      </c>
      <c r="BK762" s="714"/>
      <c r="BN762" s="652"/>
      <c r="BO762" s="611"/>
      <c r="BP762" s="611"/>
      <c r="BQ762" s="715">
        <v>0.112</v>
      </c>
      <c r="BR762" s="612"/>
    </row>
    <row r="763" spans="17:73" s="560" customFormat="1">
      <c r="Q763" s="562"/>
      <c r="R763" s="562">
        <v>0.75</v>
      </c>
      <c r="S763" s="562"/>
      <c r="T763" s="562"/>
      <c r="U763" s="562"/>
      <c r="V763" s="562"/>
      <c r="W763" s="562"/>
      <c r="X763" s="562"/>
      <c r="Y763" s="562"/>
      <c r="Z763" s="562"/>
      <c r="AA763" s="562"/>
      <c r="AB763" s="562"/>
      <c r="AC763" s="562"/>
      <c r="AD763" s="563"/>
      <c r="AE763" s="561"/>
      <c r="AF763" s="562"/>
      <c r="AG763" s="562"/>
      <c r="AH763" s="562"/>
      <c r="AI763" s="562"/>
      <c r="AJ763" s="562"/>
      <c r="AK763" s="562"/>
      <c r="AL763" s="562"/>
      <c r="AM763" s="562"/>
      <c r="AN763" s="562"/>
      <c r="AO763" s="562"/>
      <c r="AP763" s="562"/>
      <c r="AQ763" s="562"/>
      <c r="AR763" s="562"/>
      <c r="AS763" s="562"/>
      <c r="AT763" s="562"/>
      <c r="AU763" s="562"/>
      <c r="AV763" s="562"/>
      <c r="AW763" s="562"/>
      <c r="AX763" s="562"/>
      <c r="AY763" s="562"/>
      <c r="AZ763" s="562"/>
      <c r="BA763" s="562"/>
      <c r="BB763" s="563"/>
      <c r="BJ763" s="715">
        <v>5.7000000000000002E-2</v>
      </c>
      <c r="BK763" s="715"/>
      <c r="BO763" s="605"/>
      <c r="BP763" s="605"/>
    </row>
    <row r="764" spans="17:73" s="560" customFormat="1">
      <c r="Q764" s="562"/>
      <c r="R764" s="562">
        <v>0.75</v>
      </c>
      <c r="S764" s="562"/>
      <c r="T764" s="562"/>
      <c r="U764" s="562"/>
      <c r="V764" s="562"/>
      <c r="W764" s="562"/>
      <c r="X764" s="562"/>
      <c r="Y764" s="562"/>
      <c r="Z764" s="562"/>
      <c r="AA764" s="562"/>
      <c r="AB764" s="562"/>
      <c r="AC764" s="562"/>
      <c r="AD764" s="563"/>
      <c r="AE764" s="561"/>
      <c r="AF764" s="562"/>
      <c r="AG764" s="562"/>
      <c r="AH764" s="562"/>
      <c r="AI764" s="562"/>
      <c r="AJ764" s="562"/>
      <c r="AK764" s="562"/>
      <c r="AL764" s="562"/>
      <c r="AM764" s="562"/>
      <c r="AN764" s="562"/>
      <c r="AO764" s="562"/>
      <c r="AP764" s="562"/>
      <c r="AQ764" s="562"/>
      <c r="AR764" s="562"/>
      <c r="AS764" s="562"/>
      <c r="AT764" s="562"/>
      <c r="AU764" s="562"/>
      <c r="AV764" s="562"/>
      <c r="AW764" s="562"/>
      <c r="AX764" s="562"/>
      <c r="AY764" s="562"/>
      <c r="AZ764" s="562"/>
      <c r="BA764" s="562"/>
      <c r="BB764" s="563"/>
      <c r="BJ764" s="716" t="s">
        <v>1182</v>
      </c>
      <c r="BK764" s="717" t="s">
        <v>1183</v>
      </c>
      <c r="BL764" s="718"/>
      <c r="BO764" s="605"/>
      <c r="BP764" s="605"/>
    </row>
    <row r="765" spans="17:73" s="560" customFormat="1">
      <c r="Q765" s="562"/>
      <c r="R765" s="562">
        <v>0.75</v>
      </c>
      <c r="S765" s="562"/>
      <c r="T765" s="562"/>
      <c r="U765" s="562"/>
      <c r="V765" s="562"/>
      <c r="W765" s="562"/>
      <c r="X765" s="562"/>
      <c r="Y765" s="562"/>
      <c r="Z765" s="562"/>
      <c r="AA765" s="562"/>
      <c r="AB765" s="562"/>
      <c r="AC765" s="562"/>
      <c r="AD765" s="563"/>
      <c r="AE765" s="561"/>
      <c r="AF765" s="562"/>
      <c r="AG765" s="562"/>
      <c r="AH765" s="562"/>
      <c r="AI765" s="562"/>
      <c r="AJ765" s="562"/>
      <c r="AK765" s="562"/>
      <c r="AL765" s="562"/>
      <c r="AM765" s="562"/>
      <c r="AN765" s="562"/>
      <c r="AO765" s="562"/>
      <c r="AP765" s="562"/>
      <c r="AQ765" s="562"/>
      <c r="AR765" s="562"/>
      <c r="AS765" s="562"/>
      <c r="AT765" s="562"/>
      <c r="AU765" s="562"/>
      <c r="AV765" s="562"/>
      <c r="AW765" s="562"/>
      <c r="AX765" s="562"/>
      <c r="AY765" s="562"/>
      <c r="AZ765" s="562"/>
      <c r="BA765" s="562"/>
      <c r="BB765" s="563"/>
      <c r="BK765" s="719">
        <v>8.1299999999999997E-2</v>
      </c>
      <c r="BO765" s="605"/>
      <c r="BP765" s="605"/>
    </row>
    <row r="766" spans="17:73" s="560" customFormat="1">
      <c r="Q766" s="562"/>
      <c r="R766" s="562">
        <v>0.7</v>
      </c>
      <c r="S766" s="562"/>
      <c r="T766" s="562"/>
      <c r="U766" s="562"/>
      <c r="V766" s="562"/>
      <c r="W766" s="562"/>
      <c r="X766" s="562"/>
      <c r="Y766" s="562"/>
      <c r="Z766" s="562"/>
      <c r="AA766" s="562"/>
      <c r="AB766" s="562"/>
      <c r="AC766" s="562"/>
      <c r="AD766" s="563"/>
      <c r="AE766" s="561"/>
      <c r="AF766" s="562"/>
      <c r="AG766" s="562"/>
      <c r="AH766" s="562"/>
      <c r="AI766" s="562"/>
      <c r="AJ766" s="562"/>
      <c r="AK766" s="562"/>
      <c r="AL766" s="562"/>
      <c r="AM766" s="562"/>
      <c r="AN766" s="562"/>
      <c r="AO766" s="562"/>
      <c r="AP766" s="562"/>
      <c r="AQ766" s="562"/>
      <c r="AR766" s="562"/>
      <c r="AS766" s="562"/>
      <c r="AT766" s="562"/>
      <c r="AU766" s="562"/>
      <c r="AV766" s="562"/>
      <c r="AW766" s="562"/>
      <c r="AX766" s="562"/>
      <c r="AY766" s="562"/>
      <c r="AZ766" s="562"/>
      <c r="BA766" s="562"/>
      <c r="BB766" s="563"/>
      <c r="BO766" s="605"/>
      <c r="BP766" s="605"/>
    </row>
    <row r="767" spans="17:73" s="560" customFormat="1">
      <c r="Q767" s="562"/>
      <c r="R767" s="562">
        <v>0.7</v>
      </c>
      <c r="S767" s="562"/>
      <c r="T767" s="562"/>
      <c r="U767" s="562"/>
      <c r="V767" s="562"/>
      <c r="W767" s="562"/>
      <c r="X767" s="562"/>
      <c r="Y767" s="562"/>
      <c r="Z767" s="562"/>
      <c r="AA767" s="562"/>
      <c r="AB767" s="562"/>
      <c r="AC767" s="562"/>
      <c r="AD767" s="563"/>
      <c r="AE767" s="561"/>
      <c r="AF767" s="562"/>
      <c r="AG767" s="562"/>
      <c r="AH767" s="562"/>
      <c r="AI767" s="562"/>
      <c r="AJ767" s="562"/>
      <c r="AK767" s="562"/>
      <c r="AL767" s="562"/>
      <c r="AM767" s="562"/>
      <c r="AN767" s="562"/>
      <c r="AO767" s="562"/>
      <c r="AP767" s="562"/>
      <c r="AQ767" s="562"/>
      <c r="AR767" s="562"/>
      <c r="AS767" s="562"/>
      <c r="AT767" s="562"/>
      <c r="AU767" s="562"/>
      <c r="AV767" s="562"/>
      <c r="AW767" s="562"/>
      <c r="AX767" s="562"/>
      <c r="AY767" s="562"/>
      <c r="AZ767" s="562"/>
      <c r="BA767" s="562"/>
      <c r="BB767" s="563"/>
      <c r="BO767" s="605"/>
      <c r="BP767" s="605"/>
    </row>
    <row r="768" spans="17:73" s="560" customFormat="1">
      <c r="Q768" s="562"/>
      <c r="R768" s="562">
        <v>0.65</v>
      </c>
      <c r="S768" s="562"/>
      <c r="T768" s="562"/>
      <c r="U768" s="562"/>
      <c r="V768" s="562"/>
      <c r="W768" s="562"/>
      <c r="X768" s="562"/>
      <c r="Y768" s="562"/>
      <c r="Z768" s="562"/>
      <c r="AA768" s="562"/>
      <c r="AB768" s="562"/>
      <c r="AC768" s="562"/>
      <c r="AD768" s="563"/>
      <c r="AE768" s="561"/>
      <c r="AF768" s="562"/>
      <c r="AG768" s="562"/>
      <c r="AH768" s="562"/>
      <c r="AI768" s="562"/>
      <c r="AJ768" s="562"/>
      <c r="AK768" s="562"/>
      <c r="AL768" s="562"/>
      <c r="AM768" s="562"/>
      <c r="AN768" s="562"/>
      <c r="AO768" s="562"/>
      <c r="AP768" s="562"/>
      <c r="AQ768" s="562"/>
      <c r="AR768" s="562"/>
      <c r="AS768" s="562"/>
      <c r="AT768" s="562"/>
      <c r="AU768" s="562"/>
      <c r="AV768" s="562"/>
      <c r="AW768" s="562"/>
      <c r="AX768" s="562"/>
      <c r="AY768" s="562"/>
      <c r="AZ768" s="562"/>
      <c r="BA768" s="562"/>
      <c r="BB768" s="563"/>
      <c r="BJ768" s="674"/>
      <c r="BO768" s="605"/>
      <c r="BP768" s="605"/>
    </row>
    <row r="769" spans="17:68" s="560" customFormat="1">
      <c r="Q769" s="562"/>
      <c r="R769" s="562">
        <v>0.62</v>
      </c>
      <c r="S769" s="562"/>
      <c r="T769" s="562"/>
      <c r="U769" s="562"/>
      <c r="V769" s="562"/>
      <c r="W769" s="562"/>
      <c r="X769" s="562"/>
      <c r="Y769" s="562"/>
      <c r="Z769" s="562"/>
      <c r="AA769" s="562"/>
      <c r="AB769" s="562"/>
      <c r="AC769" s="562"/>
      <c r="AD769" s="563"/>
      <c r="AE769" s="561"/>
      <c r="AF769" s="562"/>
      <c r="AG769" s="562"/>
      <c r="AH769" s="562"/>
      <c r="AI769" s="562"/>
      <c r="AJ769" s="562"/>
      <c r="AK769" s="562"/>
      <c r="AL769" s="562"/>
      <c r="AM769" s="562"/>
      <c r="AN769" s="562"/>
      <c r="AO769" s="562"/>
      <c r="AP769" s="562"/>
      <c r="AQ769" s="562"/>
      <c r="AR769" s="562"/>
      <c r="AS769" s="562"/>
      <c r="AT769" s="562"/>
      <c r="AU769" s="562"/>
      <c r="AV769" s="562"/>
      <c r="AW769" s="562"/>
      <c r="AX769" s="562"/>
      <c r="AY769" s="562"/>
      <c r="AZ769" s="562"/>
      <c r="BA769" s="562"/>
      <c r="BB769" s="563"/>
      <c r="BO769" s="605"/>
      <c r="BP769" s="605"/>
    </row>
    <row r="770" spans="17:68" s="560" customFormat="1">
      <c r="Q770" s="562"/>
      <c r="R770" s="562">
        <v>0.6</v>
      </c>
      <c r="S770" s="562"/>
      <c r="T770" s="562"/>
      <c r="U770" s="562"/>
      <c r="V770" s="562"/>
      <c r="W770" s="562"/>
      <c r="X770" s="562"/>
      <c r="Y770" s="562"/>
      <c r="Z770" s="562"/>
      <c r="AA770" s="562"/>
      <c r="AB770" s="562"/>
      <c r="AC770" s="562"/>
      <c r="AD770" s="563"/>
      <c r="AE770" s="561"/>
      <c r="AF770" s="562"/>
      <c r="AG770" s="562"/>
      <c r="AH770" s="562"/>
      <c r="AI770" s="562"/>
      <c r="AJ770" s="562"/>
      <c r="AK770" s="562"/>
      <c r="AL770" s="562"/>
      <c r="AM770" s="562"/>
      <c r="AN770" s="562"/>
      <c r="AO770" s="562"/>
      <c r="AP770" s="562"/>
      <c r="AQ770" s="562"/>
      <c r="AR770" s="562"/>
      <c r="AS770" s="562"/>
      <c r="AT770" s="562"/>
      <c r="AU770" s="562"/>
      <c r="AV770" s="562"/>
      <c r="AW770" s="562"/>
      <c r="AX770" s="562"/>
      <c r="AY770" s="562"/>
      <c r="AZ770" s="562"/>
      <c r="BA770" s="562"/>
      <c r="BB770" s="563"/>
      <c r="BO770" s="605"/>
      <c r="BP770" s="605"/>
    </row>
    <row r="771" spans="17:68" s="560" customFormat="1">
      <c r="Q771" s="562"/>
      <c r="R771" s="562">
        <v>0.6</v>
      </c>
      <c r="S771" s="562"/>
      <c r="T771" s="562"/>
      <c r="U771" s="562"/>
      <c r="V771" s="562"/>
      <c r="W771" s="562"/>
      <c r="X771" s="562"/>
      <c r="Y771" s="562"/>
      <c r="Z771" s="562"/>
      <c r="AA771" s="562"/>
      <c r="AB771" s="562"/>
      <c r="AC771" s="562"/>
      <c r="AD771" s="563"/>
      <c r="AE771" s="561"/>
      <c r="AF771" s="562"/>
      <c r="AG771" s="562"/>
      <c r="AH771" s="562"/>
      <c r="AI771" s="562"/>
      <c r="AJ771" s="562"/>
      <c r="AK771" s="562"/>
      <c r="AL771" s="562"/>
      <c r="AM771" s="562"/>
      <c r="AN771" s="562"/>
      <c r="AO771" s="562"/>
      <c r="AP771" s="562"/>
      <c r="AQ771" s="562"/>
      <c r="AR771" s="562"/>
      <c r="AS771" s="562"/>
      <c r="AT771" s="562"/>
      <c r="AU771" s="562"/>
      <c r="AV771" s="562"/>
      <c r="AW771" s="562"/>
      <c r="AX771" s="562"/>
      <c r="AY771" s="562"/>
      <c r="AZ771" s="562"/>
      <c r="BA771" s="562"/>
      <c r="BB771" s="563"/>
    </row>
    <row r="772" spans="17:68" s="560" customFormat="1">
      <c r="Q772" s="562"/>
      <c r="R772" s="562">
        <v>0.6</v>
      </c>
      <c r="S772" s="562"/>
      <c r="T772" s="562"/>
      <c r="U772" s="562"/>
      <c r="V772" s="562"/>
      <c r="W772" s="562"/>
      <c r="X772" s="562"/>
      <c r="Y772" s="562"/>
      <c r="Z772" s="562"/>
      <c r="AA772" s="562"/>
      <c r="AB772" s="562"/>
      <c r="AC772" s="562"/>
      <c r="AD772" s="563"/>
      <c r="AE772" s="561"/>
      <c r="AF772" s="562"/>
      <c r="AG772" s="562"/>
      <c r="AH772" s="562"/>
      <c r="AI772" s="562"/>
      <c r="AJ772" s="562"/>
      <c r="AK772" s="562"/>
      <c r="AL772" s="562"/>
      <c r="AM772" s="562"/>
      <c r="AN772" s="562"/>
      <c r="AO772" s="562"/>
      <c r="AP772" s="562"/>
      <c r="AQ772" s="562"/>
      <c r="AR772" s="562"/>
      <c r="AS772" s="562"/>
      <c r="AT772" s="562"/>
      <c r="AU772" s="562"/>
      <c r="AV772" s="562"/>
      <c r="AW772" s="562"/>
      <c r="AX772" s="562"/>
      <c r="AY772" s="562"/>
      <c r="AZ772" s="562"/>
      <c r="BA772" s="562"/>
      <c r="BB772" s="563"/>
    </row>
    <row r="773" spans="17:68" s="560" customFormat="1">
      <c r="Q773" s="562"/>
      <c r="R773" s="562">
        <v>0.65</v>
      </c>
      <c r="S773" s="562"/>
      <c r="T773" s="562"/>
      <c r="U773" s="562"/>
      <c r="V773" s="562"/>
      <c r="W773" s="562"/>
      <c r="X773" s="562"/>
      <c r="Y773" s="562"/>
      <c r="Z773" s="562"/>
      <c r="AA773" s="562"/>
      <c r="AB773" s="562"/>
      <c r="AC773" s="562"/>
      <c r="AD773" s="563"/>
      <c r="AE773" s="561"/>
      <c r="AF773" s="562"/>
      <c r="AG773" s="562"/>
      <c r="AH773" s="562"/>
      <c r="AI773" s="562"/>
      <c r="AJ773" s="562"/>
      <c r="AK773" s="562"/>
      <c r="AL773" s="562"/>
      <c r="AM773" s="562"/>
      <c r="AN773" s="562"/>
      <c r="AO773" s="562"/>
      <c r="AP773" s="562"/>
      <c r="AQ773" s="562"/>
      <c r="AR773" s="562"/>
      <c r="AS773" s="562"/>
      <c r="AT773" s="562"/>
      <c r="AU773" s="562"/>
      <c r="AV773" s="562"/>
      <c r="AW773" s="562"/>
      <c r="AX773" s="562"/>
      <c r="AY773" s="562"/>
      <c r="AZ773" s="562"/>
      <c r="BA773" s="562"/>
      <c r="BB773" s="563"/>
    </row>
    <row r="774" spans="17:68" s="560" customFormat="1">
      <c r="Q774" s="562" t="s">
        <v>1026</v>
      </c>
      <c r="R774" s="562"/>
      <c r="S774" s="562"/>
      <c r="T774" s="562"/>
      <c r="U774" s="562"/>
      <c r="V774" s="562"/>
      <c r="W774" s="562"/>
      <c r="X774" s="562"/>
      <c r="Y774" s="562"/>
      <c r="Z774" s="562"/>
      <c r="AA774" s="562"/>
      <c r="AB774" s="562"/>
      <c r="AC774" s="562"/>
      <c r="AD774" s="563"/>
      <c r="AE774" s="561"/>
      <c r="AF774" s="562"/>
      <c r="AG774" s="562"/>
      <c r="AH774" s="562"/>
      <c r="AI774" s="562"/>
      <c r="AJ774" s="562"/>
      <c r="AK774" s="562"/>
      <c r="AL774" s="562"/>
      <c r="AM774" s="562"/>
      <c r="AN774" s="562"/>
      <c r="AO774" s="562"/>
      <c r="AP774" s="562"/>
      <c r="AQ774" s="562"/>
      <c r="AR774" s="562"/>
      <c r="AS774" s="562"/>
      <c r="AT774" s="562"/>
      <c r="AU774" s="562"/>
      <c r="AV774" s="562"/>
      <c r="AW774" s="562"/>
      <c r="AX774" s="562"/>
      <c r="AY774" s="562"/>
      <c r="AZ774" s="562"/>
      <c r="BA774" s="562"/>
      <c r="BB774" s="563"/>
    </row>
    <row r="775" spans="17:68" s="560" customFormat="1">
      <c r="Q775" s="562"/>
      <c r="R775" s="562">
        <v>0.6</v>
      </c>
      <c r="S775" s="562"/>
      <c r="T775" s="562"/>
      <c r="U775" s="562"/>
      <c r="V775" s="562"/>
      <c r="W775" s="562"/>
      <c r="X775" s="562"/>
      <c r="Y775" s="562"/>
      <c r="Z775" s="562"/>
      <c r="AA775" s="562"/>
      <c r="AB775" s="562"/>
      <c r="AC775" s="562"/>
      <c r="AD775" s="563"/>
      <c r="AE775" s="561"/>
      <c r="AF775" s="562"/>
      <c r="AG775" s="562"/>
      <c r="AH775" s="562"/>
      <c r="AI775" s="562"/>
      <c r="AJ775" s="562"/>
      <c r="AK775" s="562"/>
      <c r="AL775" s="562"/>
      <c r="AM775" s="562"/>
      <c r="AN775" s="562"/>
      <c r="AO775" s="562"/>
      <c r="AP775" s="562"/>
      <c r="AQ775" s="562"/>
      <c r="AR775" s="562"/>
      <c r="AS775" s="562"/>
      <c r="AT775" s="562"/>
      <c r="AU775" s="562"/>
      <c r="AV775" s="562"/>
      <c r="AW775" s="562"/>
      <c r="AX775" s="562"/>
      <c r="AY775" s="562"/>
      <c r="AZ775" s="562"/>
      <c r="BA775" s="562"/>
      <c r="BB775" s="563"/>
    </row>
    <row r="776" spans="17:68" s="560" customFormat="1">
      <c r="Q776" s="562"/>
      <c r="R776" s="562">
        <v>0.6</v>
      </c>
      <c r="S776" s="562"/>
      <c r="T776" s="562"/>
      <c r="U776" s="562"/>
      <c r="V776" s="562"/>
      <c r="W776" s="562"/>
      <c r="X776" s="562"/>
      <c r="Y776" s="562"/>
      <c r="Z776" s="562"/>
      <c r="AA776" s="562"/>
      <c r="AB776" s="562"/>
      <c r="AC776" s="562"/>
      <c r="AD776" s="563"/>
      <c r="AE776" s="561"/>
      <c r="AF776" s="562"/>
      <c r="AG776" s="562"/>
      <c r="AH776" s="562"/>
      <c r="AI776" s="562"/>
      <c r="AJ776" s="562"/>
      <c r="AK776" s="562"/>
      <c r="AL776" s="562"/>
      <c r="AM776" s="562"/>
      <c r="AN776" s="562"/>
      <c r="AO776" s="562"/>
      <c r="AP776" s="562"/>
      <c r="AQ776" s="562"/>
      <c r="AR776" s="562"/>
      <c r="AS776" s="562"/>
      <c r="AT776" s="562"/>
      <c r="AU776" s="562"/>
      <c r="AV776" s="562"/>
      <c r="AW776" s="562"/>
      <c r="AX776" s="562"/>
      <c r="AY776" s="562"/>
      <c r="AZ776" s="562"/>
      <c r="BA776" s="562"/>
      <c r="BB776" s="563"/>
    </row>
    <row r="777" spans="17:68" s="560" customFormat="1">
      <c r="Q777" s="562"/>
      <c r="R777" s="562">
        <v>0.65</v>
      </c>
      <c r="S777" s="562"/>
      <c r="T777" s="562"/>
      <c r="U777" s="562"/>
      <c r="V777" s="562"/>
      <c r="W777" s="562"/>
      <c r="X777" s="562"/>
      <c r="Y777" s="562"/>
      <c r="Z777" s="562"/>
      <c r="AA777" s="562"/>
      <c r="AB777" s="562"/>
      <c r="AC777" s="562"/>
      <c r="AD777" s="563"/>
      <c r="AE777" s="561"/>
      <c r="AF777" s="562"/>
      <c r="AG777" s="562"/>
      <c r="AH777" s="562"/>
      <c r="AI777" s="562"/>
      <c r="AJ777" s="562"/>
      <c r="AK777" s="562"/>
      <c r="AL777" s="562"/>
      <c r="AM777" s="562"/>
      <c r="AN777" s="562"/>
      <c r="AO777" s="562"/>
      <c r="AP777" s="562"/>
      <c r="AQ777" s="562"/>
      <c r="AR777" s="562"/>
      <c r="AS777" s="562"/>
      <c r="AT777" s="562"/>
      <c r="AU777" s="562"/>
      <c r="AV777" s="562"/>
      <c r="AW777" s="562"/>
      <c r="AX777" s="562"/>
      <c r="AY777" s="562"/>
      <c r="AZ777" s="562"/>
      <c r="BA777" s="562"/>
      <c r="BB777" s="563"/>
    </row>
    <row r="778" spans="17:68" s="560" customFormat="1">
      <c r="Q778" s="562"/>
      <c r="R778" s="562">
        <v>0.7</v>
      </c>
      <c r="S778" s="562"/>
      <c r="T778" s="562"/>
      <c r="U778" s="562"/>
      <c r="V778" s="562"/>
      <c r="W778" s="562"/>
      <c r="X778" s="562"/>
      <c r="Y778" s="562"/>
      <c r="Z778" s="562"/>
      <c r="AA778" s="562"/>
      <c r="AB778" s="562"/>
      <c r="AC778" s="562"/>
      <c r="AD778" s="563"/>
      <c r="AE778" s="561"/>
      <c r="AF778" s="562"/>
      <c r="AG778" s="562"/>
      <c r="AH778" s="562"/>
      <c r="AI778" s="562"/>
      <c r="AJ778" s="562"/>
      <c r="AK778" s="562"/>
      <c r="AL778" s="562"/>
      <c r="AM778" s="562"/>
      <c r="AN778" s="562"/>
      <c r="AO778" s="562"/>
      <c r="AP778" s="562"/>
      <c r="AQ778" s="562"/>
      <c r="AR778" s="562"/>
      <c r="AS778" s="562"/>
      <c r="AT778" s="562"/>
      <c r="AU778" s="562"/>
      <c r="AV778" s="562"/>
      <c r="AW778" s="562"/>
      <c r="AX778" s="562"/>
      <c r="AY778" s="562"/>
      <c r="AZ778" s="562"/>
      <c r="BA778" s="562"/>
      <c r="BB778" s="563"/>
    </row>
    <row r="779" spans="17:68" s="560" customFormat="1">
      <c r="Q779" s="562"/>
      <c r="R779" s="562">
        <v>0.7</v>
      </c>
      <c r="S779" s="562"/>
      <c r="T779" s="562"/>
      <c r="U779" s="562"/>
      <c r="V779" s="562"/>
      <c r="W779" s="562"/>
      <c r="X779" s="562"/>
      <c r="Y779" s="562"/>
      <c r="Z779" s="562"/>
      <c r="AA779" s="562"/>
      <c r="AB779" s="562"/>
      <c r="AC779" s="562"/>
      <c r="AD779" s="563"/>
      <c r="AE779" s="561"/>
      <c r="AF779" s="562"/>
      <c r="AG779" s="562"/>
      <c r="AH779" s="562"/>
      <c r="AI779" s="562"/>
      <c r="AJ779" s="562"/>
      <c r="AK779" s="562"/>
      <c r="AL779" s="562"/>
      <c r="AM779" s="562"/>
      <c r="AN779" s="562"/>
      <c r="AO779" s="562"/>
      <c r="AP779" s="562"/>
      <c r="AQ779" s="562"/>
      <c r="AR779" s="562"/>
      <c r="AS779" s="562"/>
      <c r="AT779" s="562"/>
      <c r="AU779" s="562"/>
      <c r="AV779" s="562"/>
      <c r="AW779" s="562"/>
      <c r="AX779" s="562"/>
      <c r="AY779" s="562"/>
      <c r="AZ779" s="562"/>
      <c r="BA779" s="562"/>
      <c r="BB779" s="563"/>
    </row>
    <row r="780" spans="17:68" s="560" customFormat="1">
      <c r="Q780" s="562"/>
      <c r="R780" s="562">
        <v>0.7</v>
      </c>
      <c r="S780" s="562"/>
      <c r="T780" s="562"/>
      <c r="U780" s="562"/>
      <c r="V780" s="562"/>
      <c r="W780" s="562"/>
      <c r="X780" s="562"/>
      <c r="Y780" s="562"/>
      <c r="Z780" s="562"/>
      <c r="AA780" s="562"/>
      <c r="AB780" s="562"/>
      <c r="AC780" s="562"/>
      <c r="AD780" s="563"/>
      <c r="AE780" s="561"/>
      <c r="AF780" s="562"/>
      <c r="AG780" s="562"/>
      <c r="AH780" s="562"/>
      <c r="AI780" s="562"/>
      <c r="AJ780" s="562"/>
      <c r="AK780" s="562"/>
      <c r="AL780" s="562"/>
      <c r="AM780" s="562"/>
      <c r="AN780" s="562"/>
      <c r="AO780" s="562"/>
      <c r="AP780" s="562"/>
      <c r="AQ780" s="562"/>
      <c r="AR780" s="562"/>
      <c r="AS780" s="562"/>
      <c r="AT780" s="562"/>
      <c r="AU780" s="562"/>
      <c r="AV780" s="562"/>
      <c r="AW780" s="562"/>
      <c r="AX780" s="562"/>
      <c r="AY780" s="562"/>
      <c r="AZ780" s="562"/>
      <c r="BA780" s="562"/>
      <c r="BB780" s="563"/>
    </row>
    <row r="781" spans="17:68" s="560" customFormat="1">
      <c r="Q781" s="562"/>
      <c r="R781" s="562">
        <v>0.7</v>
      </c>
      <c r="S781" s="562"/>
      <c r="T781" s="562"/>
      <c r="U781" s="562"/>
      <c r="V781" s="562"/>
      <c r="W781" s="562"/>
      <c r="X781" s="562"/>
      <c r="Y781" s="562"/>
      <c r="Z781" s="562"/>
      <c r="AA781" s="562"/>
      <c r="AB781" s="562"/>
      <c r="AC781" s="562"/>
      <c r="AD781" s="563"/>
      <c r="AE781" s="561"/>
      <c r="AF781" s="562"/>
      <c r="AG781" s="562"/>
      <c r="AH781" s="562"/>
      <c r="AI781" s="562"/>
      <c r="AJ781" s="562"/>
      <c r="AK781" s="562"/>
      <c r="AL781" s="562"/>
      <c r="AM781" s="562"/>
      <c r="AN781" s="562"/>
      <c r="AO781" s="562"/>
      <c r="AP781" s="562"/>
      <c r="AQ781" s="562"/>
      <c r="AR781" s="562"/>
      <c r="AS781" s="562"/>
      <c r="AT781" s="562"/>
      <c r="AU781" s="562"/>
      <c r="AV781" s="562"/>
      <c r="AW781" s="562"/>
      <c r="AX781" s="562"/>
      <c r="AY781" s="562"/>
      <c r="AZ781" s="562"/>
      <c r="BA781" s="562"/>
      <c r="BB781" s="563"/>
    </row>
    <row r="782" spans="17:68" s="560" customFormat="1">
      <c r="Q782" s="562"/>
      <c r="R782" s="562">
        <v>0.6</v>
      </c>
      <c r="S782" s="562"/>
      <c r="T782" s="562"/>
      <c r="U782" s="562"/>
      <c r="V782" s="562"/>
      <c r="W782" s="562"/>
      <c r="X782" s="562"/>
      <c r="Y782" s="562"/>
      <c r="Z782" s="562"/>
      <c r="AA782" s="562"/>
      <c r="AB782" s="562"/>
      <c r="AC782" s="562"/>
      <c r="AD782" s="563"/>
      <c r="AE782" s="561"/>
      <c r="AF782" s="562"/>
      <c r="AG782" s="562"/>
      <c r="AH782" s="562"/>
      <c r="AI782" s="562"/>
      <c r="AJ782" s="562"/>
      <c r="AK782" s="562"/>
      <c r="AL782" s="562"/>
      <c r="AM782" s="562"/>
      <c r="AN782" s="562"/>
      <c r="AO782" s="562"/>
      <c r="AP782" s="562"/>
      <c r="AQ782" s="562"/>
      <c r="AR782" s="562"/>
      <c r="AS782" s="562"/>
      <c r="AT782" s="562"/>
      <c r="AU782" s="562"/>
      <c r="AV782" s="562"/>
      <c r="AW782" s="562"/>
      <c r="AX782" s="562"/>
      <c r="AY782" s="562"/>
      <c r="AZ782" s="562"/>
      <c r="BA782" s="562"/>
      <c r="BB782" s="563"/>
    </row>
    <row r="783" spans="17:68" s="560" customFormat="1">
      <c r="Q783" s="562"/>
      <c r="R783" s="562">
        <v>0.65</v>
      </c>
      <c r="S783" s="562"/>
      <c r="T783" s="562"/>
      <c r="U783" s="562"/>
      <c r="V783" s="562"/>
      <c r="W783" s="562"/>
      <c r="X783" s="562"/>
      <c r="Y783" s="562"/>
      <c r="Z783" s="562"/>
      <c r="AA783" s="562"/>
      <c r="AB783" s="562"/>
      <c r="AC783" s="562"/>
      <c r="AD783" s="563"/>
      <c r="AE783" s="561"/>
      <c r="AF783" s="562"/>
      <c r="AG783" s="562"/>
      <c r="AH783" s="562"/>
      <c r="AI783" s="562"/>
      <c r="AJ783" s="562"/>
      <c r="AK783" s="562"/>
      <c r="AL783" s="562"/>
      <c r="AM783" s="562"/>
      <c r="AN783" s="562"/>
      <c r="AO783" s="562"/>
      <c r="AP783" s="562"/>
      <c r="AQ783" s="562"/>
      <c r="AR783" s="562"/>
      <c r="AS783" s="562"/>
      <c r="AT783" s="562"/>
      <c r="AU783" s="562"/>
      <c r="AV783" s="562"/>
      <c r="AW783" s="562"/>
      <c r="AX783" s="562"/>
      <c r="AY783" s="562"/>
      <c r="AZ783" s="562"/>
      <c r="BA783" s="562"/>
      <c r="BB783" s="563"/>
    </row>
    <row r="784" spans="17:68" s="560" customFormat="1">
      <c r="Q784" s="562"/>
      <c r="R784" s="562">
        <v>0.7</v>
      </c>
      <c r="S784" s="562"/>
      <c r="T784" s="562"/>
      <c r="U784" s="562"/>
      <c r="V784" s="562"/>
      <c r="W784" s="562"/>
      <c r="X784" s="562"/>
      <c r="Y784" s="562"/>
      <c r="Z784" s="562"/>
      <c r="AA784" s="562"/>
      <c r="AB784" s="562"/>
      <c r="AC784" s="562"/>
      <c r="AD784" s="563"/>
      <c r="AE784" s="561"/>
      <c r="AF784" s="562"/>
      <c r="AG784" s="562"/>
      <c r="AH784" s="562"/>
      <c r="AI784" s="562"/>
      <c r="AJ784" s="562"/>
      <c r="AK784" s="562"/>
      <c r="AL784" s="562"/>
      <c r="AM784" s="562"/>
      <c r="AN784" s="562"/>
      <c r="AO784" s="562"/>
      <c r="AP784" s="562"/>
      <c r="AQ784" s="562"/>
      <c r="AR784" s="562"/>
      <c r="AS784" s="562"/>
      <c r="AT784" s="562"/>
      <c r="AU784" s="562"/>
      <c r="AV784" s="562"/>
      <c r="AW784" s="562"/>
      <c r="AX784" s="562"/>
      <c r="AY784" s="562"/>
      <c r="AZ784" s="562"/>
      <c r="BA784" s="562"/>
      <c r="BB784" s="563"/>
    </row>
    <row r="785" spans="17:18" s="560" customFormat="1">
      <c r="Q785" s="562"/>
      <c r="R785" s="562">
        <v>0.7</v>
      </c>
    </row>
    <row r="786" spans="17:18" s="560" customFormat="1">
      <c r="Q786" s="562"/>
      <c r="R786" s="562">
        <v>0.75</v>
      </c>
    </row>
    <row r="787" spans="17:18" s="560" customFormat="1">
      <c r="Q787" s="562"/>
      <c r="R787" s="562">
        <v>0.7</v>
      </c>
    </row>
    <row r="788" spans="17:18" s="560" customFormat="1">
      <c r="Q788" s="562"/>
      <c r="R788" s="562">
        <v>0.65</v>
      </c>
    </row>
    <row r="789" spans="17:18" s="560" customFormat="1">
      <c r="Q789" s="562"/>
      <c r="R789" s="562">
        <v>0.7</v>
      </c>
    </row>
    <row r="790" spans="17:18" s="560" customFormat="1">
      <c r="Q790" s="562" t="s">
        <v>1036</v>
      </c>
      <c r="R790" s="562"/>
    </row>
    <row r="791" spans="17:18" s="560" customFormat="1">
      <c r="Q791" s="562"/>
      <c r="R791" s="562">
        <v>0.75</v>
      </c>
    </row>
    <row r="792" spans="17:18" s="560" customFormat="1">
      <c r="Q792" s="562"/>
      <c r="R792" s="562">
        <v>0.7</v>
      </c>
    </row>
    <row r="793" spans="17:18" s="560" customFormat="1">
      <c r="Q793" s="562"/>
      <c r="R793" s="562">
        <v>0.75</v>
      </c>
    </row>
    <row r="794" spans="17:18" s="560" customFormat="1">
      <c r="Q794" s="562"/>
      <c r="R794" s="562">
        <v>0.7</v>
      </c>
    </row>
    <row r="795" spans="17:18" s="560" customFormat="1">
      <c r="Q795" s="562"/>
      <c r="R795" s="562">
        <v>0.7</v>
      </c>
    </row>
    <row r="796" spans="17:18" s="560" customFormat="1">
      <c r="Q796" s="562"/>
      <c r="R796" s="562">
        <v>0.9</v>
      </c>
    </row>
    <row r="797" spans="17:18" s="560" customFormat="1">
      <c r="Q797" s="562"/>
      <c r="R797" s="562">
        <v>0.7</v>
      </c>
    </row>
    <row r="798" spans="17:18" s="560" customFormat="1">
      <c r="Q798" s="562"/>
      <c r="R798" s="562">
        <v>0.75</v>
      </c>
    </row>
    <row r="799" spans="17:18" s="560" customFormat="1">
      <c r="Q799" s="562"/>
      <c r="R799" s="562">
        <v>0.75</v>
      </c>
    </row>
    <row r="800" spans="17:18" s="560" customFormat="1">
      <c r="Q800" s="562"/>
      <c r="R800" s="562">
        <v>0.8</v>
      </c>
    </row>
    <row r="801" spans="16:30" s="560" customFormat="1">
      <c r="P801" s="561"/>
      <c r="Q801" s="562"/>
      <c r="R801" s="562">
        <v>0.75</v>
      </c>
      <c r="S801" s="562"/>
      <c r="T801" s="562"/>
      <c r="U801" s="562"/>
      <c r="V801" s="562"/>
      <c r="W801" s="562"/>
      <c r="X801" s="562"/>
      <c r="Y801" s="562"/>
      <c r="Z801" s="562"/>
      <c r="AA801" s="562"/>
      <c r="AB801" s="562"/>
      <c r="AC801" s="562"/>
      <c r="AD801" s="563"/>
    </row>
    <row r="802" spans="16:30" s="560" customFormat="1">
      <c r="P802" s="561"/>
      <c r="Q802" s="562"/>
      <c r="R802" s="562">
        <v>0.75</v>
      </c>
      <c r="S802" s="562"/>
      <c r="T802" s="562"/>
      <c r="U802" s="562"/>
      <c r="V802" s="562"/>
      <c r="W802" s="562"/>
      <c r="X802" s="562"/>
      <c r="Y802" s="562"/>
      <c r="Z802" s="562"/>
      <c r="AA802" s="562"/>
      <c r="AB802" s="562"/>
      <c r="AC802" s="562"/>
      <c r="AD802" s="563"/>
    </row>
    <row r="803" spans="16:30" s="560" customFormat="1">
      <c r="P803" s="561"/>
      <c r="Q803" s="562"/>
      <c r="R803" s="562">
        <v>0.7</v>
      </c>
      <c r="S803" s="562"/>
      <c r="T803" s="562"/>
      <c r="U803" s="562"/>
      <c r="V803" s="562"/>
      <c r="W803" s="562"/>
      <c r="X803" s="562"/>
      <c r="Y803" s="562"/>
      <c r="Z803" s="562"/>
      <c r="AA803" s="562"/>
      <c r="AB803" s="562"/>
      <c r="AC803" s="562"/>
      <c r="AD803" s="563"/>
    </row>
    <row r="804" spans="16:30" s="560" customFormat="1">
      <c r="P804" s="561"/>
      <c r="Q804" s="562"/>
      <c r="R804" s="562">
        <v>0.7</v>
      </c>
      <c r="S804" s="562"/>
      <c r="T804" s="562"/>
      <c r="U804" s="562"/>
      <c r="V804" s="562"/>
      <c r="W804" s="562"/>
      <c r="X804" s="562"/>
      <c r="Y804" s="562"/>
      <c r="Z804" s="562"/>
      <c r="AA804" s="562"/>
      <c r="AB804" s="562"/>
      <c r="AC804" s="562"/>
      <c r="AD804" s="563"/>
    </row>
    <row r="805" spans="16:30" s="560" customFormat="1">
      <c r="P805" s="561"/>
      <c r="Q805" s="562"/>
      <c r="R805" s="562">
        <v>0.7</v>
      </c>
      <c r="S805" s="562"/>
      <c r="T805" s="562"/>
      <c r="U805" s="562"/>
      <c r="V805" s="562"/>
      <c r="W805" s="562"/>
      <c r="X805" s="562"/>
      <c r="Y805" s="562"/>
      <c r="Z805" s="562"/>
      <c r="AA805" s="562"/>
      <c r="AB805" s="562"/>
      <c r="AC805" s="562"/>
      <c r="AD805" s="563"/>
    </row>
    <row r="806" spans="16:30" s="560" customFormat="1">
      <c r="P806" s="561"/>
      <c r="Q806" s="562"/>
      <c r="R806" s="562">
        <v>0.7</v>
      </c>
      <c r="S806" s="562"/>
      <c r="T806" s="562"/>
      <c r="U806" s="562"/>
      <c r="V806" s="562"/>
      <c r="W806" s="562"/>
      <c r="X806" s="562"/>
      <c r="Y806" s="562"/>
      <c r="Z806" s="562"/>
      <c r="AA806" s="562"/>
      <c r="AB806" s="562"/>
      <c r="AC806" s="562"/>
      <c r="AD806" s="563"/>
    </row>
    <row r="807" spans="16:30" s="560" customFormat="1">
      <c r="P807" s="561"/>
      <c r="Q807" s="562" t="s">
        <v>1050</v>
      </c>
      <c r="R807" s="562"/>
      <c r="S807" s="562"/>
      <c r="T807" s="562"/>
      <c r="U807" s="562"/>
      <c r="V807" s="562"/>
      <c r="W807" s="562"/>
      <c r="X807" s="562"/>
      <c r="Y807" s="562"/>
      <c r="Z807" s="562"/>
      <c r="AA807" s="562"/>
      <c r="AB807" s="562"/>
      <c r="AC807" s="562"/>
      <c r="AD807" s="563"/>
    </row>
    <row r="808" spans="16:30" s="560" customFormat="1">
      <c r="P808" s="561"/>
      <c r="Q808" s="562"/>
      <c r="R808" s="562">
        <v>0.8</v>
      </c>
      <c r="S808" s="562"/>
      <c r="T808" s="562"/>
      <c r="U808" s="562"/>
      <c r="V808" s="562"/>
      <c r="W808" s="562"/>
      <c r="X808" s="562"/>
      <c r="Y808" s="562"/>
      <c r="Z808" s="562"/>
      <c r="AA808" s="562"/>
      <c r="AB808" s="562"/>
      <c r="AC808" s="562"/>
      <c r="AD808" s="563"/>
    </row>
    <row r="809" spans="16:30" s="560" customFormat="1">
      <c r="P809" s="561"/>
      <c r="Q809" s="562"/>
      <c r="R809" s="562">
        <v>0.75</v>
      </c>
      <c r="S809" s="562"/>
      <c r="T809" s="562"/>
      <c r="U809" s="562"/>
      <c r="V809" s="562"/>
      <c r="W809" s="562"/>
      <c r="X809" s="562"/>
      <c r="Y809" s="562"/>
      <c r="Z809" s="562"/>
      <c r="AA809" s="562"/>
      <c r="AB809" s="562"/>
      <c r="AC809" s="562"/>
      <c r="AD809" s="563"/>
    </row>
    <row r="810" spans="16:30" s="560" customFormat="1">
      <c r="P810" s="561"/>
      <c r="Q810" s="562"/>
      <c r="R810" s="562">
        <v>0.8</v>
      </c>
      <c r="S810" s="562"/>
      <c r="T810" s="562"/>
      <c r="U810" s="562"/>
      <c r="V810" s="562"/>
      <c r="W810" s="562"/>
      <c r="X810" s="562"/>
      <c r="Y810" s="562"/>
      <c r="Z810" s="562"/>
      <c r="AA810" s="562"/>
      <c r="AB810" s="562"/>
      <c r="AC810" s="562"/>
      <c r="AD810" s="563"/>
    </row>
    <row r="811" spans="16:30" s="560" customFormat="1">
      <c r="P811" s="561"/>
      <c r="Q811" s="562"/>
      <c r="R811" s="562"/>
      <c r="S811" s="562" t="s">
        <v>1184</v>
      </c>
      <c r="T811" s="562"/>
      <c r="U811" s="562"/>
      <c r="V811" s="562"/>
      <c r="W811" s="562"/>
      <c r="X811" s="562"/>
      <c r="Y811" s="562"/>
      <c r="Z811" s="562"/>
      <c r="AA811" s="562"/>
      <c r="AB811" s="562"/>
      <c r="AC811" s="562"/>
      <c r="AD811" s="563"/>
    </row>
    <row r="812" spans="16:30" s="560" customFormat="1">
      <c r="P812" s="561"/>
      <c r="Q812" s="562"/>
      <c r="R812" s="562">
        <f>COUNT(R708:R810)</f>
        <v>97</v>
      </c>
      <c r="S812" s="562"/>
      <c r="T812" s="562"/>
      <c r="U812" s="562"/>
      <c r="V812" s="562"/>
      <c r="W812" s="562"/>
      <c r="X812" s="562"/>
      <c r="Y812" s="562"/>
      <c r="Z812" s="562"/>
      <c r="AA812" s="562"/>
      <c r="AB812" s="562"/>
      <c r="AC812" s="562"/>
      <c r="AD812" s="563"/>
    </row>
    <row r="813" spans="16:30" s="560" customFormat="1">
      <c r="P813" s="567">
        <v>41151</v>
      </c>
      <c r="Q813" s="568" t="s">
        <v>725</v>
      </c>
      <c r="R813" s="568"/>
      <c r="S813" s="568" t="s">
        <v>832</v>
      </c>
      <c r="T813" s="569" t="s">
        <v>727</v>
      </c>
      <c r="U813" s="569" t="s">
        <v>728</v>
      </c>
      <c r="V813" s="569" t="s">
        <v>729</v>
      </c>
      <c r="W813" s="569" t="s">
        <v>730</v>
      </c>
      <c r="X813" s="569" t="s">
        <v>731</v>
      </c>
      <c r="Y813" s="568"/>
      <c r="Z813" s="562"/>
      <c r="AA813" s="562"/>
      <c r="AB813" s="562"/>
      <c r="AC813" s="562"/>
      <c r="AD813" s="563"/>
    </row>
    <row r="814" spans="16:30" s="560" customFormat="1">
      <c r="P814" s="561"/>
      <c r="Q814" s="568"/>
      <c r="R814" s="568"/>
      <c r="S814" s="568"/>
      <c r="T814" s="569" t="s">
        <v>1185</v>
      </c>
      <c r="U814" s="569" t="s">
        <v>1186</v>
      </c>
      <c r="V814" s="577"/>
      <c r="W814" s="577"/>
      <c r="X814" s="569"/>
      <c r="Y814" s="578" t="s">
        <v>1187</v>
      </c>
      <c r="Z814" s="562"/>
      <c r="AA814" s="562"/>
      <c r="AB814" s="562"/>
      <c r="AC814" s="562"/>
      <c r="AD814" s="563"/>
    </row>
    <row r="815" spans="16:30" s="560" customFormat="1">
      <c r="P815" s="561" t="s">
        <v>595</v>
      </c>
      <c r="Q815" s="578" t="s">
        <v>1188</v>
      </c>
      <c r="R815" s="578"/>
      <c r="S815" s="569"/>
      <c r="T815" s="568"/>
      <c r="U815" s="568"/>
      <c r="V815" s="569"/>
      <c r="W815" s="569"/>
      <c r="X815" s="569"/>
      <c r="Y815" s="569"/>
      <c r="Z815" s="562"/>
      <c r="AA815" s="562"/>
      <c r="AB815" s="562"/>
      <c r="AC815" s="562"/>
      <c r="AD815" s="563"/>
    </row>
    <row r="816" spans="16:30" s="560" customFormat="1">
      <c r="P816" s="587"/>
      <c r="Q816" s="588" t="s">
        <v>755</v>
      </c>
      <c r="R816" s="588" t="s">
        <v>756</v>
      </c>
      <c r="S816" s="588" t="s">
        <v>757</v>
      </c>
      <c r="T816" s="588" t="s">
        <v>758</v>
      </c>
      <c r="U816" s="588" t="s">
        <v>759</v>
      </c>
      <c r="V816" s="588" t="s">
        <v>760</v>
      </c>
      <c r="W816" s="588" t="s">
        <v>761</v>
      </c>
      <c r="X816" s="588" t="s">
        <v>762</v>
      </c>
      <c r="Y816" s="588" t="s">
        <v>763</v>
      </c>
      <c r="Z816" s="562"/>
      <c r="AA816" s="562"/>
      <c r="AB816" s="562"/>
      <c r="AC816" s="588" t="s">
        <v>764</v>
      </c>
      <c r="AD816" s="589"/>
    </row>
    <row r="817" spans="16:30" s="560" customFormat="1">
      <c r="P817" s="561"/>
      <c r="Q817" s="568">
        <v>1.1000000000000001</v>
      </c>
      <c r="R817" s="562"/>
      <c r="S817" s="562">
        <v>0.2</v>
      </c>
      <c r="T817" s="562" t="s">
        <v>802</v>
      </c>
      <c r="U817" s="562"/>
      <c r="V817" s="562"/>
      <c r="W817" s="562"/>
      <c r="X817" s="584">
        <v>2513</v>
      </c>
      <c r="Y817" s="562"/>
      <c r="Z817" s="562"/>
      <c r="AA817" s="562"/>
      <c r="AB817" s="562"/>
      <c r="AC817" s="577"/>
      <c r="AD817" s="589"/>
    </row>
    <row r="818" spans="16:30" s="560" customFormat="1">
      <c r="P818" s="561"/>
      <c r="Q818" s="568">
        <v>6.1</v>
      </c>
      <c r="R818" s="562"/>
      <c r="S818" s="568">
        <v>0.3</v>
      </c>
      <c r="T818" s="562" t="s">
        <v>802</v>
      </c>
      <c r="U818" s="562"/>
      <c r="V818" s="562"/>
      <c r="W818" s="562"/>
      <c r="X818" s="609">
        <v>2514</v>
      </c>
      <c r="Y818" s="562"/>
      <c r="Z818" s="562"/>
      <c r="AA818" s="562"/>
      <c r="AB818" s="562"/>
      <c r="AC818" s="607" t="s">
        <v>780</v>
      </c>
      <c r="AD818" s="608" t="s">
        <v>616</v>
      </c>
    </row>
    <row r="819" spans="16:30" s="560" customFormat="1">
      <c r="P819" s="561"/>
      <c r="Q819" s="568">
        <v>7.3</v>
      </c>
      <c r="R819" s="562"/>
      <c r="S819" s="562">
        <v>0.2</v>
      </c>
      <c r="T819" s="562" t="s">
        <v>802</v>
      </c>
      <c r="U819" s="562"/>
      <c r="V819" s="562"/>
      <c r="W819" s="562"/>
      <c r="X819" s="584">
        <v>2515</v>
      </c>
      <c r="Y819" s="562"/>
      <c r="Z819" s="562"/>
      <c r="AA819" s="562"/>
      <c r="AB819" s="562"/>
      <c r="AC819" s="607" t="s">
        <v>785</v>
      </c>
      <c r="AD819" s="608" t="s">
        <v>542</v>
      </c>
    </row>
    <row r="820" spans="16:30" s="560" customFormat="1">
      <c r="P820" s="561"/>
      <c r="Q820" s="562"/>
      <c r="R820" s="562"/>
      <c r="S820" s="562"/>
      <c r="T820" s="562"/>
      <c r="U820" s="562"/>
      <c r="V820" s="562"/>
      <c r="W820" s="562"/>
      <c r="X820" s="629"/>
      <c r="Y820" s="562"/>
      <c r="Z820" s="562"/>
      <c r="AA820" s="562"/>
      <c r="AB820" s="562"/>
      <c r="AC820" s="607" t="s">
        <v>789</v>
      </c>
      <c r="AD820" s="608" t="s">
        <v>790</v>
      </c>
    </row>
    <row r="821" spans="16:30" s="560" customFormat="1">
      <c r="P821" s="561"/>
      <c r="Q821" s="562"/>
      <c r="R821" s="562"/>
      <c r="S821" s="562">
        <f>SUM(S817:S820)</f>
        <v>0.7</v>
      </c>
      <c r="T821" s="562"/>
      <c r="U821" s="562"/>
      <c r="V821" s="562"/>
      <c r="W821" s="562"/>
      <c r="X821" s="629"/>
      <c r="Y821" s="562"/>
      <c r="Z821" s="562"/>
      <c r="AA821" s="562"/>
      <c r="AB821" s="562"/>
      <c r="AC821" s="607" t="s">
        <v>791</v>
      </c>
      <c r="AD821" s="608" t="s">
        <v>792</v>
      </c>
    </row>
    <row r="822" spans="16:30" s="560" customFormat="1">
      <c r="P822" s="561"/>
      <c r="Q822" s="562"/>
      <c r="R822" s="562"/>
      <c r="S822" s="562"/>
      <c r="T822" s="562"/>
      <c r="U822" s="562"/>
      <c r="V822" s="562"/>
      <c r="W822" s="562"/>
      <c r="X822" s="562"/>
      <c r="Y822" s="562"/>
      <c r="Z822" s="562"/>
      <c r="AA822" s="562"/>
      <c r="AB822" s="562"/>
      <c r="AC822" s="607" t="s">
        <v>794</v>
      </c>
      <c r="AD822" s="608" t="s">
        <v>795</v>
      </c>
    </row>
    <row r="823" spans="16:30" s="560" customFormat="1">
      <c r="P823" s="561"/>
      <c r="Q823" s="562"/>
      <c r="R823" s="562"/>
      <c r="S823" s="562"/>
      <c r="T823" s="562"/>
      <c r="U823" s="562"/>
      <c r="V823" s="562"/>
      <c r="W823" s="562"/>
      <c r="X823" s="562"/>
      <c r="Y823" s="562"/>
      <c r="Z823" s="562"/>
      <c r="AA823" s="562"/>
      <c r="AB823" s="562"/>
      <c r="AC823" s="607" t="s">
        <v>798</v>
      </c>
      <c r="AD823" s="608" t="s">
        <v>546</v>
      </c>
    </row>
    <row r="824" spans="16:30" s="560" customFormat="1">
      <c r="P824" s="561"/>
      <c r="Q824" s="562"/>
      <c r="R824" s="562"/>
      <c r="S824" s="562"/>
      <c r="T824" s="562"/>
      <c r="U824" s="562"/>
      <c r="V824" s="562"/>
      <c r="W824" s="562"/>
      <c r="X824" s="562"/>
      <c r="Y824" s="562"/>
      <c r="Z824" s="562"/>
      <c r="AA824" s="562"/>
      <c r="AB824" s="562"/>
      <c r="AC824" s="607" t="s">
        <v>800</v>
      </c>
      <c r="AD824" s="608" t="s">
        <v>801</v>
      </c>
    </row>
    <row r="825" spans="16:30" s="560" customFormat="1">
      <c r="P825" s="561"/>
      <c r="Q825" s="562"/>
      <c r="R825" s="562"/>
      <c r="S825" s="562"/>
      <c r="T825" s="562"/>
      <c r="U825" s="562"/>
      <c r="V825" s="562"/>
      <c r="W825" s="562"/>
      <c r="X825" s="562"/>
      <c r="Y825" s="562"/>
      <c r="Z825" s="562"/>
      <c r="AA825" s="562"/>
      <c r="AB825" s="562"/>
      <c r="AC825" s="607" t="s">
        <v>804</v>
      </c>
      <c r="AD825" s="608" t="s">
        <v>805</v>
      </c>
    </row>
    <row r="826" spans="16:30" s="560" customFormat="1">
      <c r="P826" s="561"/>
      <c r="Q826" s="562"/>
      <c r="R826" s="562"/>
      <c r="S826" s="562"/>
      <c r="T826" s="562"/>
      <c r="U826" s="562"/>
      <c r="V826" s="562"/>
      <c r="W826" s="562"/>
      <c r="X826" s="562"/>
      <c r="Y826" s="562"/>
      <c r="Z826" s="562"/>
      <c r="AA826" s="562"/>
      <c r="AB826" s="562"/>
      <c r="AC826" s="607" t="s">
        <v>807</v>
      </c>
      <c r="AD826" s="608" t="s">
        <v>808</v>
      </c>
    </row>
    <row r="827" spans="16:30" s="560" customFormat="1">
      <c r="P827" s="561"/>
      <c r="Q827" s="562"/>
      <c r="R827" s="562"/>
      <c r="S827" s="562"/>
      <c r="T827" s="562"/>
      <c r="U827" s="562"/>
      <c r="V827" s="562"/>
      <c r="W827" s="562"/>
      <c r="X827" s="562"/>
      <c r="Y827" s="562"/>
      <c r="Z827" s="562"/>
      <c r="AA827" s="562"/>
      <c r="AB827" s="562"/>
      <c r="AC827" s="607" t="s">
        <v>810</v>
      </c>
      <c r="AD827" s="608" t="s">
        <v>550</v>
      </c>
    </row>
    <row r="828" spans="16:30" s="560" customFormat="1">
      <c r="P828" s="561"/>
      <c r="Q828" s="562"/>
      <c r="R828" s="562"/>
      <c r="S828" s="562"/>
      <c r="T828" s="562"/>
      <c r="U828" s="562"/>
      <c r="V828" s="562"/>
      <c r="W828" s="562"/>
      <c r="X828" s="562"/>
      <c r="Y828" s="562"/>
      <c r="Z828" s="562"/>
      <c r="AA828" s="562"/>
      <c r="AB828" s="562"/>
      <c r="AC828" s="607" t="s">
        <v>813</v>
      </c>
      <c r="AD828" s="608" t="s">
        <v>552</v>
      </c>
    </row>
    <row r="829" spans="16:30" s="560" customFormat="1">
      <c r="P829" s="561"/>
      <c r="Q829" s="562"/>
      <c r="R829" s="562"/>
      <c r="S829" s="562"/>
      <c r="T829" s="562"/>
      <c r="U829" s="562"/>
      <c r="V829" s="562"/>
      <c r="W829" s="562"/>
      <c r="X829" s="562"/>
      <c r="Y829" s="562"/>
      <c r="Z829" s="562"/>
      <c r="AA829" s="562"/>
      <c r="AB829" s="562"/>
      <c r="AC829" s="607" t="s">
        <v>815</v>
      </c>
      <c r="AD829" s="608" t="s">
        <v>816</v>
      </c>
    </row>
    <row r="831" spans="16:30" s="560" customFormat="1">
      <c r="P831" s="567">
        <v>41151</v>
      </c>
      <c r="Q831" s="568" t="s">
        <v>725</v>
      </c>
      <c r="R831" s="568"/>
      <c r="S831" s="568" t="s">
        <v>891</v>
      </c>
      <c r="T831" s="569" t="s">
        <v>727</v>
      </c>
      <c r="U831" s="569" t="s">
        <v>728</v>
      </c>
      <c r="V831" s="569" t="s">
        <v>729</v>
      </c>
      <c r="W831" s="569" t="s">
        <v>730</v>
      </c>
      <c r="X831" s="569" t="s">
        <v>731</v>
      </c>
      <c r="Y831" s="568"/>
      <c r="Z831" s="562"/>
      <c r="AA831" s="562"/>
      <c r="AB831" s="562"/>
      <c r="AC831" s="562"/>
      <c r="AD831" s="563"/>
    </row>
    <row r="832" spans="16:30" s="560" customFormat="1">
      <c r="P832" s="561"/>
      <c r="Q832" s="568"/>
      <c r="R832" s="568"/>
      <c r="S832" s="568"/>
      <c r="T832" s="569" t="s">
        <v>1185</v>
      </c>
      <c r="U832" s="569" t="s">
        <v>1186</v>
      </c>
      <c r="V832" s="577"/>
      <c r="W832" s="577"/>
      <c r="X832" s="569"/>
      <c r="Y832" s="578" t="s">
        <v>1187</v>
      </c>
      <c r="Z832" s="562"/>
      <c r="AA832" s="562"/>
      <c r="AB832" s="562"/>
      <c r="AC832" s="562"/>
      <c r="AD832" s="563"/>
    </row>
    <row r="833" spans="16:30" s="560" customFormat="1">
      <c r="P833" s="561" t="s">
        <v>595</v>
      </c>
      <c r="Q833" s="578" t="s">
        <v>1188</v>
      </c>
      <c r="R833" s="578"/>
      <c r="S833" s="569"/>
      <c r="T833" s="568"/>
      <c r="U833" s="568"/>
      <c r="V833" s="569"/>
      <c r="W833" s="569"/>
      <c r="X833" s="569"/>
      <c r="Y833" s="569"/>
      <c r="Z833" s="562"/>
      <c r="AA833" s="562"/>
      <c r="AB833" s="562"/>
      <c r="AC833" s="562"/>
      <c r="AD833" s="563"/>
    </row>
    <row r="834" spans="16:30" s="560" customFormat="1">
      <c r="P834" s="587"/>
      <c r="Q834" s="588" t="s">
        <v>755</v>
      </c>
      <c r="R834" s="588" t="s">
        <v>756</v>
      </c>
      <c r="S834" s="588" t="s">
        <v>757</v>
      </c>
      <c r="T834" s="588" t="s">
        <v>758</v>
      </c>
      <c r="U834" s="588" t="s">
        <v>759</v>
      </c>
      <c r="V834" s="588" t="s">
        <v>760</v>
      </c>
      <c r="W834" s="588" t="s">
        <v>761</v>
      </c>
      <c r="X834" s="588" t="s">
        <v>762</v>
      </c>
      <c r="Y834" s="588" t="s">
        <v>763</v>
      </c>
      <c r="Z834" s="562"/>
      <c r="AA834" s="562"/>
      <c r="AB834" s="562"/>
      <c r="AC834" s="588" t="s">
        <v>764</v>
      </c>
      <c r="AD834" s="589"/>
    </row>
    <row r="835" spans="16:30" s="560" customFormat="1">
      <c r="P835" s="561"/>
      <c r="Q835" s="568" t="s">
        <v>775</v>
      </c>
      <c r="R835" s="562"/>
      <c r="S835" s="562"/>
      <c r="T835" s="562"/>
      <c r="U835" s="562"/>
      <c r="V835" s="562"/>
      <c r="W835" s="562"/>
      <c r="X835" s="584"/>
      <c r="Y835" s="562"/>
      <c r="Z835" s="562"/>
      <c r="AA835" s="562"/>
      <c r="AB835" s="562"/>
      <c r="AC835" s="577"/>
      <c r="AD835" s="589"/>
    </row>
    <row r="836" spans="16:30" s="560" customFormat="1">
      <c r="P836" s="561"/>
      <c r="Q836" s="568"/>
      <c r="R836" s="562">
        <v>0.65</v>
      </c>
      <c r="S836" s="568"/>
      <c r="T836" s="562"/>
      <c r="U836" s="562"/>
      <c r="V836" s="562"/>
      <c r="W836" s="562"/>
      <c r="X836" s="609"/>
      <c r="Y836" s="562"/>
      <c r="Z836" s="562"/>
      <c r="AA836" s="562"/>
      <c r="AB836" s="562"/>
      <c r="AC836" s="607" t="s">
        <v>780</v>
      </c>
      <c r="AD836" s="608" t="s">
        <v>616</v>
      </c>
    </row>
    <row r="837" spans="16:30" s="560" customFormat="1">
      <c r="P837" s="561"/>
      <c r="Q837" s="568"/>
      <c r="R837" s="562">
        <v>1</v>
      </c>
      <c r="S837" s="562"/>
      <c r="T837" s="562"/>
      <c r="U837" s="562"/>
      <c r="V837" s="562"/>
      <c r="W837" s="562"/>
      <c r="X837" s="584"/>
      <c r="Y837" s="562"/>
      <c r="Z837" s="562"/>
      <c r="AA837" s="562"/>
      <c r="AB837" s="562"/>
      <c r="AC837" s="607" t="s">
        <v>785</v>
      </c>
      <c r="AD837" s="608" t="s">
        <v>542</v>
      </c>
    </row>
    <row r="838" spans="16:30" s="560" customFormat="1">
      <c r="P838" s="561"/>
      <c r="Q838" s="562"/>
      <c r="R838" s="562">
        <v>0.8</v>
      </c>
      <c r="S838" s="562"/>
      <c r="T838" s="562"/>
      <c r="U838" s="562"/>
      <c r="V838" s="562"/>
      <c r="W838" s="562"/>
      <c r="X838" s="629"/>
      <c r="Y838" s="562"/>
      <c r="Z838" s="562"/>
      <c r="AA838" s="562"/>
      <c r="AB838" s="562"/>
      <c r="AC838" s="607" t="s">
        <v>789</v>
      </c>
      <c r="AD838" s="608" t="s">
        <v>790</v>
      </c>
    </row>
    <row r="839" spans="16:30" s="560" customFormat="1">
      <c r="P839" s="561"/>
      <c r="Q839" s="562"/>
      <c r="R839" s="562">
        <v>1.1000000000000001</v>
      </c>
      <c r="S839" s="562"/>
      <c r="T839" s="562"/>
      <c r="U839" s="562"/>
      <c r="V839" s="562"/>
      <c r="W839" s="562"/>
      <c r="X839" s="629"/>
      <c r="Y839" s="562"/>
      <c r="Z839" s="562"/>
      <c r="AA839" s="562"/>
      <c r="AB839" s="562"/>
      <c r="AC839" s="607" t="s">
        <v>791</v>
      </c>
      <c r="AD839" s="608" t="s">
        <v>792</v>
      </c>
    </row>
    <row r="840" spans="16:30" s="560" customFormat="1">
      <c r="P840" s="561"/>
      <c r="Q840" s="562"/>
      <c r="R840" s="562">
        <v>0.85</v>
      </c>
      <c r="S840" s="562"/>
      <c r="T840" s="562"/>
      <c r="U840" s="562"/>
      <c r="V840" s="562"/>
      <c r="W840" s="562"/>
      <c r="X840" s="562"/>
      <c r="Y840" s="562"/>
      <c r="Z840" s="562"/>
      <c r="AA840" s="562"/>
      <c r="AB840" s="562"/>
      <c r="AC840" s="607" t="s">
        <v>794</v>
      </c>
      <c r="AD840" s="608" t="s">
        <v>795</v>
      </c>
    </row>
    <row r="841" spans="16:30" s="560" customFormat="1">
      <c r="P841" s="561"/>
      <c r="Q841" s="562"/>
      <c r="R841" s="562">
        <v>1.05</v>
      </c>
      <c r="S841" s="562"/>
      <c r="T841" s="562"/>
      <c r="U841" s="562"/>
      <c r="V841" s="562"/>
      <c r="W841" s="562"/>
      <c r="X841" s="562"/>
      <c r="Y841" s="562"/>
      <c r="Z841" s="562"/>
      <c r="AA841" s="562"/>
      <c r="AB841" s="562"/>
      <c r="AC841" s="607" t="s">
        <v>798</v>
      </c>
      <c r="AD841" s="608" t="s">
        <v>546</v>
      </c>
    </row>
    <row r="842" spans="16:30" s="560" customFormat="1">
      <c r="P842" s="561"/>
      <c r="Q842" s="562"/>
      <c r="R842" s="562">
        <v>1</v>
      </c>
      <c r="S842" s="562"/>
      <c r="T842" s="562"/>
      <c r="U842" s="562"/>
      <c r="V842" s="562"/>
      <c r="W842" s="562"/>
      <c r="X842" s="562"/>
      <c r="Y842" s="562"/>
      <c r="Z842" s="562"/>
      <c r="AA842" s="562"/>
      <c r="AB842" s="562"/>
      <c r="AC842" s="607" t="s">
        <v>800</v>
      </c>
      <c r="AD842" s="608" t="s">
        <v>801</v>
      </c>
    </row>
    <row r="843" spans="16:30" s="560" customFormat="1">
      <c r="P843" s="561"/>
      <c r="Q843" s="562"/>
      <c r="R843" s="562">
        <v>1.05</v>
      </c>
      <c r="S843" s="562"/>
      <c r="T843" s="562"/>
      <c r="U843" s="562"/>
      <c r="V843" s="562"/>
      <c r="W843" s="562"/>
      <c r="X843" s="562"/>
      <c r="Y843" s="562"/>
      <c r="Z843" s="562"/>
      <c r="AA843" s="562"/>
      <c r="AB843" s="562"/>
      <c r="AC843" s="607" t="s">
        <v>804</v>
      </c>
      <c r="AD843" s="608" t="s">
        <v>805</v>
      </c>
    </row>
    <row r="844" spans="16:30" s="560" customFormat="1">
      <c r="P844" s="561"/>
      <c r="Q844" s="562"/>
      <c r="R844" s="562">
        <v>1.25</v>
      </c>
      <c r="S844" s="562"/>
      <c r="T844" s="562"/>
      <c r="U844" s="562"/>
      <c r="V844" s="562"/>
      <c r="W844" s="562"/>
      <c r="X844" s="562"/>
      <c r="Y844" s="562"/>
      <c r="Z844" s="562"/>
      <c r="AA844" s="562"/>
      <c r="AB844" s="562"/>
      <c r="AC844" s="607" t="s">
        <v>807</v>
      </c>
      <c r="AD844" s="608" t="s">
        <v>808</v>
      </c>
    </row>
    <row r="845" spans="16:30" s="560" customFormat="1">
      <c r="P845" s="561"/>
      <c r="Q845" s="562"/>
      <c r="R845" s="562">
        <v>0.55000000000000004</v>
      </c>
      <c r="S845" s="562"/>
      <c r="T845" s="562"/>
      <c r="U845" s="562"/>
      <c r="V845" s="562"/>
      <c r="W845" s="562"/>
      <c r="X845" s="562"/>
      <c r="Y845" s="562"/>
      <c r="Z845" s="562"/>
      <c r="AA845" s="562"/>
      <c r="AB845" s="562"/>
      <c r="AC845" s="607" t="s">
        <v>810</v>
      </c>
      <c r="AD845" s="608" t="s">
        <v>550</v>
      </c>
    </row>
    <row r="846" spans="16:30" s="560" customFormat="1">
      <c r="P846" s="561"/>
      <c r="Q846" s="562"/>
      <c r="R846" s="562">
        <v>0.65</v>
      </c>
      <c r="S846" s="562"/>
      <c r="T846" s="562"/>
      <c r="U846" s="562"/>
      <c r="V846" s="562"/>
      <c r="W846" s="562"/>
      <c r="X846" s="562"/>
      <c r="Y846" s="562"/>
      <c r="Z846" s="562"/>
      <c r="AA846" s="562"/>
      <c r="AB846" s="562"/>
      <c r="AC846" s="607" t="s">
        <v>813</v>
      </c>
      <c r="AD846" s="608" t="s">
        <v>552</v>
      </c>
    </row>
    <row r="847" spans="16:30" s="560" customFormat="1">
      <c r="P847" s="561"/>
      <c r="Q847" s="562"/>
      <c r="R847" s="562">
        <v>0.9</v>
      </c>
      <c r="S847" s="562"/>
      <c r="T847" s="562"/>
      <c r="U847" s="562"/>
      <c r="V847" s="562"/>
      <c r="W847" s="562"/>
      <c r="X847" s="562"/>
      <c r="Y847" s="562"/>
      <c r="Z847" s="562"/>
      <c r="AA847" s="562"/>
      <c r="AB847" s="562"/>
      <c r="AC847" s="607" t="s">
        <v>815</v>
      </c>
      <c r="AD847" s="608" t="s">
        <v>816</v>
      </c>
    </row>
    <row r="848" spans="16:30" s="560" customFormat="1">
      <c r="P848" s="561"/>
      <c r="Q848" s="562"/>
      <c r="R848" s="562">
        <v>1.1000000000000001</v>
      </c>
      <c r="S848" s="562"/>
      <c r="T848" s="562"/>
      <c r="U848" s="562"/>
      <c r="V848" s="562"/>
      <c r="W848" s="562"/>
      <c r="X848" s="562"/>
      <c r="Y848" s="562"/>
      <c r="Z848" s="562"/>
      <c r="AA848" s="562"/>
      <c r="AB848" s="562"/>
      <c r="AC848" s="562"/>
      <c r="AD848" s="563"/>
    </row>
    <row r="849" spans="17:18" s="560" customFormat="1">
      <c r="Q849" s="562"/>
      <c r="R849" s="562">
        <v>1</v>
      </c>
    </row>
    <row r="850" spans="17:18" s="560" customFormat="1">
      <c r="Q850" s="562"/>
      <c r="R850" s="562">
        <v>1.1000000000000001</v>
      </c>
    </row>
    <row r="851" spans="17:18" s="560" customFormat="1">
      <c r="Q851" s="562"/>
      <c r="R851" s="562">
        <v>0.5</v>
      </c>
    </row>
    <row r="852" spans="17:18" s="560" customFormat="1">
      <c r="Q852" s="562"/>
      <c r="R852" s="562">
        <v>0.6</v>
      </c>
    </row>
    <row r="853" spans="17:18" s="560" customFormat="1">
      <c r="Q853" s="562"/>
      <c r="R853" s="562">
        <v>1.25</v>
      </c>
    </row>
    <row r="854" spans="17:18" s="560" customFormat="1">
      <c r="Q854" s="562" t="s">
        <v>821</v>
      </c>
      <c r="R854" s="562"/>
    </row>
    <row r="855" spans="17:18" s="560" customFormat="1">
      <c r="Q855" s="562"/>
      <c r="R855" s="562">
        <v>1.25</v>
      </c>
    </row>
    <row r="856" spans="17:18" s="560" customFormat="1">
      <c r="Q856" s="562"/>
      <c r="R856" s="562">
        <v>0.7</v>
      </c>
    </row>
    <row r="857" spans="17:18" s="560" customFormat="1">
      <c r="Q857" s="562"/>
      <c r="R857" s="562">
        <v>1</v>
      </c>
    </row>
    <row r="858" spans="17:18" s="560" customFormat="1">
      <c r="Q858" s="562"/>
      <c r="R858" s="562">
        <v>0.9</v>
      </c>
    </row>
    <row r="859" spans="17:18" s="560" customFormat="1">
      <c r="Q859" s="562"/>
      <c r="R859" s="562">
        <v>0.9</v>
      </c>
    </row>
    <row r="860" spans="17:18" s="560" customFormat="1">
      <c r="Q860" s="562"/>
      <c r="R860" s="562">
        <v>0.7</v>
      </c>
    </row>
    <row r="861" spans="17:18" s="560" customFormat="1">
      <c r="Q861" s="562"/>
      <c r="R861" s="562">
        <v>1.1000000000000001</v>
      </c>
    </row>
    <row r="862" spans="17:18" s="560" customFormat="1">
      <c r="Q862" s="562"/>
      <c r="R862" s="562">
        <v>0.9</v>
      </c>
    </row>
    <row r="863" spans="17:18" s="560" customFormat="1">
      <c r="Q863" s="562"/>
      <c r="R863" s="562">
        <v>0.9</v>
      </c>
    </row>
    <row r="864" spans="17:18" s="560" customFormat="1">
      <c r="Q864" s="562"/>
      <c r="R864" s="562">
        <v>1</v>
      </c>
    </row>
    <row r="865" spans="17:18" s="560" customFormat="1">
      <c r="Q865" s="562"/>
      <c r="R865" s="562">
        <v>1</v>
      </c>
    </row>
    <row r="866" spans="17:18" s="560" customFormat="1">
      <c r="Q866" s="562"/>
      <c r="R866" s="562">
        <v>1</v>
      </c>
    </row>
    <row r="867" spans="17:18" s="560" customFormat="1">
      <c r="Q867" s="562"/>
      <c r="R867" s="562">
        <v>0.7</v>
      </c>
    </row>
    <row r="868" spans="17:18" s="560" customFormat="1">
      <c r="Q868" s="562"/>
      <c r="R868" s="562">
        <v>1.1499999999999999</v>
      </c>
    </row>
    <row r="869" spans="17:18" s="560" customFormat="1">
      <c r="Q869" s="562"/>
      <c r="R869" s="562">
        <v>0.7</v>
      </c>
    </row>
    <row r="870" spans="17:18" s="560" customFormat="1">
      <c r="Q870" s="562"/>
      <c r="R870" s="562">
        <v>0.9</v>
      </c>
    </row>
    <row r="871" spans="17:18" s="560" customFormat="1">
      <c r="Q871" s="562"/>
      <c r="R871" s="562">
        <v>1.3</v>
      </c>
    </row>
    <row r="872" spans="17:18" s="560" customFormat="1">
      <c r="Q872" s="562" t="s">
        <v>799</v>
      </c>
      <c r="R872" s="562"/>
    </row>
    <row r="873" spans="17:18" s="560" customFormat="1">
      <c r="Q873" s="562"/>
      <c r="R873" s="562">
        <v>0.98</v>
      </c>
    </row>
    <row r="874" spans="17:18" s="560" customFormat="1">
      <c r="Q874" s="562"/>
      <c r="R874" s="562">
        <v>0.7</v>
      </c>
    </row>
    <row r="875" spans="17:18" s="560" customFormat="1">
      <c r="Q875" s="562"/>
      <c r="R875" s="562">
        <v>0.95</v>
      </c>
    </row>
    <row r="876" spans="17:18" s="560" customFormat="1">
      <c r="Q876" s="562"/>
      <c r="R876" s="562">
        <v>0.92</v>
      </c>
    </row>
    <row r="877" spans="17:18" s="560" customFormat="1">
      <c r="Q877" s="562"/>
      <c r="R877" s="562">
        <v>0.9</v>
      </c>
    </row>
    <row r="878" spans="17:18" s="560" customFormat="1">
      <c r="Q878" s="562"/>
      <c r="R878" s="562">
        <v>0.95</v>
      </c>
    </row>
    <row r="879" spans="17:18" s="560" customFormat="1">
      <c r="Q879" s="562"/>
      <c r="R879" s="562">
        <v>1</v>
      </c>
    </row>
    <row r="880" spans="17:18" s="560" customFormat="1">
      <c r="Q880" s="562"/>
      <c r="R880" s="562">
        <v>1</v>
      </c>
    </row>
    <row r="881" spans="17:18" s="560" customFormat="1">
      <c r="Q881" s="562"/>
      <c r="R881" s="562">
        <v>0.95</v>
      </c>
    </row>
    <row r="882" spans="17:18" s="560" customFormat="1">
      <c r="Q882" s="562"/>
      <c r="R882" s="562">
        <v>0.9</v>
      </c>
    </row>
    <row r="883" spans="17:18" s="560" customFormat="1">
      <c r="Q883" s="562"/>
      <c r="R883" s="562">
        <v>0.9</v>
      </c>
    </row>
    <row r="884" spans="17:18" s="560" customFormat="1">
      <c r="Q884" s="562"/>
      <c r="R884" s="562">
        <v>0.85</v>
      </c>
    </row>
    <row r="885" spans="17:18" s="560" customFormat="1">
      <c r="Q885" s="562"/>
      <c r="R885" s="562">
        <v>0.95</v>
      </c>
    </row>
    <row r="886" spans="17:18" s="560" customFormat="1">
      <c r="Q886" s="562"/>
      <c r="R886" s="562">
        <v>0.91</v>
      </c>
    </row>
    <row r="887" spans="17:18" s="560" customFormat="1">
      <c r="Q887" s="562"/>
      <c r="R887" s="562">
        <v>0.1</v>
      </c>
    </row>
    <row r="888" spans="17:18" s="560" customFormat="1">
      <c r="Q888" s="562"/>
      <c r="R888" s="562">
        <v>0.9</v>
      </c>
    </row>
    <row r="889" spans="17:18" s="560" customFormat="1">
      <c r="Q889" s="562"/>
      <c r="R889" s="562">
        <v>0.75</v>
      </c>
    </row>
    <row r="890" spans="17:18" s="560" customFormat="1">
      <c r="Q890" s="562" t="s">
        <v>1019</v>
      </c>
      <c r="R890" s="562"/>
    </row>
    <row r="891" spans="17:18" s="560" customFormat="1">
      <c r="Q891" s="562"/>
      <c r="R891" s="562">
        <v>1.1000000000000001</v>
      </c>
    </row>
    <row r="892" spans="17:18" s="560" customFormat="1">
      <c r="Q892" s="562"/>
      <c r="R892" s="562">
        <v>1.3</v>
      </c>
    </row>
    <row r="893" spans="17:18" s="560" customFormat="1">
      <c r="Q893" s="562"/>
      <c r="R893" s="562">
        <v>0.9</v>
      </c>
    </row>
    <row r="894" spans="17:18" s="560" customFormat="1">
      <c r="Q894" s="562"/>
      <c r="R894" s="562">
        <v>0.97</v>
      </c>
    </row>
    <row r="895" spans="17:18" s="560" customFormat="1">
      <c r="Q895" s="562"/>
      <c r="R895" s="562">
        <v>1</v>
      </c>
    </row>
    <row r="896" spans="17:18" s="560" customFormat="1">
      <c r="Q896" s="562"/>
      <c r="R896" s="562">
        <v>1</v>
      </c>
    </row>
    <row r="897" spans="17:18" s="560" customFormat="1">
      <c r="Q897" s="562"/>
      <c r="R897" s="562">
        <v>1</v>
      </c>
    </row>
    <row r="898" spans="17:18" s="560" customFormat="1">
      <c r="Q898" s="562"/>
      <c r="R898" s="562">
        <v>1</v>
      </c>
    </row>
    <row r="899" spans="17:18" s="560" customFormat="1">
      <c r="Q899" s="562"/>
      <c r="R899" s="562">
        <v>0.7</v>
      </c>
    </row>
    <row r="900" spans="17:18" s="560" customFormat="1">
      <c r="Q900" s="562"/>
      <c r="R900" s="562">
        <v>0.9</v>
      </c>
    </row>
    <row r="901" spans="17:18" s="560" customFormat="1">
      <c r="Q901" s="562"/>
      <c r="R901" s="562">
        <v>0.75</v>
      </c>
    </row>
    <row r="902" spans="17:18" s="560" customFormat="1">
      <c r="Q902" s="562"/>
      <c r="R902" s="562">
        <v>0.88</v>
      </c>
    </row>
    <row r="903" spans="17:18" s="560" customFormat="1">
      <c r="Q903" s="562"/>
      <c r="R903" s="562">
        <v>0.95</v>
      </c>
    </row>
    <row r="904" spans="17:18" s="560" customFormat="1">
      <c r="Q904" s="562"/>
      <c r="R904" s="562">
        <v>0.9</v>
      </c>
    </row>
    <row r="905" spans="17:18" s="560" customFormat="1">
      <c r="Q905" s="562"/>
      <c r="R905" s="562">
        <v>0.9</v>
      </c>
    </row>
    <row r="906" spans="17:18" s="560" customFormat="1">
      <c r="Q906" s="562"/>
      <c r="R906" s="562">
        <v>0.8</v>
      </c>
    </row>
    <row r="907" spans="17:18" s="560" customFormat="1">
      <c r="Q907" s="562"/>
      <c r="R907" s="562">
        <v>0.9</v>
      </c>
    </row>
    <row r="908" spans="17:18" s="560" customFormat="1">
      <c r="Q908" s="562" t="s">
        <v>1026</v>
      </c>
      <c r="R908" s="562"/>
    </row>
    <row r="909" spans="17:18" s="560" customFormat="1">
      <c r="Q909" s="562"/>
      <c r="R909" s="562">
        <v>0.9</v>
      </c>
    </row>
    <row r="910" spans="17:18" s="560" customFormat="1">
      <c r="Q910" s="562"/>
      <c r="R910" s="562">
        <v>0.65</v>
      </c>
    </row>
    <row r="911" spans="17:18" s="560" customFormat="1">
      <c r="Q911" s="562"/>
      <c r="R911" s="562">
        <v>0.6</v>
      </c>
    </row>
    <row r="912" spans="17:18" s="560" customFormat="1">
      <c r="Q912" s="562"/>
      <c r="R912" s="562">
        <v>0.5</v>
      </c>
    </row>
    <row r="913" spans="17:18" s="560" customFormat="1">
      <c r="Q913" s="562"/>
      <c r="R913" s="562">
        <v>0.9</v>
      </c>
    </row>
    <row r="914" spans="17:18" s="560" customFormat="1">
      <c r="Q914" s="562"/>
      <c r="R914" s="562">
        <v>1</v>
      </c>
    </row>
    <row r="915" spans="17:18" s="560" customFormat="1">
      <c r="Q915" s="562"/>
      <c r="R915" s="562">
        <v>0.8</v>
      </c>
    </row>
    <row r="916" spans="17:18" s="560" customFormat="1">
      <c r="Q916" s="562"/>
      <c r="R916" s="562">
        <v>0.95</v>
      </c>
    </row>
    <row r="917" spans="17:18" s="560" customFormat="1">
      <c r="Q917" s="562"/>
      <c r="R917" s="562">
        <v>1</v>
      </c>
    </row>
    <row r="918" spans="17:18" s="560" customFormat="1">
      <c r="Q918" s="562"/>
      <c r="R918" s="562">
        <v>1</v>
      </c>
    </row>
    <row r="919" spans="17:18" s="560" customFormat="1">
      <c r="Q919" s="562"/>
      <c r="R919" s="562">
        <v>0.95</v>
      </c>
    </row>
    <row r="920" spans="17:18" s="560" customFormat="1">
      <c r="Q920" s="562"/>
      <c r="R920" s="562">
        <v>0.8</v>
      </c>
    </row>
    <row r="921" spans="17:18" s="560" customFormat="1">
      <c r="Q921" s="562"/>
      <c r="R921" s="562">
        <v>0.8</v>
      </c>
    </row>
    <row r="922" spans="17:18" s="560" customFormat="1">
      <c r="Q922" s="562"/>
      <c r="R922" s="562">
        <v>0.8</v>
      </c>
    </row>
    <row r="923" spans="17:18" s="560" customFormat="1">
      <c r="Q923" s="562"/>
      <c r="R923" s="562">
        <v>0.85</v>
      </c>
    </row>
    <row r="924" spans="17:18" s="560" customFormat="1">
      <c r="Q924" s="562"/>
      <c r="R924" s="562">
        <v>0.9</v>
      </c>
    </row>
    <row r="925" spans="17:18" s="560" customFormat="1">
      <c r="Q925" s="562"/>
      <c r="R925" s="562">
        <v>0.8</v>
      </c>
    </row>
    <row r="926" spans="17:18" s="560" customFormat="1">
      <c r="Q926" s="562"/>
      <c r="R926" s="562">
        <v>1</v>
      </c>
    </row>
    <row r="927" spans="17:18" s="560" customFormat="1">
      <c r="Q927" s="562" t="s">
        <v>1036</v>
      </c>
      <c r="R927" s="562"/>
    </row>
    <row r="928" spans="17:18" s="560" customFormat="1">
      <c r="Q928" s="562"/>
      <c r="R928" s="562">
        <v>0.8</v>
      </c>
    </row>
    <row r="929" spans="18:18" s="560" customFormat="1">
      <c r="R929" s="562">
        <v>0.8</v>
      </c>
    </row>
    <row r="930" spans="18:18" s="560" customFormat="1">
      <c r="R930" s="562">
        <v>1</v>
      </c>
    </row>
    <row r="931" spans="18:18" s="560" customFormat="1">
      <c r="R931" s="562">
        <v>0.95</v>
      </c>
    </row>
    <row r="932" spans="18:18" s="560" customFormat="1">
      <c r="R932" s="562">
        <v>0.75</v>
      </c>
    </row>
    <row r="933" spans="18:18" s="560" customFormat="1">
      <c r="R933" s="562">
        <v>0.8</v>
      </c>
    </row>
    <row r="934" spans="18:18" s="560" customFormat="1">
      <c r="R934" s="562">
        <v>0.8</v>
      </c>
    </row>
    <row r="935" spans="18:18" s="560" customFormat="1">
      <c r="R935" s="562">
        <v>0.9</v>
      </c>
    </row>
    <row r="936" spans="18:18" s="560" customFormat="1">
      <c r="R936" s="562">
        <v>0.95</v>
      </c>
    </row>
    <row r="937" spans="18:18" s="560" customFormat="1">
      <c r="R937" s="562">
        <v>0.95</v>
      </c>
    </row>
    <row r="938" spans="18:18" s="560" customFormat="1">
      <c r="R938" s="562">
        <v>0.8</v>
      </c>
    </row>
    <row r="939" spans="18:18" s="560" customFormat="1">
      <c r="R939" s="562">
        <v>0.8</v>
      </c>
    </row>
    <row r="940" spans="18:18" s="560" customFormat="1">
      <c r="R940" s="562">
        <v>0.8</v>
      </c>
    </row>
    <row r="941" spans="18:18" s="560" customFormat="1">
      <c r="R941" s="562">
        <v>0.75</v>
      </c>
    </row>
    <row r="942" spans="18:18" s="560" customFormat="1">
      <c r="R942" s="562">
        <v>0.75</v>
      </c>
    </row>
    <row r="943" spans="18:18" s="560" customFormat="1">
      <c r="R943" s="562">
        <v>0.7</v>
      </c>
    </row>
    <row r="944" spans="18:18" s="560" customFormat="1">
      <c r="R944" s="562">
        <v>0.75</v>
      </c>
    </row>
    <row r="945" spans="16:30" s="560" customFormat="1">
      <c r="P945" s="561"/>
      <c r="Q945" s="562"/>
      <c r="R945" s="562">
        <v>0.7</v>
      </c>
      <c r="S945" s="562"/>
      <c r="T945" s="562"/>
      <c r="U945" s="562"/>
      <c r="V945" s="562"/>
      <c r="W945" s="562"/>
      <c r="X945" s="562"/>
      <c r="Y945" s="562"/>
      <c r="Z945" s="562"/>
      <c r="AA945" s="562"/>
      <c r="AB945" s="562"/>
      <c r="AC945" s="562"/>
      <c r="AD945" s="563"/>
    </row>
    <row r="946" spans="16:30" s="560" customFormat="1">
      <c r="P946" s="561"/>
      <c r="Q946" s="562" t="s">
        <v>1050</v>
      </c>
      <c r="R946" s="562"/>
      <c r="S946" s="562"/>
      <c r="T946" s="562"/>
      <c r="U946" s="562"/>
      <c r="V946" s="562"/>
      <c r="W946" s="562"/>
      <c r="X946" s="562"/>
      <c r="Y946" s="562"/>
      <c r="Z946" s="562"/>
      <c r="AA946" s="562"/>
      <c r="AB946" s="562"/>
      <c r="AC946" s="562"/>
      <c r="AD946" s="563"/>
    </row>
    <row r="947" spans="16:30" s="560" customFormat="1">
      <c r="P947" s="561"/>
      <c r="Q947" s="562"/>
      <c r="R947" s="562">
        <v>0.5</v>
      </c>
      <c r="S947" s="562"/>
      <c r="T947" s="562"/>
      <c r="U947" s="562"/>
      <c r="V947" s="562"/>
      <c r="W947" s="562"/>
      <c r="X947" s="562"/>
      <c r="Y947" s="562"/>
      <c r="Z947" s="562"/>
      <c r="AA947" s="562"/>
      <c r="AB947" s="562"/>
      <c r="AC947" s="562"/>
      <c r="AD947" s="563"/>
    </row>
    <row r="948" spans="16:30" s="560" customFormat="1">
      <c r="P948" s="561"/>
      <c r="Q948" s="562"/>
      <c r="R948" s="562">
        <v>0.65</v>
      </c>
      <c r="S948" s="562"/>
      <c r="T948" s="562"/>
      <c r="U948" s="562"/>
      <c r="V948" s="562"/>
      <c r="W948" s="562"/>
      <c r="X948" s="562"/>
      <c r="Y948" s="562"/>
      <c r="Z948" s="562"/>
      <c r="AA948" s="562"/>
      <c r="AB948" s="562"/>
      <c r="AC948" s="562"/>
      <c r="AD948" s="563"/>
    </row>
    <row r="949" spans="16:30" s="560" customFormat="1">
      <c r="P949" s="561"/>
      <c r="Q949" s="562"/>
      <c r="R949" s="562">
        <v>0.45</v>
      </c>
      <c r="S949" s="562"/>
      <c r="T949" s="562"/>
      <c r="U949" s="562"/>
      <c r="V949" s="562"/>
      <c r="W949" s="562"/>
      <c r="X949" s="562"/>
      <c r="Y949" s="562"/>
      <c r="Z949" s="562"/>
      <c r="AA949" s="562"/>
      <c r="AB949" s="562"/>
      <c r="AC949" s="562"/>
      <c r="AD949" s="563"/>
    </row>
    <row r="950" spans="16:30" s="560" customFormat="1">
      <c r="P950" s="561"/>
      <c r="Q950" s="562"/>
      <c r="R950" s="562">
        <v>0.6</v>
      </c>
      <c r="S950" s="562"/>
      <c r="T950" s="562"/>
      <c r="U950" s="562"/>
      <c r="V950" s="562"/>
      <c r="W950" s="562"/>
      <c r="X950" s="562"/>
      <c r="Y950" s="562"/>
      <c r="Z950" s="562"/>
      <c r="AA950" s="562"/>
      <c r="AB950" s="562"/>
      <c r="AC950" s="562"/>
      <c r="AD950" s="563"/>
    </row>
    <row r="951" spans="16:30" s="560" customFormat="1">
      <c r="P951" s="561"/>
      <c r="Q951" s="562"/>
      <c r="R951" s="562">
        <v>0.8</v>
      </c>
      <c r="S951" s="562"/>
      <c r="T951" s="562"/>
      <c r="U951" s="562"/>
      <c r="V951" s="562"/>
      <c r="W951" s="562"/>
      <c r="X951" s="562"/>
      <c r="Y951" s="562"/>
      <c r="Z951" s="562"/>
      <c r="AA951" s="562"/>
      <c r="AB951" s="562"/>
      <c r="AC951" s="562"/>
      <c r="AD951" s="563"/>
    </row>
    <row r="952" spans="16:30" s="560" customFormat="1">
      <c r="P952" s="561"/>
      <c r="Q952" s="562"/>
      <c r="R952" s="562">
        <f>COUNT(R836:R951)</f>
        <v>110</v>
      </c>
      <c r="S952" s="562"/>
      <c r="T952" s="562"/>
      <c r="U952" s="562"/>
      <c r="V952" s="562"/>
      <c r="W952" s="562"/>
      <c r="X952" s="562"/>
      <c r="Y952" s="562"/>
      <c r="Z952" s="562"/>
      <c r="AA952" s="562"/>
      <c r="AB952" s="562"/>
      <c r="AC952" s="562"/>
      <c r="AD952" s="563"/>
    </row>
    <row r="953" spans="16:30" s="560" customFormat="1">
      <c r="P953" s="567">
        <v>41152</v>
      </c>
      <c r="Q953" s="568" t="s">
        <v>725</v>
      </c>
      <c r="R953" s="568"/>
      <c r="S953" s="568" t="s">
        <v>726</v>
      </c>
      <c r="T953" s="569" t="s">
        <v>727</v>
      </c>
      <c r="U953" s="569" t="s">
        <v>728</v>
      </c>
      <c r="V953" s="569" t="s">
        <v>729</v>
      </c>
      <c r="W953" s="569" t="s">
        <v>730</v>
      </c>
      <c r="X953" s="569" t="s">
        <v>731</v>
      </c>
      <c r="Y953" s="568"/>
      <c r="Z953" s="562"/>
      <c r="AA953" s="562"/>
      <c r="AB953" s="562"/>
      <c r="AC953" s="562"/>
      <c r="AD953" s="563"/>
    </row>
    <row r="954" spans="16:30" s="560" customFormat="1">
      <c r="P954" s="561"/>
      <c r="Q954" s="568"/>
      <c r="R954" s="568"/>
      <c r="S954" s="568"/>
      <c r="T954" s="569" t="s">
        <v>1189</v>
      </c>
      <c r="U954" s="569" t="s">
        <v>1190</v>
      </c>
      <c r="V954" s="577"/>
      <c r="W954" s="577"/>
      <c r="X954" s="569"/>
      <c r="Y954" s="578" t="s">
        <v>1191</v>
      </c>
      <c r="Z954" s="562"/>
      <c r="AA954" s="562"/>
      <c r="AB954" s="562"/>
      <c r="AC954" s="562"/>
      <c r="AD954" s="563"/>
    </row>
    <row r="955" spans="16:30" s="560" customFormat="1">
      <c r="P955" s="561" t="s">
        <v>597</v>
      </c>
      <c r="Q955" s="578" t="s">
        <v>1192</v>
      </c>
      <c r="R955" s="578"/>
      <c r="S955" s="569"/>
      <c r="T955" s="568"/>
      <c r="U955" s="568"/>
      <c r="V955" s="569"/>
      <c r="W955" s="569"/>
      <c r="X955" s="569"/>
      <c r="Y955" s="569"/>
      <c r="Z955" s="562"/>
      <c r="AA955" s="562"/>
      <c r="AB955" s="562"/>
      <c r="AC955" s="562"/>
      <c r="AD955" s="563"/>
    </row>
    <row r="956" spans="16:30" s="560" customFormat="1">
      <c r="P956" s="587"/>
      <c r="Q956" s="588" t="s">
        <v>755</v>
      </c>
      <c r="R956" s="588" t="s">
        <v>756</v>
      </c>
      <c r="S956" s="588" t="s">
        <v>757</v>
      </c>
      <c r="T956" s="588" t="s">
        <v>758</v>
      </c>
      <c r="U956" s="588" t="s">
        <v>759</v>
      </c>
      <c r="V956" s="588" t="s">
        <v>760</v>
      </c>
      <c r="W956" s="588" t="s">
        <v>761</v>
      </c>
      <c r="X956" s="588" t="s">
        <v>762</v>
      </c>
      <c r="Y956" s="588" t="s">
        <v>763</v>
      </c>
      <c r="Z956" s="562"/>
      <c r="AA956" s="562"/>
      <c r="AB956" s="562"/>
      <c r="AC956" s="588" t="s">
        <v>764</v>
      </c>
      <c r="AD956" s="589"/>
    </row>
    <row r="957" spans="16:30" s="560" customFormat="1">
      <c r="P957" s="561"/>
      <c r="Q957" s="568" t="s">
        <v>775</v>
      </c>
      <c r="R957" s="562"/>
      <c r="S957" s="562"/>
      <c r="T957" s="562"/>
      <c r="U957" s="562"/>
      <c r="V957" s="562"/>
      <c r="W957" s="562"/>
      <c r="X957" s="584"/>
      <c r="Y957" s="562"/>
      <c r="Z957" s="562"/>
      <c r="AA957" s="562"/>
      <c r="AB957" s="562"/>
      <c r="AC957" s="577"/>
      <c r="AD957" s="589"/>
    </row>
    <row r="958" spans="16:30" s="560" customFormat="1">
      <c r="P958" s="561"/>
      <c r="Q958" s="568"/>
      <c r="R958" s="562">
        <v>1.3</v>
      </c>
      <c r="S958" s="568"/>
      <c r="T958" s="562"/>
      <c r="U958" s="562"/>
      <c r="V958" s="562"/>
      <c r="W958" s="562"/>
      <c r="X958" s="609"/>
      <c r="Y958" s="562"/>
      <c r="Z958" s="562"/>
      <c r="AA958" s="562"/>
      <c r="AB958" s="562"/>
      <c r="AC958" s="607" t="s">
        <v>780</v>
      </c>
      <c r="AD958" s="608" t="s">
        <v>616</v>
      </c>
    </row>
    <row r="959" spans="16:30" s="560" customFormat="1">
      <c r="P959" s="561"/>
      <c r="Q959" s="568"/>
      <c r="R959" s="562">
        <v>0.95</v>
      </c>
      <c r="S959" s="562"/>
      <c r="T959" s="562"/>
      <c r="U959" s="562"/>
      <c r="V959" s="562"/>
      <c r="W959" s="562"/>
      <c r="X959" s="584"/>
      <c r="Y959" s="562"/>
      <c r="Z959" s="562"/>
      <c r="AA959" s="562"/>
      <c r="AB959" s="562"/>
      <c r="AC959" s="607" t="s">
        <v>785</v>
      </c>
      <c r="AD959" s="608" t="s">
        <v>542</v>
      </c>
    </row>
    <row r="960" spans="16:30" s="560" customFormat="1">
      <c r="P960" s="561"/>
      <c r="Q960" s="562"/>
      <c r="R960" s="562">
        <v>0.6</v>
      </c>
      <c r="S960" s="562"/>
      <c r="T960" s="562"/>
      <c r="U960" s="562"/>
      <c r="V960" s="562"/>
      <c r="W960" s="562"/>
      <c r="X960" s="629"/>
      <c r="Y960" s="562"/>
      <c r="Z960" s="562"/>
      <c r="AA960" s="562"/>
      <c r="AB960" s="562"/>
      <c r="AC960" s="607" t="s">
        <v>789</v>
      </c>
      <c r="AD960" s="608" t="s">
        <v>790</v>
      </c>
    </row>
    <row r="961" spans="18:30" s="560" customFormat="1">
      <c r="R961" s="562">
        <v>0.6</v>
      </c>
      <c r="S961" s="562"/>
      <c r="T961" s="562"/>
      <c r="U961" s="562"/>
      <c r="V961" s="562"/>
      <c r="W961" s="562"/>
      <c r="X961" s="629"/>
      <c r="Y961" s="562"/>
      <c r="Z961" s="562"/>
      <c r="AA961" s="562"/>
      <c r="AB961" s="562"/>
      <c r="AC961" s="607" t="s">
        <v>791</v>
      </c>
      <c r="AD961" s="608" t="s">
        <v>792</v>
      </c>
    </row>
    <row r="962" spans="18:30" s="560" customFormat="1">
      <c r="R962" s="562">
        <v>0.8</v>
      </c>
      <c r="S962" s="562"/>
      <c r="T962" s="562"/>
      <c r="U962" s="562"/>
      <c r="V962" s="562"/>
      <c r="W962" s="562"/>
      <c r="X962" s="562"/>
      <c r="Y962" s="562"/>
      <c r="Z962" s="562"/>
      <c r="AA962" s="562"/>
      <c r="AB962" s="562"/>
      <c r="AC962" s="607" t="s">
        <v>794</v>
      </c>
      <c r="AD962" s="608" t="s">
        <v>795</v>
      </c>
    </row>
    <row r="963" spans="18:30" s="560" customFormat="1">
      <c r="R963" s="562">
        <v>0.9</v>
      </c>
      <c r="S963" s="562"/>
      <c r="T963" s="562"/>
      <c r="U963" s="562"/>
      <c r="V963" s="562"/>
      <c r="W963" s="562"/>
      <c r="X963" s="562"/>
      <c r="Y963" s="562"/>
      <c r="Z963" s="562"/>
      <c r="AA963" s="562"/>
      <c r="AB963" s="562"/>
      <c r="AC963" s="607" t="s">
        <v>798</v>
      </c>
      <c r="AD963" s="608" t="s">
        <v>546</v>
      </c>
    </row>
    <row r="964" spans="18:30" s="560" customFormat="1">
      <c r="R964" s="562">
        <v>1</v>
      </c>
      <c r="S964" s="562"/>
      <c r="T964" s="562"/>
      <c r="U964" s="562"/>
      <c r="V964" s="562"/>
      <c r="W964" s="562"/>
      <c r="X964" s="562"/>
      <c r="Y964" s="562"/>
      <c r="Z964" s="562"/>
      <c r="AA964" s="562"/>
      <c r="AB964" s="562"/>
      <c r="AC964" s="607" t="s">
        <v>800</v>
      </c>
      <c r="AD964" s="608" t="s">
        <v>801</v>
      </c>
    </row>
    <row r="965" spans="18:30" s="560" customFormat="1">
      <c r="R965" s="562">
        <v>0.9</v>
      </c>
      <c r="S965" s="562"/>
      <c r="T965" s="562"/>
      <c r="U965" s="562"/>
      <c r="V965" s="562"/>
      <c r="W965" s="562"/>
      <c r="X965" s="562"/>
      <c r="Y965" s="562"/>
      <c r="Z965" s="562"/>
      <c r="AA965" s="562"/>
      <c r="AB965" s="562"/>
      <c r="AC965" s="607" t="s">
        <v>804</v>
      </c>
      <c r="AD965" s="608" t="s">
        <v>805</v>
      </c>
    </row>
    <row r="966" spans="18:30" s="560" customFormat="1">
      <c r="R966" s="562">
        <v>0.9</v>
      </c>
      <c r="S966" s="562"/>
      <c r="T966" s="562"/>
      <c r="U966" s="562"/>
      <c r="V966" s="562"/>
      <c r="W966" s="562"/>
      <c r="X966" s="562"/>
      <c r="Y966" s="562"/>
      <c r="Z966" s="562"/>
      <c r="AA966" s="562"/>
      <c r="AB966" s="562"/>
      <c r="AC966" s="607" t="s">
        <v>807</v>
      </c>
      <c r="AD966" s="608" t="s">
        <v>808</v>
      </c>
    </row>
    <row r="967" spans="18:30" s="560" customFormat="1">
      <c r="R967" s="562">
        <v>0.75</v>
      </c>
      <c r="S967" s="562"/>
      <c r="T967" s="562"/>
      <c r="U967" s="562"/>
      <c r="V967" s="562"/>
      <c r="W967" s="562"/>
      <c r="X967" s="562"/>
      <c r="Y967" s="562"/>
      <c r="Z967" s="562"/>
      <c r="AA967" s="562"/>
      <c r="AB967" s="562"/>
      <c r="AC967" s="607" t="s">
        <v>810</v>
      </c>
      <c r="AD967" s="608" t="s">
        <v>550</v>
      </c>
    </row>
    <row r="968" spans="18:30" s="560" customFormat="1">
      <c r="R968" s="562">
        <v>0.8</v>
      </c>
      <c r="S968" s="562"/>
      <c r="T968" s="562"/>
      <c r="U968" s="562"/>
      <c r="V968" s="562"/>
      <c r="W968" s="562"/>
      <c r="X968" s="562"/>
      <c r="Y968" s="562"/>
      <c r="Z968" s="562"/>
      <c r="AA968" s="562"/>
      <c r="AB968" s="562"/>
      <c r="AC968" s="607" t="s">
        <v>813</v>
      </c>
      <c r="AD968" s="608" t="s">
        <v>552</v>
      </c>
    </row>
    <row r="969" spans="18:30" s="560" customFormat="1">
      <c r="R969" s="562">
        <v>0.9</v>
      </c>
      <c r="S969" s="562"/>
      <c r="T969" s="562"/>
      <c r="U969" s="562"/>
      <c r="V969" s="562"/>
      <c r="W969" s="562"/>
      <c r="X969" s="562"/>
      <c r="Y969" s="562"/>
      <c r="Z969" s="562"/>
      <c r="AA969" s="562"/>
      <c r="AB969" s="562"/>
      <c r="AC969" s="607" t="s">
        <v>815</v>
      </c>
      <c r="AD969" s="608" t="s">
        <v>816</v>
      </c>
    </row>
    <row r="970" spans="18:30" s="560" customFormat="1">
      <c r="R970" s="562">
        <v>0.75</v>
      </c>
      <c r="S970" s="562"/>
      <c r="T970" s="562"/>
      <c r="U970" s="562"/>
      <c r="V970" s="562"/>
      <c r="W970" s="562"/>
      <c r="X970" s="562"/>
      <c r="Y970" s="562"/>
      <c r="Z970" s="562"/>
      <c r="AA970" s="562"/>
      <c r="AB970" s="562"/>
      <c r="AC970" s="562"/>
      <c r="AD970" s="563"/>
    </row>
    <row r="971" spans="18:30" s="560" customFormat="1">
      <c r="R971" s="562">
        <f>+(R970+R972)/2</f>
        <v>0.8</v>
      </c>
      <c r="S971" s="562"/>
      <c r="T971" s="562"/>
      <c r="U971" s="562"/>
      <c r="V971" s="562"/>
      <c r="W971" s="562"/>
      <c r="X971" s="562"/>
      <c r="Y971" s="562"/>
      <c r="Z971" s="562"/>
      <c r="AA971" s="562"/>
      <c r="AB971" s="562"/>
      <c r="AC971" s="562"/>
      <c r="AD971" s="563"/>
    </row>
    <row r="972" spans="18:30" s="560" customFormat="1">
      <c r="R972" s="562">
        <v>0.85</v>
      </c>
      <c r="S972" s="562"/>
      <c r="T972" s="562"/>
      <c r="U972" s="562"/>
      <c r="V972" s="562"/>
      <c r="W972" s="562"/>
      <c r="X972" s="562"/>
      <c r="Y972" s="562"/>
      <c r="Z972" s="562"/>
      <c r="AA972" s="562"/>
      <c r="AB972" s="562"/>
      <c r="AC972" s="562"/>
      <c r="AD972" s="563"/>
    </row>
    <row r="973" spans="18:30" s="560" customFormat="1">
      <c r="R973" s="562">
        <v>0.9</v>
      </c>
      <c r="S973" s="562"/>
      <c r="T973" s="562"/>
      <c r="U973" s="562"/>
      <c r="V973" s="562"/>
      <c r="W973" s="562"/>
      <c r="X973" s="562"/>
      <c r="Y973" s="562"/>
      <c r="Z973" s="562"/>
      <c r="AA973" s="562"/>
      <c r="AB973" s="562"/>
      <c r="AC973" s="562"/>
      <c r="AD973" s="563"/>
    </row>
    <row r="974" spans="18:30" s="560" customFormat="1">
      <c r="R974" s="562">
        <v>0.75</v>
      </c>
      <c r="S974" s="562"/>
      <c r="T974" s="562"/>
      <c r="U974" s="562"/>
      <c r="V974" s="562"/>
      <c r="W974" s="562"/>
      <c r="X974" s="562"/>
      <c r="Y974" s="562"/>
      <c r="Z974" s="562"/>
      <c r="AA974" s="562"/>
      <c r="AB974" s="562"/>
      <c r="AC974" s="562"/>
      <c r="AD974" s="563"/>
    </row>
    <row r="975" spans="18:30" s="560" customFormat="1">
      <c r="R975" s="562">
        <f>+(R974+R976)/2</f>
        <v>0.81</v>
      </c>
      <c r="S975" s="562"/>
      <c r="T975" s="562"/>
      <c r="U975" s="562"/>
      <c r="V975" s="562"/>
      <c r="W975" s="562"/>
      <c r="X975" s="562"/>
      <c r="Y975" s="562"/>
      <c r="Z975" s="562"/>
      <c r="AA975" s="562"/>
      <c r="AB975" s="562"/>
      <c r="AC975" s="562"/>
      <c r="AD975" s="563"/>
    </row>
    <row r="976" spans="18:30" s="560" customFormat="1">
      <c r="R976" s="562">
        <v>0.87</v>
      </c>
      <c r="S976" s="562"/>
      <c r="T976" s="562"/>
      <c r="U976" s="562"/>
      <c r="V976" s="562"/>
      <c r="W976" s="562"/>
      <c r="X976" s="562"/>
      <c r="Y976" s="562"/>
      <c r="Z976" s="562"/>
      <c r="AA976" s="562"/>
      <c r="AB976" s="562"/>
      <c r="AC976" s="562"/>
      <c r="AD976" s="563"/>
    </row>
    <row r="977" spans="18:18" s="560" customFormat="1">
      <c r="R977" s="562">
        <v>0.89</v>
      </c>
    </row>
    <row r="978" spans="18:18" s="560" customFormat="1">
      <c r="R978" s="562">
        <v>0.9</v>
      </c>
    </row>
    <row r="979" spans="18:18" s="560" customFormat="1">
      <c r="R979" s="562">
        <v>0.8</v>
      </c>
    </row>
    <row r="980" spans="18:18" s="560" customFormat="1">
      <c r="R980" s="562">
        <v>0.85</v>
      </c>
    </row>
    <row r="981" spans="18:18" s="560" customFormat="1">
      <c r="R981" s="562">
        <v>0.9</v>
      </c>
    </row>
    <row r="982" spans="18:18" s="560" customFormat="1">
      <c r="R982" s="562">
        <f>+(R981+R983)/2</f>
        <v>0.9</v>
      </c>
    </row>
    <row r="983" spans="18:18" s="560" customFormat="1">
      <c r="R983" s="562">
        <v>0.9</v>
      </c>
    </row>
    <row r="984" spans="18:18" s="560" customFormat="1">
      <c r="R984" s="562">
        <f>+(R983+R985)/2</f>
        <v>0.75</v>
      </c>
    </row>
    <row r="985" spans="18:18" s="560" customFormat="1">
      <c r="R985" s="562">
        <v>0.6</v>
      </c>
    </row>
    <row r="986" spans="18:18" s="560" customFormat="1">
      <c r="R986" s="562" t="s">
        <v>799</v>
      </c>
    </row>
    <row r="987" spans="18:18" s="560" customFormat="1">
      <c r="R987" s="562">
        <v>0.65</v>
      </c>
    </row>
    <row r="988" spans="18:18" s="560" customFormat="1">
      <c r="R988" s="562">
        <v>0.8</v>
      </c>
    </row>
    <row r="989" spans="18:18" s="560" customFormat="1">
      <c r="R989" s="562">
        <f>+(R988+R990)/2</f>
        <v>0.8</v>
      </c>
    </row>
    <row r="990" spans="18:18" s="560" customFormat="1">
      <c r="R990" s="562">
        <v>0.8</v>
      </c>
    </row>
    <row r="991" spans="18:18" s="560" customFormat="1">
      <c r="R991" s="562">
        <v>0.95</v>
      </c>
    </row>
    <row r="992" spans="18:18" s="560" customFormat="1">
      <c r="R992" s="562">
        <f>+(R991+R993)/2</f>
        <v>0.92500000000000004</v>
      </c>
    </row>
    <row r="993" spans="18:18" s="560" customFormat="1">
      <c r="R993" s="562">
        <v>0.9</v>
      </c>
    </row>
    <row r="994" spans="18:18" s="560" customFormat="1">
      <c r="R994" s="562">
        <v>0.95</v>
      </c>
    </row>
    <row r="995" spans="18:18" s="560" customFormat="1">
      <c r="R995" s="562">
        <v>0.9</v>
      </c>
    </row>
    <row r="996" spans="18:18" s="560" customFormat="1">
      <c r="R996" s="562">
        <v>0.8</v>
      </c>
    </row>
    <row r="997" spans="18:18" s="560" customFormat="1">
      <c r="R997" s="562">
        <v>1</v>
      </c>
    </row>
    <row r="998" spans="18:18" s="560" customFormat="1">
      <c r="R998" s="562">
        <f>+(R997+R999)/2</f>
        <v>0.95</v>
      </c>
    </row>
    <row r="999" spans="18:18" s="560" customFormat="1">
      <c r="R999" s="562">
        <v>0.9</v>
      </c>
    </row>
    <row r="1000" spans="18:18" s="560" customFormat="1">
      <c r="R1000" s="562">
        <v>0.8</v>
      </c>
    </row>
    <row r="1001" spans="18:18" s="560" customFormat="1">
      <c r="R1001" s="562">
        <v>0.9</v>
      </c>
    </row>
    <row r="1002" spans="18:18" s="560" customFormat="1">
      <c r="R1002" s="562" t="s">
        <v>1019</v>
      </c>
    </row>
    <row r="1003" spans="18:18" s="560" customFormat="1">
      <c r="R1003" s="562">
        <v>0.9</v>
      </c>
    </row>
    <row r="1004" spans="18:18" s="560" customFormat="1">
      <c r="R1004" s="562">
        <v>0.9</v>
      </c>
    </row>
    <row r="1005" spans="18:18" s="560" customFormat="1">
      <c r="R1005" s="562">
        <v>0.9</v>
      </c>
    </row>
    <row r="1006" spans="18:18" s="560" customFormat="1">
      <c r="R1006" s="562">
        <v>0.9</v>
      </c>
    </row>
    <row r="1007" spans="18:18" s="560" customFormat="1">
      <c r="R1007" s="562">
        <v>0.95</v>
      </c>
    </row>
    <row r="1008" spans="18:18" s="560" customFormat="1">
      <c r="R1008" s="562">
        <v>0.85</v>
      </c>
    </row>
    <row r="1009" spans="16:30" s="560" customFormat="1">
      <c r="P1009" s="561"/>
      <c r="Q1009" s="562"/>
      <c r="R1009" s="562">
        <v>0.9</v>
      </c>
      <c r="S1009" s="562"/>
      <c r="T1009" s="562"/>
      <c r="U1009" s="562"/>
      <c r="V1009" s="562"/>
      <c r="W1009" s="562"/>
      <c r="X1009" s="562"/>
      <c r="Y1009" s="562"/>
      <c r="Z1009" s="562"/>
      <c r="AA1009" s="562"/>
      <c r="AB1009" s="562"/>
      <c r="AC1009" s="562"/>
      <c r="AD1009" s="563"/>
    </row>
    <row r="1010" spans="16:30" s="560" customFormat="1">
      <c r="P1010" s="561"/>
      <c r="Q1010" s="562"/>
      <c r="R1010" s="562">
        <v>0.95</v>
      </c>
      <c r="S1010" s="562"/>
      <c r="T1010" s="562"/>
      <c r="U1010" s="562"/>
      <c r="V1010" s="562"/>
      <c r="W1010" s="562"/>
      <c r="X1010" s="562"/>
      <c r="Y1010" s="562"/>
      <c r="Z1010" s="562"/>
      <c r="AA1010" s="562"/>
      <c r="AB1010" s="562"/>
      <c r="AC1010" s="562"/>
      <c r="AD1010" s="563"/>
    </row>
    <row r="1011" spans="16:30" s="560" customFormat="1">
      <c r="P1011" s="561"/>
      <c r="Q1011" s="562"/>
      <c r="R1011" s="562">
        <f>+(R1010+R1012)/2</f>
        <v>0.95</v>
      </c>
      <c r="S1011" s="562"/>
      <c r="T1011" s="562"/>
      <c r="U1011" s="562"/>
      <c r="V1011" s="562"/>
      <c r="W1011" s="562"/>
      <c r="X1011" s="562"/>
      <c r="Y1011" s="562"/>
      <c r="Z1011" s="562"/>
      <c r="AA1011" s="562"/>
      <c r="AB1011" s="562"/>
      <c r="AC1011" s="562"/>
      <c r="AD1011" s="563"/>
    </row>
    <row r="1012" spans="16:30" s="560" customFormat="1">
      <c r="P1012" s="561"/>
      <c r="Q1012" s="562"/>
      <c r="R1012" s="562">
        <v>0.95</v>
      </c>
      <c r="S1012" s="562"/>
      <c r="T1012" s="562"/>
      <c r="U1012" s="562"/>
      <c r="V1012" s="562"/>
      <c r="W1012" s="562"/>
      <c r="X1012" s="562"/>
      <c r="Y1012" s="562"/>
      <c r="Z1012" s="562"/>
      <c r="AA1012" s="562"/>
      <c r="AB1012" s="562"/>
      <c r="AC1012" s="562"/>
      <c r="AD1012" s="563"/>
    </row>
    <row r="1013" spans="16:30" s="560" customFormat="1">
      <c r="P1013" s="561"/>
      <c r="Q1013" s="562"/>
      <c r="R1013" s="562">
        <v>1</v>
      </c>
      <c r="S1013" s="562"/>
      <c r="T1013" s="562"/>
      <c r="U1013" s="562"/>
      <c r="V1013" s="562"/>
      <c r="W1013" s="562"/>
      <c r="X1013" s="562"/>
      <c r="Y1013" s="562"/>
      <c r="Z1013" s="562"/>
      <c r="AA1013" s="562"/>
      <c r="AB1013" s="562"/>
      <c r="AC1013" s="562"/>
      <c r="AD1013" s="563"/>
    </row>
    <row r="1014" spans="16:30" s="560" customFormat="1">
      <c r="P1014" s="561"/>
      <c r="Q1014" s="562"/>
      <c r="R1014" s="562">
        <f>+(R1013+R1015)/2</f>
        <v>0.82499999999999996</v>
      </c>
      <c r="S1014" s="562"/>
      <c r="T1014" s="562"/>
      <c r="U1014" s="562"/>
      <c r="V1014" s="562"/>
      <c r="W1014" s="562"/>
      <c r="X1014" s="562"/>
      <c r="Y1014" s="562"/>
      <c r="Z1014" s="562"/>
      <c r="AA1014" s="562"/>
      <c r="AB1014" s="562"/>
      <c r="AC1014" s="562"/>
      <c r="AD1014" s="563"/>
    </row>
    <row r="1015" spans="16:30" s="560" customFormat="1">
      <c r="P1015" s="561"/>
      <c r="Q1015" s="562"/>
      <c r="R1015" s="562">
        <v>0.65</v>
      </c>
      <c r="S1015" s="562"/>
      <c r="T1015" s="562"/>
      <c r="U1015" s="562"/>
      <c r="V1015" s="562"/>
      <c r="W1015" s="562"/>
      <c r="X1015" s="562"/>
      <c r="Y1015" s="562"/>
      <c r="Z1015" s="562"/>
      <c r="AA1015" s="562"/>
      <c r="AB1015" s="562"/>
      <c r="AC1015" s="562"/>
      <c r="AD1015" s="563"/>
    </row>
    <row r="1016" spans="16:30" s="560" customFormat="1">
      <c r="P1016" s="561"/>
      <c r="Q1016" s="562"/>
      <c r="R1016" s="562">
        <v>0.43</v>
      </c>
      <c r="S1016" s="562"/>
      <c r="T1016" s="562"/>
      <c r="U1016" s="562"/>
      <c r="V1016" s="562"/>
      <c r="W1016" s="562"/>
      <c r="X1016" s="562"/>
      <c r="Y1016" s="562"/>
      <c r="Z1016" s="562"/>
      <c r="AA1016" s="562"/>
      <c r="AB1016" s="562"/>
      <c r="AC1016" s="562"/>
      <c r="AD1016" s="563"/>
    </row>
    <row r="1017" spans="16:30" s="560" customFormat="1">
      <c r="P1017" s="561"/>
      <c r="Q1017" s="562"/>
      <c r="R1017" s="562">
        <f>COUNT(R958:R1016)</f>
        <v>57</v>
      </c>
      <c r="S1017" s="562"/>
      <c r="T1017" s="562"/>
      <c r="U1017" s="562"/>
      <c r="V1017" s="562"/>
      <c r="W1017" s="562"/>
      <c r="X1017" s="562"/>
      <c r="Y1017" s="562"/>
      <c r="Z1017" s="562"/>
      <c r="AA1017" s="562"/>
      <c r="AB1017" s="562"/>
      <c r="AC1017" s="562"/>
      <c r="AD1017" s="563"/>
    </row>
    <row r="1018" spans="16:30" s="560" customFormat="1">
      <c r="P1018" s="567">
        <v>41154</v>
      </c>
      <c r="Q1018" s="568" t="s">
        <v>725</v>
      </c>
      <c r="R1018" s="568"/>
      <c r="S1018" s="568" t="s">
        <v>726</v>
      </c>
      <c r="T1018" s="569" t="s">
        <v>727</v>
      </c>
      <c r="U1018" s="569" t="s">
        <v>728</v>
      </c>
      <c r="V1018" s="569" t="s">
        <v>729</v>
      </c>
      <c r="W1018" s="569" t="s">
        <v>730</v>
      </c>
      <c r="X1018" s="569" t="s">
        <v>731</v>
      </c>
      <c r="Y1018" s="568"/>
      <c r="Z1018" s="562"/>
      <c r="AA1018" s="562"/>
      <c r="AB1018" s="562"/>
      <c r="AC1018" s="562"/>
      <c r="AD1018" s="563"/>
    </row>
    <row r="1019" spans="16:30" s="560" customFormat="1">
      <c r="P1019" s="561"/>
      <c r="Q1019" s="568"/>
      <c r="R1019" s="568"/>
      <c r="S1019" s="568"/>
      <c r="T1019" s="569" t="s">
        <v>1193</v>
      </c>
      <c r="U1019" s="569" t="s">
        <v>1194</v>
      </c>
      <c r="V1019" s="577"/>
      <c r="W1019" s="577"/>
      <c r="X1019" s="569"/>
      <c r="Y1019" s="578" t="s">
        <v>1195</v>
      </c>
      <c r="Z1019" s="562"/>
      <c r="AA1019" s="562"/>
      <c r="AB1019" s="562"/>
      <c r="AC1019" s="562"/>
      <c r="AD1019" s="563"/>
    </row>
    <row r="1020" spans="16:30" s="560" customFormat="1">
      <c r="P1020" s="561" t="s">
        <v>599</v>
      </c>
      <c r="Q1020" s="578" t="s">
        <v>1196</v>
      </c>
      <c r="R1020" s="578"/>
      <c r="S1020" s="569"/>
      <c r="T1020" s="568"/>
      <c r="U1020" s="568"/>
      <c r="V1020" s="569"/>
      <c r="W1020" s="569"/>
      <c r="X1020" s="569"/>
      <c r="Y1020" s="569"/>
      <c r="Z1020" s="562"/>
      <c r="AA1020" s="562"/>
      <c r="AB1020" s="562"/>
      <c r="AC1020" s="562"/>
      <c r="AD1020" s="563"/>
    </row>
    <row r="1021" spans="16:30" s="560" customFormat="1">
      <c r="P1021" s="587"/>
      <c r="Q1021" s="588" t="s">
        <v>755</v>
      </c>
      <c r="R1021" s="588" t="s">
        <v>756</v>
      </c>
      <c r="S1021" s="588" t="s">
        <v>757</v>
      </c>
      <c r="T1021" s="588" t="s">
        <v>758</v>
      </c>
      <c r="U1021" s="588" t="s">
        <v>759</v>
      </c>
      <c r="V1021" s="588" t="s">
        <v>760</v>
      </c>
      <c r="W1021" s="588" t="s">
        <v>761</v>
      </c>
      <c r="X1021" s="588" t="s">
        <v>762</v>
      </c>
      <c r="Y1021" s="588" t="s">
        <v>763</v>
      </c>
      <c r="Z1021" s="562"/>
      <c r="AA1021" s="562"/>
      <c r="AB1021" s="562"/>
      <c r="AC1021" s="588" t="s">
        <v>764</v>
      </c>
      <c r="AD1021" s="589"/>
    </row>
    <row r="1022" spans="16:30" s="560" customFormat="1">
      <c r="P1022" s="561"/>
      <c r="Q1022" s="568" t="s">
        <v>775</v>
      </c>
      <c r="R1022" s="562"/>
      <c r="S1022" s="562"/>
      <c r="T1022" s="562"/>
      <c r="U1022" s="562"/>
      <c r="V1022" s="562"/>
      <c r="W1022" s="562"/>
      <c r="X1022" s="584"/>
      <c r="Y1022" s="562"/>
      <c r="Z1022" s="562"/>
      <c r="AA1022" s="562"/>
      <c r="AB1022" s="562"/>
      <c r="AC1022" s="577"/>
      <c r="AD1022" s="589"/>
    </row>
    <row r="1023" spans="16:30" s="560" customFormat="1">
      <c r="P1023" s="561"/>
      <c r="Q1023" s="568"/>
      <c r="R1023" s="562">
        <v>0.4</v>
      </c>
      <c r="S1023" s="568"/>
      <c r="T1023" s="562"/>
      <c r="U1023" s="562"/>
      <c r="V1023" s="562"/>
      <c r="W1023" s="562"/>
      <c r="X1023" s="609"/>
      <c r="Y1023" s="562"/>
      <c r="Z1023" s="562"/>
      <c r="AA1023" s="562"/>
      <c r="AB1023" s="562"/>
      <c r="AC1023" s="607" t="s">
        <v>780</v>
      </c>
      <c r="AD1023" s="608" t="s">
        <v>616</v>
      </c>
    </row>
    <row r="1024" spans="16:30" s="560" customFormat="1">
      <c r="P1024" s="561"/>
      <c r="Q1024" s="568"/>
      <c r="R1024" s="562">
        <v>0.42</v>
      </c>
      <c r="S1024" s="562"/>
      <c r="T1024" s="562"/>
      <c r="U1024" s="562"/>
      <c r="V1024" s="562"/>
      <c r="W1024" s="562"/>
      <c r="X1024" s="584"/>
      <c r="Y1024" s="562"/>
      <c r="Z1024" s="562"/>
      <c r="AA1024" s="562"/>
      <c r="AB1024" s="562"/>
      <c r="AC1024" s="607" t="s">
        <v>785</v>
      </c>
      <c r="AD1024" s="608" t="s">
        <v>542</v>
      </c>
    </row>
    <row r="1025" spans="17:30" s="560" customFormat="1">
      <c r="Q1025" s="562"/>
      <c r="R1025" s="562">
        <v>0.45</v>
      </c>
      <c r="S1025" s="562"/>
      <c r="T1025" s="562"/>
      <c r="U1025" s="562"/>
      <c r="V1025" s="562"/>
      <c r="W1025" s="562"/>
      <c r="X1025" s="629"/>
      <c r="Y1025" s="562"/>
      <c r="Z1025" s="562"/>
      <c r="AA1025" s="562"/>
      <c r="AB1025" s="562"/>
      <c r="AC1025" s="607" t="s">
        <v>789</v>
      </c>
      <c r="AD1025" s="608" t="s">
        <v>790</v>
      </c>
    </row>
    <row r="1026" spans="17:30" s="560" customFormat="1">
      <c r="Q1026" s="562"/>
      <c r="R1026" s="562">
        <v>0.47</v>
      </c>
      <c r="S1026" s="562"/>
      <c r="T1026" s="562"/>
      <c r="U1026" s="562"/>
      <c r="V1026" s="562"/>
      <c r="W1026" s="562"/>
      <c r="X1026" s="629"/>
      <c r="Y1026" s="562"/>
      <c r="Z1026" s="562"/>
      <c r="AA1026" s="562"/>
      <c r="AB1026" s="562"/>
      <c r="AC1026" s="607" t="s">
        <v>791</v>
      </c>
      <c r="AD1026" s="608" t="s">
        <v>792</v>
      </c>
    </row>
    <row r="1027" spans="17:30" s="560" customFormat="1">
      <c r="Q1027" s="562"/>
      <c r="R1027" s="562">
        <v>0.45</v>
      </c>
      <c r="S1027" s="562"/>
      <c r="T1027" s="562"/>
      <c r="U1027" s="562"/>
      <c r="V1027" s="562"/>
      <c r="W1027" s="562"/>
      <c r="X1027" s="562"/>
      <c r="Y1027" s="562"/>
      <c r="Z1027" s="562"/>
      <c r="AA1027" s="562"/>
      <c r="AB1027" s="562"/>
      <c r="AC1027" s="607" t="s">
        <v>794</v>
      </c>
      <c r="AD1027" s="608" t="s">
        <v>795</v>
      </c>
    </row>
    <row r="1028" spans="17:30" s="560" customFormat="1">
      <c r="Q1028" s="562"/>
      <c r="R1028" s="562">
        <v>0.5</v>
      </c>
      <c r="S1028" s="562"/>
      <c r="T1028" s="562"/>
      <c r="U1028" s="562"/>
      <c r="V1028" s="562"/>
      <c r="W1028" s="562"/>
      <c r="X1028" s="562"/>
      <c r="Y1028" s="562"/>
      <c r="Z1028" s="562"/>
      <c r="AA1028" s="562"/>
      <c r="AB1028" s="562"/>
      <c r="AC1028" s="607" t="s">
        <v>798</v>
      </c>
      <c r="AD1028" s="608" t="s">
        <v>546</v>
      </c>
    </row>
    <row r="1029" spans="17:30" s="560" customFormat="1">
      <c r="Q1029" s="562"/>
      <c r="R1029" s="562">
        <v>0.45</v>
      </c>
      <c r="S1029" s="562"/>
      <c r="T1029" s="562"/>
      <c r="U1029" s="562"/>
      <c r="V1029" s="562"/>
      <c r="W1029" s="562"/>
      <c r="X1029" s="562"/>
      <c r="Y1029" s="562"/>
      <c r="Z1029" s="562"/>
      <c r="AA1029" s="562"/>
      <c r="AB1029" s="562"/>
      <c r="AC1029" s="607" t="s">
        <v>800</v>
      </c>
      <c r="AD1029" s="608" t="s">
        <v>801</v>
      </c>
    </row>
    <row r="1030" spans="17:30" s="560" customFormat="1">
      <c r="Q1030" s="562"/>
      <c r="R1030" s="562">
        <v>0.45</v>
      </c>
      <c r="S1030" s="562"/>
      <c r="T1030" s="562"/>
      <c r="U1030" s="562"/>
      <c r="V1030" s="562"/>
      <c r="W1030" s="562"/>
      <c r="X1030" s="562"/>
      <c r="Y1030" s="562"/>
      <c r="Z1030" s="562"/>
      <c r="AA1030" s="562"/>
      <c r="AB1030" s="562"/>
      <c r="AC1030" s="607" t="s">
        <v>804</v>
      </c>
      <c r="AD1030" s="608" t="s">
        <v>805</v>
      </c>
    </row>
    <row r="1031" spans="17:30" s="560" customFormat="1">
      <c r="Q1031" s="562"/>
      <c r="R1031" s="562">
        <v>0.5</v>
      </c>
      <c r="S1031" s="562"/>
      <c r="T1031" s="562"/>
      <c r="U1031" s="562"/>
      <c r="V1031" s="562"/>
      <c r="W1031" s="562"/>
      <c r="X1031" s="562"/>
      <c r="Y1031" s="562"/>
      <c r="Z1031" s="562"/>
      <c r="AA1031" s="562"/>
      <c r="AB1031" s="562"/>
      <c r="AC1031" s="607" t="s">
        <v>807</v>
      </c>
      <c r="AD1031" s="608" t="s">
        <v>808</v>
      </c>
    </row>
    <row r="1032" spans="17:30" s="560" customFormat="1">
      <c r="Q1032" s="562"/>
      <c r="R1032" s="562">
        <v>0.47</v>
      </c>
      <c r="S1032" s="562"/>
      <c r="T1032" s="562"/>
      <c r="U1032" s="562"/>
      <c r="V1032" s="562"/>
      <c r="W1032" s="562"/>
      <c r="X1032" s="562"/>
      <c r="Y1032" s="562"/>
      <c r="Z1032" s="562"/>
      <c r="AA1032" s="562"/>
      <c r="AB1032" s="562"/>
      <c r="AC1032" s="607" t="s">
        <v>810</v>
      </c>
      <c r="AD1032" s="608" t="s">
        <v>550</v>
      </c>
    </row>
    <row r="1033" spans="17:30" s="560" customFormat="1">
      <c r="Q1033" s="562"/>
      <c r="R1033" s="562">
        <v>0.55000000000000004</v>
      </c>
      <c r="S1033" s="562"/>
      <c r="T1033" s="562"/>
      <c r="U1033" s="562"/>
      <c r="V1033" s="562"/>
      <c r="W1033" s="562"/>
      <c r="X1033" s="562"/>
      <c r="Y1033" s="562"/>
      <c r="Z1033" s="562"/>
      <c r="AA1033" s="562"/>
      <c r="AB1033" s="562"/>
      <c r="AC1033" s="607" t="s">
        <v>813</v>
      </c>
      <c r="AD1033" s="608" t="s">
        <v>552</v>
      </c>
    </row>
    <row r="1034" spans="17:30" s="560" customFormat="1">
      <c r="Q1034" s="562"/>
      <c r="R1034" s="562">
        <v>0.42</v>
      </c>
      <c r="S1034" s="562"/>
      <c r="T1034" s="562"/>
      <c r="U1034" s="562"/>
      <c r="V1034" s="562"/>
      <c r="W1034" s="562"/>
      <c r="X1034" s="562"/>
      <c r="Y1034" s="562"/>
      <c r="Z1034" s="562"/>
      <c r="AA1034" s="562"/>
      <c r="AB1034" s="562"/>
      <c r="AC1034" s="607" t="s">
        <v>815</v>
      </c>
      <c r="AD1034" s="608" t="s">
        <v>816</v>
      </c>
    </row>
    <row r="1035" spans="17:30" s="560" customFormat="1">
      <c r="Q1035" s="562"/>
      <c r="R1035" s="562">
        <v>0.55000000000000004</v>
      </c>
      <c r="S1035" s="562"/>
      <c r="T1035" s="562"/>
      <c r="U1035" s="562"/>
      <c r="V1035" s="562"/>
      <c r="W1035" s="562"/>
      <c r="X1035" s="562"/>
      <c r="Y1035" s="562"/>
      <c r="Z1035" s="562"/>
      <c r="AA1035" s="562"/>
      <c r="AB1035" s="562"/>
      <c r="AC1035" s="562"/>
      <c r="AD1035" s="563"/>
    </row>
    <row r="1036" spans="17:30" s="560" customFormat="1">
      <c r="Q1036" s="562"/>
      <c r="R1036" s="562">
        <v>0.35</v>
      </c>
      <c r="S1036" s="562"/>
      <c r="T1036" s="562"/>
      <c r="U1036" s="562"/>
      <c r="V1036" s="562"/>
      <c r="W1036" s="562"/>
      <c r="X1036" s="562"/>
      <c r="Y1036" s="562"/>
      <c r="Z1036" s="562"/>
      <c r="AA1036" s="562"/>
      <c r="AB1036" s="562"/>
      <c r="AC1036" s="562"/>
      <c r="AD1036" s="563"/>
    </row>
    <row r="1037" spans="17:30" s="560" customFormat="1">
      <c r="Q1037" s="562" t="s">
        <v>821</v>
      </c>
      <c r="R1037" s="562"/>
      <c r="S1037" s="562"/>
      <c r="T1037" s="562"/>
      <c r="U1037" s="562"/>
      <c r="V1037" s="562"/>
      <c r="W1037" s="562"/>
      <c r="X1037" s="562"/>
      <c r="Y1037" s="562"/>
      <c r="Z1037" s="562"/>
      <c r="AA1037" s="562"/>
      <c r="AB1037" s="562"/>
      <c r="AC1037" s="562"/>
      <c r="AD1037" s="563"/>
    </row>
    <row r="1038" spans="17:30" s="560" customFormat="1">
      <c r="Q1038" s="562"/>
      <c r="R1038" s="562">
        <v>0.4</v>
      </c>
      <c r="S1038" s="562"/>
      <c r="T1038" s="562"/>
      <c r="U1038" s="562"/>
      <c r="V1038" s="562"/>
      <c r="W1038" s="562"/>
      <c r="X1038" s="562"/>
      <c r="Y1038" s="562"/>
      <c r="Z1038" s="562"/>
      <c r="AA1038" s="562"/>
      <c r="AB1038" s="562"/>
      <c r="AC1038" s="562"/>
      <c r="AD1038" s="563"/>
    </row>
    <row r="1039" spans="17:30" s="560" customFormat="1">
      <c r="Q1039" s="562"/>
      <c r="R1039" s="562">
        <v>0.5</v>
      </c>
      <c r="S1039" s="562"/>
      <c r="T1039" s="562"/>
      <c r="U1039" s="562"/>
      <c r="V1039" s="562"/>
      <c r="W1039" s="562"/>
      <c r="X1039" s="562"/>
      <c r="Y1039" s="562"/>
      <c r="Z1039" s="562"/>
      <c r="AA1039" s="562"/>
      <c r="AB1039" s="562"/>
      <c r="AC1039" s="562"/>
      <c r="AD1039" s="563"/>
    </row>
    <row r="1040" spans="17:30" s="560" customFormat="1">
      <c r="Q1040" s="562"/>
      <c r="R1040" s="562">
        <v>0.5</v>
      </c>
      <c r="S1040" s="562"/>
      <c r="T1040" s="562"/>
      <c r="U1040" s="562"/>
      <c r="V1040" s="562"/>
      <c r="W1040" s="562"/>
      <c r="X1040" s="562"/>
      <c r="Y1040" s="562"/>
      <c r="Z1040" s="562"/>
      <c r="AA1040" s="562"/>
      <c r="AB1040" s="562"/>
      <c r="AC1040" s="562"/>
      <c r="AD1040" s="563"/>
    </row>
    <row r="1041" spans="17:25" s="560" customFormat="1">
      <c r="Q1041" s="562"/>
      <c r="R1041" s="562">
        <v>0.4</v>
      </c>
      <c r="S1041" s="562"/>
      <c r="T1041" s="562"/>
      <c r="U1041" s="562"/>
      <c r="V1041" s="562"/>
      <c r="W1041" s="562"/>
      <c r="X1041" s="562"/>
      <c r="Y1041" s="562"/>
    </row>
    <row r="1042" spans="17:25" s="560" customFormat="1">
      <c r="Q1042" s="562"/>
      <c r="R1042" s="562">
        <v>0.7</v>
      </c>
      <c r="S1042" s="562"/>
      <c r="T1042" s="562"/>
      <c r="U1042" s="562"/>
      <c r="V1042" s="562"/>
      <c r="W1042" s="562"/>
      <c r="X1042" s="562"/>
      <c r="Y1042" s="562" t="s">
        <v>1197</v>
      </c>
    </row>
    <row r="1043" spans="17:25" s="560" customFormat="1">
      <c r="Q1043" s="562"/>
      <c r="R1043" s="562">
        <v>0.35</v>
      </c>
      <c r="S1043" s="562"/>
      <c r="T1043" s="562"/>
      <c r="U1043" s="562"/>
      <c r="V1043" s="562"/>
      <c r="W1043" s="562"/>
      <c r="X1043" s="562"/>
      <c r="Y1043" s="562"/>
    </row>
    <row r="1044" spans="17:25" s="560" customFormat="1">
      <c r="Q1044" s="562"/>
      <c r="R1044" s="562">
        <v>0.45</v>
      </c>
      <c r="S1044" s="562"/>
      <c r="T1044" s="562"/>
      <c r="U1044" s="562"/>
      <c r="V1044" s="562"/>
      <c r="W1044" s="562"/>
      <c r="X1044" s="562"/>
      <c r="Y1044" s="562"/>
    </row>
    <row r="1045" spans="17:25" s="560" customFormat="1">
      <c r="Q1045" s="562"/>
      <c r="R1045" s="562">
        <v>0.45</v>
      </c>
      <c r="S1045" s="562"/>
      <c r="T1045" s="562"/>
      <c r="U1045" s="562"/>
      <c r="V1045" s="562"/>
      <c r="W1045" s="562"/>
      <c r="X1045" s="562"/>
      <c r="Y1045" s="562"/>
    </row>
    <row r="1046" spans="17:25" s="560" customFormat="1">
      <c r="Q1046" s="562"/>
      <c r="R1046" s="562">
        <v>0.5</v>
      </c>
      <c r="S1046" s="562"/>
      <c r="T1046" s="562"/>
      <c r="U1046" s="562"/>
      <c r="V1046" s="562"/>
      <c r="W1046" s="562"/>
      <c r="X1046" s="562"/>
      <c r="Y1046" s="562"/>
    </row>
    <row r="1047" spans="17:25" s="560" customFormat="1">
      <c r="Q1047" s="562"/>
      <c r="R1047" s="562">
        <v>0.5</v>
      </c>
      <c r="S1047" s="562"/>
      <c r="T1047" s="562"/>
      <c r="U1047" s="562"/>
      <c r="V1047" s="562"/>
      <c r="W1047" s="562"/>
      <c r="X1047" s="562"/>
      <c r="Y1047" s="562"/>
    </row>
    <row r="1048" spans="17:25" s="560" customFormat="1">
      <c r="Q1048" s="562"/>
      <c r="R1048" s="562">
        <v>0.5</v>
      </c>
      <c r="S1048" s="562"/>
      <c r="T1048" s="562"/>
      <c r="U1048" s="562"/>
      <c r="V1048" s="562"/>
      <c r="W1048" s="562"/>
      <c r="X1048" s="562"/>
      <c r="Y1048" s="562"/>
    </row>
    <row r="1049" spans="17:25" s="560" customFormat="1">
      <c r="Q1049" s="562"/>
      <c r="R1049" s="562">
        <v>0.4</v>
      </c>
      <c r="S1049" s="562"/>
      <c r="T1049" s="562"/>
      <c r="U1049" s="562"/>
      <c r="V1049" s="562"/>
      <c r="W1049" s="562"/>
      <c r="X1049" s="562"/>
      <c r="Y1049" s="562"/>
    </row>
    <row r="1050" spans="17:25" s="560" customFormat="1">
      <c r="Q1050" s="562"/>
      <c r="R1050" s="562">
        <v>0.45</v>
      </c>
      <c r="S1050" s="562"/>
      <c r="T1050" s="562"/>
      <c r="U1050" s="562"/>
      <c r="V1050" s="562"/>
      <c r="W1050" s="562"/>
      <c r="X1050" s="562"/>
      <c r="Y1050" s="562"/>
    </row>
    <row r="1051" spans="17:25" s="560" customFormat="1">
      <c r="Q1051" s="562"/>
      <c r="R1051" s="562">
        <v>0.4</v>
      </c>
      <c r="S1051" s="562"/>
      <c r="T1051" s="562"/>
      <c r="U1051" s="562"/>
      <c r="V1051" s="562"/>
      <c r="W1051" s="562"/>
      <c r="X1051" s="562"/>
      <c r="Y1051" s="562"/>
    </row>
    <row r="1052" spans="17:25" s="560" customFormat="1">
      <c r="Q1052" s="562"/>
      <c r="R1052" s="562">
        <v>0.5</v>
      </c>
      <c r="S1052" s="562"/>
      <c r="T1052" s="562"/>
      <c r="U1052" s="562"/>
      <c r="V1052" s="562"/>
      <c r="W1052" s="562"/>
      <c r="X1052" s="562"/>
      <c r="Y1052" s="562"/>
    </row>
    <row r="1053" spans="17:25" s="560" customFormat="1">
      <c r="Q1053" s="562"/>
      <c r="R1053" s="562">
        <v>0.45</v>
      </c>
      <c r="S1053" s="562"/>
      <c r="T1053" s="562"/>
      <c r="U1053" s="562"/>
      <c r="V1053" s="562"/>
      <c r="W1053" s="562"/>
      <c r="X1053" s="562"/>
      <c r="Y1053" s="562"/>
    </row>
    <row r="1054" spans="17:25" s="560" customFormat="1">
      <c r="Q1054" s="562" t="s">
        <v>799</v>
      </c>
      <c r="R1054" s="562"/>
      <c r="S1054" s="562"/>
      <c r="T1054" s="562"/>
      <c r="U1054" s="562"/>
      <c r="V1054" s="562"/>
      <c r="W1054" s="562"/>
      <c r="X1054" s="562"/>
      <c r="Y1054" s="562"/>
    </row>
    <row r="1055" spans="17:25" s="560" customFormat="1">
      <c r="Q1055" s="562"/>
      <c r="R1055" s="562">
        <v>0.4</v>
      </c>
      <c r="S1055" s="562"/>
      <c r="T1055" s="562"/>
      <c r="U1055" s="562"/>
      <c r="V1055" s="562"/>
      <c r="W1055" s="562"/>
      <c r="X1055" s="562"/>
      <c r="Y1055" s="562"/>
    </row>
    <row r="1056" spans="17:25" s="560" customFormat="1">
      <c r="Q1056" s="562"/>
      <c r="R1056" s="562">
        <v>0.5</v>
      </c>
      <c r="S1056" s="562"/>
      <c r="T1056" s="562"/>
      <c r="U1056" s="562"/>
      <c r="V1056" s="562"/>
      <c r="W1056" s="562"/>
      <c r="X1056" s="562"/>
      <c r="Y1056" s="562"/>
    </row>
    <row r="1057" spans="17:18" s="560" customFormat="1">
      <c r="Q1057" s="562"/>
      <c r="R1057" s="562">
        <v>0.5</v>
      </c>
    </row>
    <row r="1058" spans="17:18" s="560" customFormat="1">
      <c r="Q1058" s="562"/>
      <c r="R1058" s="562">
        <v>0.45</v>
      </c>
    </row>
    <row r="1059" spans="17:18" s="560" customFormat="1">
      <c r="Q1059" s="562"/>
      <c r="R1059" s="562">
        <v>0.5</v>
      </c>
    </row>
    <row r="1060" spans="17:18" s="560" customFormat="1">
      <c r="Q1060" s="562"/>
      <c r="R1060" s="562">
        <v>0.5</v>
      </c>
    </row>
    <row r="1061" spans="17:18" s="560" customFormat="1">
      <c r="Q1061" s="562"/>
      <c r="R1061" s="562">
        <v>0.45</v>
      </c>
    </row>
    <row r="1062" spans="17:18" s="560" customFormat="1">
      <c r="Q1062" s="562"/>
      <c r="R1062" s="562">
        <v>0.5</v>
      </c>
    </row>
    <row r="1063" spans="17:18" s="560" customFormat="1">
      <c r="Q1063" s="562"/>
      <c r="R1063" s="562">
        <v>0.45</v>
      </c>
    </row>
    <row r="1064" spans="17:18" s="560" customFormat="1">
      <c r="Q1064" s="562"/>
      <c r="R1064" s="562">
        <v>0.45</v>
      </c>
    </row>
    <row r="1065" spans="17:18" s="560" customFormat="1">
      <c r="Q1065" s="562"/>
      <c r="R1065" s="562">
        <v>0.5</v>
      </c>
    </row>
    <row r="1066" spans="17:18" s="560" customFormat="1">
      <c r="Q1066" s="562"/>
      <c r="R1066" s="562">
        <v>0.45</v>
      </c>
    </row>
    <row r="1067" spans="17:18" s="560" customFormat="1">
      <c r="Q1067" s="562"/>
      <c r="R1067" s="562">
        <v>0.5</v>
      </c>
    </row>
    <row r="1068" spans="17:18" s="560" customFormat="1">
      <c r="Q1068" s="562"/>
      <c r="R1068" s="562">
        <v>0.45</v>
      </c>
    </row>
    <row r="1069" spans="17:18" s="560" customFormat="1">
      <c r="Q1069" s="562"/>
      <c r="R1069" s="562">
        <v>0.5</v>
      </c>
    </row>
    <row r="1070" spans="17:18" s="560" customFormat="1">
      <c r="Q1070" s="562" t="s">
        <v>1019</v>
      </c>
      <c r="R1070" s="562"/>
    </row>
    <row r="1071" spans="17:18" s="560" customFormat="1">
      <c r="Q1071" s="562"/>
      <c r="R1071" s="562">
        <v>0.4</v>
      </c>
    </row>
    <row r="1072" spans="17:18" s="560" customFormat="1">
      <c r="Q1072" s="562"/>
      <c r="R1072" s="562">
        <v>0.5</v>
      </c>
    </row>
    <row r="1073" spans="17:18" s="560" customFormat="1">
      <c r="Q1073" s="562"/>
      <c r="R1073" s="562">
        <v>0.5</v>
      </c>
    </row>
    <row r="1074" spans="17:18" s="560" customFormat="1">
      <c r="Q1074" s="562"/>
      <c r="R1074" s="562">
        <v>0.5</v>
      </c>
    </row>
    <row r="1075" spans="17:18" s="560" customFormat="1">
      <c r="Q1075" s="562"/>
      <c r="R1075" s="562">
        <v>0.45</v>
      </c>
    </row>
    <row r="1076" spans="17:18" s="560" customFormat="1">
      <c r="Q1076" s="562"/>
      <c r="R1076" s="562">
        <v>0.45</v>
      </c>
    </row>
    <row r="1077" spans="17:18" s="560" customFormat="1">
      <c r="Q1077" s="562"/>
      <c r="R1077" s="562">
        <v>0.5</v>
      </c>
    </row>
    <row r="1078" spans="17:18" s="560" customFormat="1">
      <c r="Q1078" s="562"/>
      <c r="R1078" s="562">
        <v>0.5</v>
      </c>
    </row>
    <row r="1079" spans="17:18" s="560" customFormat="1">
      <c r="Q1079" s="562"/>
      <c r="R1079" s="562">
        <v>0.5</v>
      </c>
    </row>
    <row r="1080" spans="17:18" s="560" customFormat="1">
      <c r="Q1080" s="562"/>
      <c r="R1080" s="562">
        <v>0.45</v>
      </c>
    </row>
    <row r="1081" spans="17:18" s="560" customFormat="1">
      <c r="Q1081" s="562"/>
      <c r="R1081" s="562">
        <v>0.45</v>
      </c>
    </row>
    <row r="1082" spans="17:18" s="560" customFormat="1">
      <c r="Q1082" s="562"/>
      <c r="R1082" s="562">
        <v>0.6</v>
      </c>
    </row>
    <row r="1083" spans="17:18" s="560" customFormat="1">
      <c r="Q1083" s="562"/>
      <c r="R1083" s="562">
        <v>0.6</v>
      </c>
    </row>
    <row r="1084" spans="17:18" s="560" customFormat="1">
      <c r="Q1084" s="562"/>
      <c r="R1084" s="562">
        <v>0.5</v>
      </c>
    </row>
    <row r="1085" spans="17:18" s="560" customFormat="1">
      <c r="Q1085" s="562"/>
      <c r="R1085" s="562">
        <v>0.6</v>
      </c>
    </row>
    <row r="1086" spans="17:18" s="560" customFormat="1">
      <c r="Q1086" s="562"/>
      <c r="R1086" s="562">
        <v>0.46</v>
      </c>
    </row>
    <row r="1087" spans="17:18" s="560" customFormat="1">
      <c r="Q1087" s="562" t="s">
        <v>1026</v>
      </c>
      <c r="R1087" s="562">
        <f>COUNT(R1023:R1086)</f>
        <v>61</v>
      </c>
    </row>
    <row r="1089" spans="16:30" s="560" customFormat="1">
      <c r="P1089" s="567">
        <v>41157</v>
      </c>
      <c r="Q1089" s="568" t="s">
        <v>725</v>
      </c>
      <c r="R1089" s="568"/>
      <c r="S1089" s="568" t="s">
        <v>726</v>
      </c>
      <c r="T1089" s="569" t="s">
        <v>727</v>
      </c>
      <c r="U1089" s="569" t="s">
        <v>728</v>
      </c>
      <c r="V1089" s="569" t="s">
        <v>729</v>
      </c>
      <c r="W1089" s="569" t="s">
        <v>730</v>
      </c>
      <c r="X1089" s="569" t="s">
        <v>731</v>
      </c>
      <c r="Y1089" s="568"/>
      <c r="Z1089" s="562"/>
      <c r="AA1089" s="562"/>
      <c r="AB1089" s="562"/>
      <c r="AC1089" s="562"/>
      <c r="AD1089" s="563"/>
    </row>
    <row r="1090" spans="16:30" s="560" customFormat="1">
      <c r="P1090" s="561"/>
      <c r="Q1090" s="568"/>
      <c r="R1090" s="568"/>
      <c r="S1090" s="568"/>
      <c r="T1090" s="569" t="s">
        <v>1198</v>
      </c>
      <c r="U1090" s="569" t="s">
        <v>1199</v>
      </c>
      <c r="V1090" s="577"/>
      <c r="W1090" s="577"/>
      <c r="X1090" s="569" t="s">
        <v>1200</v>
      </c>
      <c r="Y1090" s="578" t="s">
        <v>1201</v>
      </c>
      <c r="Z1090" s="562"/>
      <c r="AA1090" s="562"/>
      <c r="AB1090" s="562"/>
      <c r="AC1090" s="562"/>
      <c r="AD1090" s="563"/>
    </row>
    <row r="1091" spans="16:30" s="560" customFormat="1">
      <c r="P1091" s="561" t="s">
        <v>600</v>
      </c>
      <c r="Q1091" s="720" t="s">
        <v>1202</v>
      </c>
      <c r="R1091" s="578"/>
      <c r="S1091" s="569"/>
      <c r="T1091" s="568"/>
      <c r="U1091" s="568"/>
      <c r="V1091" s="569"/>
      <c r="W1091" s="569"/>
      <c r="X1091" s="569"/>
      <c r="Y1091" s="569"/>
      <c r="Z1091" s="562"/>
      <c r="AA1091" s="562"/>
      <c r="AB1091" s="562"/>
      <c r="AC1091" s="562"/>
      <c r="AD1091" s="563"/>
    </row>
    <row r="1092" spans="16:30" s="560" customFormat="1">
      <c r="P1092" s="587"/>
      <c r="Q1092" s="588" t="s">
        <v>755</v>
      </c>
      <c r="R1092" s="588" t="s">
        <v>756</v>
      </c>
      <c r="S1092" s="588" t="s">
        <v>757</v>
      </c>
      <c r="T1092" s="588" t="s">
        <v>758</v>
      </c>
      <c r="U1092" s="588" t="s">
        <v>759</v>
      </c>
      <c r="V1092" s="588" t="s">
        <v>760</v>
      </c>
      <c r="W1092" s="588" t="s">
        <v>761</v>
      </c>
      <c r="X1092" s="588" t="s">
        <v>762</v>
      </c>
      <c r="Y1092" s="588" t="s">
        <v>763</v>
      </c>
      <c r="Z1092" s="562"/>
      <c r="AA1092" s="562"/>
      <c r="AB1092" s="562"/>
      <c r="AC1092" s="588" t="s">
        <v>764</v>
      </c>
      <c r="AD1092" s="589"/>
    </row>
    <row r="1093" spans="16:30" s="560" customFormat="1">
      <c r="P1093" s="561"/>
      <c r="Q1093" s="568" t="s">
        <v>775</v>
      </c>
      <c r="R1093" s="562"/>
      <c r="S1093" s="562"/>
      <c r="T1093" s="562"/>
      <c r="U1093" s="562"/>
      <c r="V1093" s="562"/>
      <c r="W1093" s="562"/>
      <c r="X1093" s="584"/>
      <c r="Y1093" s="562"/>
      <c r="Z1093" s="562"/>
      <c r="AA1093" s="562"/>
      <c r="AB1093" s="562"/>
      <c r="AC1093" s="577"/>
      <c r="AD1093" s="589"/>
    </row>
    <row r="1094" spans="16:30" s="560" customFormat="1">
      <c r="P1094" s="561"/>
      <c r="Q1094" s="568"/>
      <c r="R1094" s="562" t="s">
        <v>115</v>
      </c>
      <c r="S1094" s="568"/>
      <c r="T1094" s="562"/>
      <c r="U1094" s="562"/>
      <c r="V1094" s="562"/>
      <c r="W1094" s="562"/>
      <c r="X1094" s="609"/>
      <c r="Y1094" s="562"/>
      <c r="Z1094" s="562"/>
      <c r="AA1094" s="562"/>
      <c r="AB1094" s="562"/>
      <c r="AC1094" s="607" t="s">
        <v>780</v>
      </c>
      <c r="AD1094" s="608" t="s">
        <v>616</v>
      </c>
    </row>
    <row r="1095" spans="16:30" s="560" customFormat="1">
      <c r="P1095" s="561"/>
      <c r="Q1095" s="568"/>
      <c r="R1095" s="562">
        <v>0.6</v>
      </c>
      <c r="S1095" s="562"/>
      <c r="T1095" s="562"/>
      <c r="U1095" s="562"/>
      <c r="V1095" s="562"/>
      <c r="W1095" s="562"/>
      <c r="X1095" s="584"/>
      <c r="Y1095" s="562"/>
      <c r="Z1095" s="562"/>
      <c r="AA1095" s="562"/>
      <c r="AB1095" s="562"/>
      <c r="AC1095" s="607" t="s">
        <v>785</v>
      </c>
      <c r="AD1095" s="608" t="s">
        <v>542</v>
      </c>
    </row>
    <row r="1096" spans="16:30" s="560" customFormat="1">
      <c r="P1096" s="561"/>
      <c r="Q1096" s="562"/>
      <c r="R1096" s="562">
        <v>0.7</v>
      </c>
      <c r="S1096" s="562"/>
      <c r="T1096" s="562"/>
      <c r="U1096" s="562"/>
      <c r="V1096" s="562"/>
      <c r="W1096" s="562"/>
      <c r="X1096" s="629"/>
      <c r="Y1096" s="562"/>
      <c r="Z1096" s="562"/>
      <c r="AA1096" s="562"/>
      <c r="AB1096" s="562"/>
      <c r="AC1096" s="607" t="s">
        <v>789</v>
      </c>
      <c r="AD1096" s="608" t="s">
        <v>790</v>
      </c>
    </row>
    <row r="1097" spans="16:30" s="560" customFormat="1">
      <c r="P1097" s="561"/>
      <c r="Q1097" s="562"/>
      <c r="R1097" s="562">
        <v>0.55000000000000004</v>
      </c>
      <c r="S1097" s="562"/>
      <c r="T1097" s="562"/>
      <c r="U1097" s="562"/>
      <c r="V1097" s="562"/>
      <c r="W1097" s="562"/>
      <c r="X1097" s="629"/>
      <c r="Y1097" s="562"/>
      <c r="Z1097" s="562"/>
      <c r="AA1097" s="562"/>
      <c r="AB1097" s="562"/>
      <c r="AC1097" s="607" t="s">
        <v>791</v>
      </c>
      <c r="AD1097" s="608" t="s">
        <v>792</v>
      </c>
    </row>
    <row r="1098" spans="16:30" s="560" customFormat="1">
      <c r="P1098" s="561"/>
      <c r="Q1098" s="562"/>
      <c r="R1098" s="562">
        <v>0.9</v>
      </c>
      <c r="S1098" s="562"/>
      <c r="T1098" s="562"/>
      <c r="U1098" s="562"/>
      <c r="V1098" s="562"/>
      <c r="W1098" s="562"/>
      <c r="X1098" s="562"/>
      <c r="Y1098" s="562"/>
      <c r="Z1098" s="562"/>
      <c r="AA1098" s="562"/>
      <c r="AB1098" s="562"/>
      <c r="AC1098" s="607" t="s">
        <v>794</v>
      </c>
      <c r="AD1098" s="608" t="s">
        <v>795</v>
      </c>
    </row>
    <row r="1099" spans="16:30" s="560" customFormat="1">
      <c r="P1099" s="561"/>
      <c r="Q1099" s="562"/>
      <c r="R1099" s="562">
        <v>0.5</v>
      </c>
      <c r="S1099" s="562"/>
      <c r="T1099" s="562"/>
      <c r="U1099" s="562"/>
      <c r="V1099" s="562"/>
      <c r="W1099" s="562"/>
      <c r="X1099" s="562"/>
      <c r="Y1099" s="562"/>
      <c r="Z1099" s="562"/>
      <c r="AA1099" s="562"/>
      <c r="AB1099" s="562"/>
      <c r="AC1099" s="607" t="s">
        <v>798</v>
      </c>
      <c r="AD1099" s="608" t="s">
        <v>546</v>
      </c>
    </row>
    <row r="1100" spans="16:30" s="560" customFormat="1">
      <c r="P1100" s="561"/>
      <c r="Q1100" s="562"/>
      <c r="R1100" s="562">
        <v>0.6</v>
      </c>
      <c r="S1100" s="562"/>
      <c r="T1100" s="562"/>
      <c r="U1100" s="562"/>
      <c r="V1100" s="562"/>
      <c r="W1100" s="562"/>
      <c r="X1100" s="562"/>
      <c r="Y1100" s="562"/>
      <c r="Z1100" s="562"/>
      <c r="AA1100" s="562"/>
      <c r="AB1100" s="562"/>
      <c r="AC1100" s="607" t="s">
        <v>800</v>
      </c>
      <c r="AD1100" s="608" t="s">
        <v>801</v>
      </c>
    </row>
    <row r="1101" spans="16:30" s="560" customFormat="1">
      <c r="P1101" s="561"/>
      <c r="Q1101" s="562"/>
      <c r="R1101" s="562">
        <v>0.5</v>
      </c>
      <c r="S1101" s="562"/>
      <c r="T1101" s="562"/>
      <c r="U1101" s="562"/>
      <c r="V1101" s="562"/>
      <c r="W1101" s="562"/>
      <c r="X1101" s="562"/>
      <c r="Y1101" s="562"/>
      <c r="Z1101" s="562"/>
      <c r="AA1101" s="562"/>
      <c r="AB1101" s="562"/>
      <c r="AC1101" s="607" t="s">
        <v>804</v>
      </c>
      <c r="AD1101" s="608" t="s">
        <v>805</v>
      </c>
    </row>
    <row r="1102" spans="16:30" s="560" customFormat="1">
      <c r="P1102" s="561"/>
      <c r="Q1102" s="562"/>
      <c r="R1102" s="562">
        <v>0.5</v>
      </c>
      <c r="S1102" s="562"/>
      <c r="T1102" s="562"/>
      <c r="U1102" s="562"/>
      <c r="V1102" s="562"/>
      <c r="W1102" s="562"/>
      <c r="X1102" s="562"/>
      <c r="Y1102" s="562"/>
      <c r="Z1102" s="562"/>
      <c r="AA1102" s="562"/>
      <c r="AB1102" s="562"/>
      <c r="AC1102" s="607" t="s">
        <v>807</v>
      </c>
      <c r="AD1102" s="608" t="s">
        <v>808</v>
      </c>
    </row>
    <row r="1103" spans="16:30" s="560" customFormat="1">
      <c r="P1103" s="561"/>
      <c r="Q1103" s="562"/>
      <c r="R1103" s="562">
        <v>0.6</v>
      </c>
      <c r="S1103" s="562"/>
      <c r="T1103" s="562"/>
      <c r="U1103" s="562"/>
      <c r="V1103" s="562"/>
      <c r="W1103" s="562"/>
      <c r="X1103" s="562"/>
      <c r="Y1103" s="562"/>
      <c r="Z1103" s="562"/>
      <c r="AA1103" s="562"/>
      <c r="AB1103" s="562"/>
      <c r="AC1103" s="607" t="s">
        <v>810</v>
      </c>
      <c r="AD1103" s="608" t="s">
        <v>550</v>
      </c>
    </row>
    <row r="1104" spans="16:30" s="560" customFormat="1">
      <c r="P1104" s="561"/>
      <c r="Q1104" s="562"/>
      <c r="R1104" s="562">
        <v>0.45</v>
      </c>
      <c r="S1104" s="562"/>
      <c r="T1104" s="562"/>
      <c r="U1104" s="562"/>
      <c r="V1104" s="562"/>
      <c r="W1104" s="562"/>
      <c r="X1104" s="562"/>
      <c r="Y1104" s="562"/>
      <c r="Z1104" s="562"/>
      <c r="AA1104" s="562"/>
      <c r="AB1104" s="562"/>
      <c r="AC1104" s="607" t="s">
        <v>813</v>
      </c>
      <c r="AD1104" s="608" t="s">
        <v>552</v>
      </c>
    </row>
    <row r="1105" spans="17:30" s="560" customFormat="1">
      <c r="Q1105" s="562"/>
      <c r="R1105" s="562">
        <v>0.55000000000000004</v>
      </c>
      <c r="S1105" s="562"/>
      <c r="T1105" s="562"/>
      <c r="U1105" s="562"/>
      <c r="V1105" s="562"/>
      <c r="W1105" s="562"/>
      <c r="X1105" s="562"/>
      <c r="Y1105" s="562"/>
      <c r="Z1105" s="562"/>
      <c r="AA1105" s="562"/>
      <c r="AB1105" s="562"/>
      <c r="AC1105" s="607" t="s">
        <v>815</v>
      </c>
      <c r="AD1105" s="608" t="s">
        <v>816</v>
      </c>
    </row>
    <row r="1106" spans="17:30" s="560" customFormat="1">
      <c r="Q1106" s="562"/>
      <c r="R1106" s="562">
        <v>0.5</v>
      </c>
      <c r="S1106" s="562"/>
      <c r="T1106" s="562"/>
      <c r="U1106" s="562"/>
      <c r="V1106" s="562"/>
      <c r="W1106" s="562"/>
      <c r="X1106" s="562"/>
      <c r="Y1106" s="562"/>
      <c r="Z1106" s="562"/>
      <c r="AA1106" s="562"/>
      <c r="AB1106" s="562"/>
      <c r="AC1106" s="562"/>
      <c r="AD1106" s="563"/>
    </row>
    <row r="1107" spans="17:30" s="560" customFormat="1">
      <c r="Q1107" s="562"/>
      <c r="R1107" s="562">
        <v>0.95</v>
      </c>
      <c r="S1107" s="562"/>
      <c r="T1107" s="562"/>
      <c r="U1107" s="562"/>
      <c r="V1107" s="562"/>
      <c r="W1107" s="562"/>
      <c r="X1107" s="562"/>
      <c r="Y1107" s="562"/>
      <c r="Z1107" s="562"/>
      <c r="AA1107" s="562"/>
      <c r="AB1107" s="562"/>
      <c r="AC1107" s="562"/>
      <c r="AD1107" s="563"/>
    </row>
    <row r="1108" spans="17:30" s="560" customFormat="1">
      <c r="Q1108" s="562"/>
      <c r="R1108" s="562">
        <v>0.9</v>
      </c>
      <c r="S1108" s="562"/>
      <c r="T1108" s="562"/>
      <c r="U1108" s="562"/>
      <c r="V1108" s="562"/>
      <c r="W1108" s="562"/>
      <c r="X1108" s="562"/>
      <c r="Y1108" s="562"/>
      <c r="Z1108" s="562"/>
      <c r="AA1108" s="562"/>
      <c r="AB1108" s="562"/>
      <c r="AC1108" s="562"/>
      <c r="AD1108" s="563"/>
    </row>
    <row r="1109" spans="17:30" s="560" customFormat="1">
      <c r="Q1109" s="562"/>
      <c r="R1109" s="562">
        <v>1.2</v>
      </c>
      <c r="S1109" s="562"/>
      <c r="T1109" s="562"/>
      <c r="U1109" s="562"/>
      <c r="V1109" s="562"/>
      <c r="W1109" s="562"/>
      <c r="X1109" s="562"/>
      <c r="Y1109" s="562"/>
      <c r="Z1109" s="562"/>
      <c r="AA1109" s="562"/>
      <c r="AB1109" s="562"/>
      <c r="AC1109" s="562"/>
      <c r="AD1109" s="563"/>
    </row>
    <row r="1110" spans="17:30" s="560" customFormat="1">
      <c r="Q1110" s="562"/>
      <c r="R1110" s="562">
        <v>0.6</v>
      </c>
      <c r="S1110" s="562"/>
      <c r="T1110" s="562"/>
      <c r="U1110" s="562"/>
      <c r="V1110" s="562"/>
      <c r="W1110" s="562"/>
      <c r="X1110" s="562"/>
      <c r="Y1110" s="562"/>
      <c r="Z1110" s="562"/>
      <c r="AA1110" s="562"/>
      <c r="AB1110" s="562"/>
      <c r="AC1110" s="562"/>
      <c r="AD1110" s="563"/>
    </row>
    <row r="1111" spans="17:30" s="560" customFormat="1">
      <c r="Q1111" s="562"/>
      <c r="R1111" s="562">
        <v>0.7</v>
      </c>
      <c r="S1111" s="562"/>
      <c r="T1111" s="562"/>
      <c r="U1111" s="562"/>
      <c r="V1111" s="562"/>
      <c r="W1111" s="562"/>
      <c r="X1111" s="562"/>
      <c r="Y1111" s="562"/>
      <c r="Z1111" s="562"/>
      <c r="AA1111" s="562"/>
      <c r="AB1111" s="562"/>
      <c r="AC1111" s="562"/>
      <c r="AD1111" s="563"/>
    </row>
    <row r="1112" spans="17:30" s="560" customFormat="1">
      <c r="Q1112" s="562"/>
      <c r="R1112" s="562">
        <v>0.5</v>
      </c>
      <c r="S1112" s="562"/>
      <c r="T1112" s="562"/>
      <c r="U1112" s="562"/>
      <c r="V1112" s="562"/>
      <c r="W1112" s="562"/>
      <c r="X1112" s="562"/>
      <c r="Y1112" s="562"/>
      <c r="Z1112" s="562"/>
      <c r="AA1112" s="562"/>
      <c r="AB1112" s="562"/>
      <c r="AC1112" s="562"/>
      <c r="AD1112" s="563"/>
    </row>
    <row r="1113" spans="17:30" s="560" customFormat="1">
      <c r="Q1113" s="562" t="s">
        <v>821</v>
      </c>
      <c r="R1113" s="562"/>
      <c r="S1113" s="562"/>
      <c r="T1113" s="562"/>
      <c r="U1113" s="562"/>
      <c r="V1113" s="562"/>
      <c r="W1113" s="562"/>
      <c r="X1113" s="562"/>
      <c r="Y1113" s="562"/>
      <c r="Z1113" s="562"/>
      <c r="AA1113" s="562"/>
      <c r="AB1113" s="562"/>
      <c r="AC1113" s="562"/>
      <c r="AD1113" s="563"/>
    </row>
    <row r="1114" spans="17:30" s="560" customFormat="1">
      <c r="Q1114" s="562"/>
      <c r="R1114" s="562">
        <v>0.55000000000000004</v>
      </c>
      <c r="S1114" s="562"/>
      <c r="T1114" s="562"/>
      <c r="U1114" s="562"/>
      <c r="V1114" s="562"/>
      <c r="W1114" s="562"/>
      <c r="X1114" s="562"/>
      <c r="Y1114" s="562"/>
      <c r="Z1114" s="562"/>
      <c r="AA1114" s="562"/>
      <c r="AB1114" s="562"/>
      <c r="AC1114" s="562"/>
      <c r="AD1114" s="563"/>
    </row>
    <row r="1115" spans="17:30" s="560" customFormat="1">
      <c r="Q1115" s="562"/>
      <c r="R1115" s="562">
        <v>0.36</v>
      </c>
      <c r="S1115" s="562"/>
      <c r="T1115" s="562"/>
      <c r="U1115" s="562"/>
      <c r="V1115" s="562"/>
      <c r="W1115" s="562"/>
      <c r="X1115" s="562"/>
      <c r="Y1115" s="562"/>
      <c r="Z1115" s="562"/>
      <c r="AA1115" s="562"/>
      <c r="AB1115" s="562"/>
      <c r="AC1115" s="562"/>
      <c r="AD1115" s="563"/>
    </row>
    <row r="1116" spans="17:30" s="560" customFormat="1">
      <c r="Q1116" s="562"/>
      <c r="R1116" s="562">
        <v>0.75</v>
      </c>
      <c r="S1116" s="562"/>
      <c r="T1116" s="562"/>
      <c r="U1116" s="562"/>
      <c r="V1116" s="562"/>
      <c r="W1116" s="562"/>
      <c r="X1116" s="562"/>
      <c r="Y1116" s="562"/>
      <c r="Z1116" s="562"/>
      <c r="AA1116" s="562"/>
      <c r="AB1116" s="562"/>
      <c r="AC1116" s="562"/>
      <c r="AD1116" s="563"/>
    </row>
    <row r="1117" spans="17:30" s="560" customFormat="1">
      <c r="Q1117" s="562"/>
      <c r="R1117" s="562">
        <v>0.7</v>
      </c>
      <c r="S1117" s="562"/>
      <c r="T1117" s="562"/>
      <c r="U1117" s="562"/>
      <c r="V1117" s="562"/>
      <c r="W1117" s="562"/>
      <c r="X1117" s="562"/>
      <c r="Y1117" s="562"/>
      <c r="Z1117" s="562"/>
      <c r="AA1117" s="562"/>
      <c r="AB1117" s="562"/>
      <c r="AC1117" s="562"/>
      <c r="AD1117" s="563"/>
    </row>
    <row r="1118" spans="17:30" s="560" customFormat="1">
      <c r="Q1118" s="562"/>
      <c r="R1118" s="562">
        <v>0.65</v>
      </c>
      <c r="S1118" s="562"/>
      <c r="T1118" s="562"/>
      <c r="U1118" s="562"/>
      <c r="V1118" s="562"/>
      <c r="W1118" s="562"/>
      <c r="X1118" s="562"/>
      <c r="Y1118" s="562"/>
      <c r="Z1118" s="562"/>
      <c r="AA1118" s="562"/>
      <c r="AB1118" s="562"/>
      <c r="AC1118" s="562"/>
      <c r="AD1118" s="563"/>
    </row>
    <row r="1119" spans="17:30" s="560" customFormat="1">
      <c r="Q1119" s="562"/>
      <c r="R1119" s="562">
        <v>0.7</v>
      </c>
      <c r="S1119" s="562"/>
      <c r="T1119" s="562"/>
      <c r="U1119" s="562"/>
      <c r="V1119" s="562"/>
      <c r="W1119" s="562"/>
      <c r="X1119" s="562"/>
      <c r="Y1119" s="562"/>
      <c r="Z1119" s="562"/>
      <c r="AA1119" s="562"/>
      <c r="AB1119" s="562"/>
      <c r="AC1119" s="562"/>
      <c r="AD1119" s="563"/>
    </row>
    <row r="1120" spans="17:30" s="560" customFormat="1">
      <c r="Q1120" s="562"/>
      <c r="R1120" s="562">
        <v>0.6</v>
      </c>
      <c r="S1120" s="562"/>
      <c r="T1120" s="562"/>
      <c r="U1120" s="562"/>
      <c r="V1120" s="562"/>
      <c r="W1120" s="562"/>
      <c r="X1120" s="562"/>
      <c r="Y1120" s="562"/>
      <c r="Z1120" s="562"/>
      <c r="AA1120" s="562"/>
      <c r="AB1120" s="562"/>
      <c r="AC1120" s="562"/>
      <c r="AD1120" s="563"/>
    </row>
    <row r="1121" spans="17:18" s="560" customFormat="1">
      <c r="Q1121" s="562"/>
      <c r="R1121" s="562">
        <v>0.53</v>
      </c>
    </row>
    <row r="1122" spans="17:18" s="560" customFormat="1">
      <c r="Q1122" s="562"/>
      <c r="R1122" s="562">
        <v>0.7</v>
      </c>
    </row>
    <row r="1123" spans="17:18" s="560" customFormat="1">
      <c r="Q1123" s="562"/>
      <c r="R1123" s="562">
        <v>0.7</v>
      </c>
    </row>
    <row r="1124" spans="17:18" s="560" customFormat="1">
      <c r="Q1124" s="562"/>
      <c r="R1124" s="562">
        <v>0.75</v>
      </c>
    </row>
    <row r="1125" spans="17:18" s="560" customFormat="1">
      <c r="Q1125" s="562"/>
      <c r="R1125" s="562">
        <v>0.9</v>
      </c>
    </row>
    <row r="1126" spans="17:18" s="560" customFormat="1">
      <c r="Q1126" s="562"/>
      <c r="R1126" s="562">
        <v>0.34</v>
      </c>
    </row>
    <row r="1127" spans="17:18" s="560" customFormat="1">
      <c r="Q1127" s="562"/>
      <c r="R1127" s="562">
        <v>0.55000000000000004</v>
      </c>
    </row>
    <row r="1128" spans="17:18" s="560" customFormat="1">
      <c r="Q1128" s="562"/>
      <c r="R1128" s="562">
        <v>0.5</v>
      </c>
    </row>
    <row r="1129" spans="17:18" s="560" customFormat="1">
      <c r="Q1129" s="562"/>
      <c r="R1129" s="562">
        <v>0.65</v>
      </c>
    </row>
    <row r="1130" spans="17:18" s="560" customFormat="1">
      <c r="Q1130" s="562"/>
      <c r="R1130" s="562">
        <v>0.65</v>
      </c>
    </row>
    <row r="1131" spans="17:18" s="560" customFormat="1">
      <c r="Q1131" s="562"/>
      <c r="R1131" s="562">
        <v>0.45</v>
      </c>
    </row>
    <row r="1132" spans="17:18" s="560" customFormat="1">
      <c r="Q1132" s="562"/>
      <c r="R1132" s="562">
        <v>0.7</v>
      </c>
    </row>
    <row r="1133" spans="17:18" s="560" customFormat="1">
      <c r="Q1133" s="562"/>
      <c r="R1133" s="562">
        <v>0.9</v>
      </c>
    </row>
    <row r="1134" spans="17:18" s="560" customFormat="1">
      <c r="Q1134" s="562"/>
      <c r="R1134" s="562">
        <v>0.25</v>
      </c>
    </row>
    <row r="1135" spans="17:18" s="560" customFormat="1">
      <c r="Q1135" s="562" t="s">
        <v>799</v>
      </c>
      <c r="R1135" s="562"/>
    </row>
    <row r="1136" spans="17:18" s="560" customFormat="1">
      <c r="Q1136" s="562"/>
      <c r="R1136" s="562">
        <v>0.75</v>
      </c>
    </row>
    <row r="1137" spans="18:18" s="560" customFormat="1">
      <c r="R1137" s="562">
        <v>0.65</v>
      </c>
    </row>
    <row r="1138" spans="18:18" s="560" customFormat="1">
      <c r="R1138" s="562">
        <v>0.7</v>
      </c>
    </row>
    <row r="1139" spans="18:18" s="560" customFormat="1">
      <c r="R1139" s="562">
        <v>0.4</v>
      </c>
    </row>
    <row r="1140" spans="18:18" s="560" customFormat="1">
      <c r="R1140" s="562">
        <v>0.55000000000000004</v>
      </c>
    </row>
    <row r="1141" spans="18:18" s="560" customFormat="1">
      <c r="R1141" s="562">
        <v>0.7</v>
      </c>
    </row>
    <row r="1142" spans="18:18" s="560" customFormat="1">
      <c r="R1142" s="562">
        <v>0.5</v>
      </c>
    </row>
    <row r="1143" spans="18:18" s="560" customFormat="1">
      <c r="R1143" s="562">
        <v>0.5</v>
      </c>
    </row>
    <row r="1144" spans="18:18" s="560" customFormat="1">
      <c r="R1144" s="562">
        <v>0.26</v>
      </c>
    </row>
    <row r="1145" spans="18:18" s="560" customFormat="1">
      <c r="R1145" s="562">
        <v>0.5</v>
      </c>
    </row>
    <row r="1146" spans="18:18" s="560" customFormat="1">
      <c r="R1146" s="562">
        <v>0.4</v>
      </c>
    </row>
    <row r="1147" spans="18:18" s="560" customFormat="1">
      <c r="R1147" s="562">
        <v>0.5</v>
      </c>
    </row>
    <row r="1148" spans="18:18" s="560" customFormat="1">
      <c r="R1148" s="562">
        <v>0.4</v>
      </c>
    </row>
    <row r="1149" spans="18:18" s="560" customFormat="1">
      <c r="R1149" s="562">
        <v>0.5</v>
      </c>
    </row>
    <row r="1150" spans="18:18" s="560" customFormat="1">
      <c r="R1150" s="562">
        <v>0.5</v>
      </c>
    </row>
    <row r="1151" spans="18:18" s="560" customFormat="1">
      <c r="R1151" s="562">
        <v>1.2</v>
      </c>
    </row>
    <row r="1152" spans="18:18" s="560" customFormat="1">
      <c r="R1152" s="562">
        <v>0.6</v>
      </c>
    </row>
    <row r="1153" spans="17:18" s="560" customFormat="1">
      <c r="Q1153" s="562" t="s">
        <v>1019</v>
      </c>
      <c r="R1153" s="562"/>
    </row>
    <row r="1154" spans="17:18" s="560" customFormat="1">
      <c r="Q1154" s="562"/>
      <c r="R1154" s="562">
        <v>0.28000000000000003</v>
      </c>
    </row>
    <row r="1155" spans="17:18" s="560" customFormat="1">
      <c r="Q1155" s="562"/>
      <c r="R1155" s="562">
        <v>0.55000000000000004</v>
      </c>
    </row>
    <row r="1156" spans="17:18" s="560" customFormat="1">
      <c r="Q1156" s="562"/>
      <c r="R1156" s="562">
        <v>0.65</v>
      </c>
    </row>
    <row r="1157" spans="17:18" s="560" customFormat="1">
      <c r="Q1157" s="562"/>
      <c r="R1157" s="562">
        <v>0.32</v>
      </c>
    </row>
    <row r="1158" spans="17:18" s="560" customFormat="1">
      <c r="Q1158" s="562"/>
      <c r="R1158" s="562">
        <v>0.55000000000000004</v>
      </c>
    </row>
    <row r="1159" spans="17:18" s="560" customFormat="1">
      <c r="Q1159" s="562"/>
      <c r="R1159" s="562">
        <v>0.7</v>
      </c>
    </row>
    <row r="1160" spans="17:18" s="560" customFormat="1">
      <c r="Q1160" s="562"/>
      <c r="R1160" s="562">
        <v>0.3</v>
      </c>
    </row>
    <row r="1161" spans="17:18" s="560" customFormat="1">
      <c r="Q1161" s="562"/>
      <c r="R1161" s="562">
        <v>0.25</v>
      </c>
    </row>
    <row r="1162" spans="17:18" s="560" customFormat="1">
      <c r="Q1162" s="562"/>
      <c r="R1162" s="562">
        <v>0.6</v>
      </c>
    </row>
    <row r="1163" spans="17:18" s="560" customFormat="1">
      <c r="Q1163" s="562"/>
      <c r="R1163" s="562">
        <v>0.53</v>
      </c>
    </row>
    <row r="1164" spans="17:18" s="560" customFormat="1">
      <c r="Q1164" s="562"/>
      <c r="R1164" s="562">
        <v>0.7</v>
      </c>
    </row>
    <row r="1165" spans="17:18" s="560" customFormat="1">
      <c r="Q1165" s="562"/>
      <c r="R1165" s="562">
        <v>0.75</v>
      </c>
    </row>
    <row r="1166" spans="17:18" s="560" customFormat="1">
      <c r="Q1166" s="562"/>
      <c r="R1166" s="562">
        <v>0.5</v>
      </c>
    </row>
    <row r="1167" spans="17:18" s="560" customFormat="1">
      <c r="Q1167" s="562"/>
      <c r="R1167" s="562">
        <v>0.6</v>
      </c>
    </row>
    <row r="1168" spans="17:18" s="560" customFormat="1">
      <c r="Q1168" s="562"/>
      <c r="R1168" s="562">
        <v>0.7</v>
      </c>
    </row>
    <row r="1169" spans="17:18" s="560" customFormat="1">
      <c r="Q1169" s="562"/>
      <c r="R1169" s="562">
        <v>0.7</v>
      </c>
    </row>
    <row r="1170" spans="17:18" s="560" customFormat="1">
      <c r="Q1170" s="562"/>
      <c r="R1170" s="562">
        <v>0.5</v>
      </c>
    </row>
    <row r="1171" spans="17:18" s="560" customFormat="1">
      <c r="Q1171" s="562"/>
      <c r="R1171" s="562">
        <v>0.38</v>
      </c>
    </row>
    <row r="1172" spans="17:18" s="560" customFormat="1">
      <c r="Q1172" s="562" t="s">
        <v>1026</v>
      </c>
      <c r="R1172" s="562"/>
    </row>
    <row r="1173" spans="17:18" s="560" customFormat="1">
      <c r="Q1173" s="562"/>
      <c r="R1173" s="562">
        <v>0.14000000000000001</v>
      </c>
    </row>
    <row r="1174" spans="17:18" s="560" customFormat="1">
      <c r="Q1174" s="562"/>
      <c r="R1174" s="562">
        <v>0.6</v>
      </c>
    </row>
    <row r="1175" spans="17:18" s="560" customFormat="1">
      <c r="Q1175" s="562"/>
      <c r="R1175" s="562">
        <v>0.5</v>
      </c>
    </row>
    <row r="1176" spans="17:18" s="560" customFormat="1">
      <c r="Q1176" s="562"/>
      <c r="R1176" s="562">
        <v>0.28999999999999998</v>
      </c>
    </row>
    <row r="1177" spans="17:18" s="560" customFormat="1">
      <c r="Q1177" s="562"/>
      <c r="R1177" s="562">
        <v>0.43</v>
      </c>
    </row>
    <row r="1178" spans="17:18" s="560" customFormat="1">
      <c r="Q1178" s="562"/>
      <c r="R1178" s="562">
        <v>0.7</v>
      </c>
    </row>
    <row r="1179" spans="17:18" s="560" customFormat="1">
      <c r="Q1179" s="562"/>
      <c r="R1179" s="562">
        <v>0.55000000000000004</v>
      </c>
    </row>
    <row r="1180" spans="17:18" s="560" customFormat="1">
      <c r="Q1180" s="562"/>
      <c r="R1180" s="562">
        <v>0.5</v>
      </c>
    </row>
    <row r="1181" spans="17:18" s="560" customFormat="1">
      <c r="Q1181" s="562"/>
      <c r="R1181" s="562">
        <v>0.55000000000000004</v>
      </c>
    </row>
    <row r="1182" spans="17:18" s="560" customFormat="1">
      <c r="Q1182" s="562"/>
      <c r="R1182" s="562">
        <v>0.65</v>
      </c>
    </row>
    <row r="1183" spans="17:18" s="560" customFormat="1">
      <c r="Q1183" s="562"/>
      <c r="R1183" s="562">
        <v>0.55000000000000004</v>
      </c>
    </row>
    <row r="1184" spans="17:18" s="560" customFormat="1">
      <c r="Q1184" s="562"/>
      <c r="R1184" s="562">
        <v>0.75</v>
      </c>
    </row>
    <row r="1185" spans="17:18" s="560" customFormat="1">
      <c r="Q1185" s="562"/>
      <c r="R1185" s="562">
        <v>0.55000000000000004</v>
      </c>
    </row>
    <row r="1186" spans="17:18" s="560" customFormat="1">
      <c r="Q1186" s="562"/>
      <c r="R1186" s="562">
        <v>0.65</v>
      </c>
    </row>
    <row r="1187" spans="17:18" s="560" customFormat="1">
      <c r="Q1187" s="562"/>
      <c r="R1187" s="562">
        <v>0.75</v>
      </c>
    </row>
    <row r="1188" spans="17:18" s="560" customFormat="1">
      <c r="Q1188" s="562"/>
      <c r="R1188" s="562">
        <v>0.5</v>
      </c>
    </row>
    <row r="1189" spans="17:18" s="560" customFormat="1">
      <c r="Q1189" s="562"/>
      <c r="R1189" s="562">
        <v>0.44</v>
      </c>
    </row>
    <row r="1190" spans="17:18" s="560" customFormat="1">
      <c r="Q1190" s="562"/>
      <c r="R1190" s="562">
        <v>0.55000000000000004</v>
      </c>
    </row>
    <row r="1191" spans="17:18" s="560" customFormat="1">
      <c r="Q1191" s="562" t="s">
        <v>1036</v>
      </c>
      <c r="R1191" s="562"/>
    </row>
    <row r="1192" spans="17:18" s="560" customFormat="1">
      <c r="Q1192" s="562"/>
      <c r="R1192" s="562">
        <v>0.46</v>
      </c>
    </row>
    <row r="1193" spans="17:18" s="560" customFormat="1">
      <c r="Q1193" s="562"/>
      <c r="R1193" s="562">
        <v>0.5</v>
      </c>
    </row>
    <row r="1194" spans="17:18" s="560" customFormat="1">
      <c r="Q1194" s="562"/>
      <c r="R1194" s="562">
        <v>0.45</v>
      </c>
    </row>
    <row r="1195" spans="17:18" s="560" customFormat="1">
      <c r="Q1195" s="562"/>
      <c r="R1195" s="562">
        <v>1</v>
      </c>
    </row>
    <row r="1196" spans="17:18" s="560" customFormat="1">
      <c r="Q1196" s="562"/>
      <c r="R1196" s="562">
        <v>0.8</v>
      </c>
    </row>
    <row r="1197" spans="17:18" s="560" customFormat="1">
      <c r="Q1197" s="562"/>
      <c r="R1197" s="562">
        <v>0.55000000000000004</v>
      </c>
    </row>
    <row r="1198" spans="17:18" s="560" customFormat="1">
      <c r="Q1198" s="562"/>
      <c r="R1198" s="562">
        <v>0.5</v>
      </c>
    </row>
    <row r="1199" spans="17:18" s="560" customFormat="1">
      <c r="Q1199" s="562"/>
      <c r="R1199" s="562">
        <v>0.3</v>
      </c>
    </row>
    <row r="1200" spans="17:18" s="560" customFormat="1">
      <c r="Q1200" s="562"/>
      <c r="R1200" s="562">
        <v>1</v>
      </c>
    </row>
    <row r="1201" spans="17:18" s="560" customFormat="1">
      <c r="Q1201" s="562"/>
      <c r="R1201" s="562">
        <v>0.9</v>
      </c>
    </row>
    <row r="1202" spans="17:18" s="560" customFormat="1">
      <c r="Q1202" s="562"/>
      <c r="R1202" s="562">
        <v>0.5</v>
      </c>
    </row>
    <row r="1203" spans="17:18" s="560" customFormat="1">
      <c r="Q1203" s="562"/>
      <c r="R1203" s="562">
        <v>0.7</v>
      </c>
    </row>
    <row r="1204" spans="17:18" s="560" customFormat="1">
      <c r="Q1204" s="562"/>
      <c r="R1204" s="562">
        <v>0.65</v>
      </c>
    </row>
    <row r="1205" spans="17:18" s="560" customFormat="1">
      <c r="Q1205" s="562"/>
      <c r="R1205" s="562">
        <v>0.43</v>
      </c>
    </row>
    <row r="1206" spans="17:18" s="560" customFormat="1">
      <c r="Q1206" s="562"/>
      <c r="R1206" s="562">
        <v>0.75</v>
      </c>
    </row>
    <row r="1207" spans="17:18" s="560" customFormat="1">
      <c r="Q1207" s="562"/>
      <c r="R1207" s="562">
        <v>0.6</v>
      </c>
    </row>
    <row r="1208" spans="17:18" s="560" customFormat="1">
      <c r="Q1208" s="562"/>
      <c r="R1208" s="562">
        <v>0.55000000000000004</v>
      </c>
    </row>
    <row r="1209" spans="17:18" s="560" customFormat="1">
      <c r="Q1209" s="562"/>
      <c r="R1209" s="562">
        <v>0.9</v>
      </c>
    </row>
    <row r="1210" spans="17:18" s="560" customFormat="1">
      <c r="Q1210" s="562" t="s">
        <v>1050</v>
      </c>
      <c r="R1210" s="562"/>
    </row>
    <row r="1211" spans="17:18" s="560" customFormat="1">
      <c r="Q1211" s="562"/>
      <c r="R1211" s="562">
        <v>0.5</v>
      </c>
    </row>
    <row r="1212" spans="17:18" s="560" customFormat="1">
      <c r="Q1212" s="562"/>
      <c r="R1212" s="562">
        <v>0.47</v>
      </c>
    </row>
    <row r="1213" spans="17:18" s="560" customFormat="1">
      <c r="Q1213" s="562"/>
      <c r="R1213" s="562">
        <v>0.9</v>
      </c>
    </row>
    <row r="1214" spans="17:18" s="560" customFormat="1">
      <c r="Q1214" s="562"/>
      <c r="R1214" s="562">
        <v>0.55000000000000004</v>
      </c>
    </row>
    <row r="1215" spans="17:18" s="560" customFormat="1">
      <c r="Q1215" s="562"/>
      <c r="R1215" s="562">
        <v>0.75</v>
      </c>
    </row>
    <row r="1216" spans="17:18" s="560" customFormat="1">
      <c r="Q1216" s="562"/>
      <c r="R1216" s="562">
        <v>0.26</v>
      </c>
    </row>
    <row r="1217" spans="17:18" s="560" customFormat="1">
      <c r="Q1217" s="562"/>
      <c r="R1217" s="562">
        <v>0.6</v>
      </c>
    </row>
    <row r="1218" spans="17:18" s="560" customFormat="1">
      <c r="Q1218" s="562"/>
      <c r="R1218" s="562">
        <v>0.35</v>
      </c>
    </row>
    <row r="1219" spans="17:18" s="560" customFormat="1">
      <c r="Q1219" s="562"/>
      <c r="R1219" s="562">
        <v>0.6</v>
      </c>
    </row>
    <row r="1220" spans="17:18" s="560" customFormat="1">
      <c r="Q1220" s="562"/>
      <c r="R1220" s="562">
        <v>0.2</v>
      </c>
    </row>
    <row r="1221" spans="17:18" s="560" customFormat="1">
      <c r="Q1221" s="562"/>
      <c r="R1221" s="562">
        <v>0.8</v>
      </c>
    </row>
    <row r="1222" spans="17:18" s="560" customFormat="1">
      <c r="Q1222" s="562"/>
      <c r="R1222" s="562">
        <v>0.4</v>
      </c>
    </row>
    <row r="1223" spans="17:18" s="560" customFormat="1">
      <c r="Q1223" s="562"/>
      <c r="R1223" s="562">
        <v>0.8</v>
      </c>
    </row>
    <row r="1224" spans="17:18" s="560" customFormat="1">
      <c r="Q1224" s="562"/>
      <c r="R1224" s="562">
        <v>0.6</v>
      </c>
    </row>
    <row r="1225" spans="17:18" s="560" customFormat="1">
      <c r="Q1225" s="562"/>
      <c r="R1225" s="562">
        <v>0.9</v>
      </c>
    </row>
    <row r="1226" spans="17:18" s="560" customFormat="1">
      <c r="Q1226" s="562"/>
      <c r="R1226" s="562">
        <v>0.4</v>
      </c>
    </row>
    <row r="1227" spans="17:18" s="560" customFormat="1">
      <c r="Q1227" s="562"/>
      <c r="R1227" s="562">
        <v>0.35</v>
      </c>
    </row>
    <row r="1228" spans="17:18" s="560" customFormat="1">
      <c r="Q1228" s="562"/>
      <c r="R1228" s="562">
        <v>0.8</v>
      </c>
    </row>
    <row r="1229" spans="17:18" s="560" customFormat="1">
      <c r="Q1229" s="562" t="s">
        <v>1061</v>
      </c>
      <c r="R1229" s="562"/>
    </row>
    <row r="1230" spans="17:18" s="560" customFormat="1">
      <c r="Q1230" s="562"/>
      <c r="R1230" s="562">
        <v>0.34</v>
      </c>
    </row>
    <row r="1231" spans="17:18" s="560" customFormat="1">
      <c r="Q1231" s="562"/>
      <c r="R1231" s="562">
        <v>0.5</v>
      </c>
    </row>
    <row r="1232" spans="17:18" s="560" customFormat="1">
      <c r="Q1232" s="562"/>
      <c r="R1232" s="562">
        <v>0.5</v>
      </c>
    </row>
    <row r="1233" spans="18:18" s="560" customFormat="1">
      <c r="R1233" s="562">
        <v>0.32</v>
      </c>
    </row>
    <row r="1234" spans="18:18" s="560" customFormat="1">
      <c r="R1234" s="562">
        <v>0.4</v>
      </c>
    </row>
    <row r="1235" spans="18:18" s="560" customFormat="1">
      <c r="R1235" s="562">
        <v>0.5</v>
      </c>
    </row>
    <row r="1236" spans="18:18" s="560" customFormat="1">
      <c r="R1236" s="562">
        <v>0.5</v>
      </c>
    </row>
    <row r="1237" spans="18:18" s="560" customFormat="1">
      <c r="R1237" s="562">
        <v>0.8</v>
      </c>
    </row>
    <row r="1238" spans="18:18" s="560" customFormat="1">
      <c r="R1238" s="562">
        <v>0.45</v>
      </c>
    </row>
    <row r="1239" spans="18:18" s="560" customFormat="1">
      <c r="R1239" s="562">
        <v>1</v>
      </c>
    </row>
    <row r="1240" spans="18:18" s="560" customFormat="1">
      <c r="R1240" s="562">
        <v>0.32</v>
      </c>
    </row>
    <row r="1241" spans="18:18" s="560" customFormat="1">
      <c r="R1241" s="562">
        <v>0.55000000000000004</v>
      </c>
    </row>
    <row r="1242" spans="18:18" s="560" customFormat="1">
      <c r="R1242" s="562">
        <v>0.6</v>
      </c>
    </row>
    <row r="1243" spans="18:18" s="560" customFormat="1">
      <c r="R1243" s="562">
        <v>0.55000000000000004</v>
      </c>
    </row>
    <row r="1244" spans="18:18" s="560" customFormat="1">
      <c r="R1244" s="562">
        <v>0.8</v>
      </c>
    </row>
    <row r="1245" spans="18:18" s="560" customFormat="1">
      <c r="R1245" s="562">
        <v>0.77</v>
      </c>
    </row>
    <row r="1246" spans="18:18" s="560" customFormat="1">
      <c r="R1246" s="562">
        <v>0.7</v>
      </c>
    </row>
    <row r="1247" spans="18:18" s="560" customFormat="1">
      <c r="R1247" s="562">
        <v>0.6</v>
      </c>
    </row>
    <row r="1248" spans="18:18" s="560" customFormat="1">
      <c r="R1248" s="562">
        <v>0.45</v>
      </c>
    </row>
    <row r="1249" spans="17:18" s="560" customFormat="1">
      <c r="Q1249" s="562" t="s">
        <v>1203</v>
      </c>
      <c r="R1249" s="562"/>
    </row>
    <row r="1250" spans="17:18" s="560" customFormat="1">
      <c r="Q1250" s="562"/>
      <c r="R1250" s="562">
        <v>1.4</v>
      </c>
    </row>
    <row r="1251" spans="17:18" s="560" customFormat="1">
      <c r="Q1251" s="562"/>
      <c r="R1251" s="562">
        <v>1</v>
      </c>
    </row>
    <row r="1252" spans="17:18" s="560" customFormat="1">
      <c r="Q1252" s="562"/>
      <c r="R1252" s="562">
        <v>0.95</v>
      </c>
    </row>
    <row r="1253" spans="17:18" s="560" customFormat="1">
      <c r="Q1253" s="562"/>
      <c r="R1253" s="562">
        <v>1.35</v>
      </c>
    </row>
    <row r="1254" spans="17:18" s="560" customFormat="1">
      <c r="Q1254" s="562"/>
      <c r="R1254" s="562">
        <v>1.1000000000000001</v>
      </c>
    </row>
    <row r="1255" spans="17:18" s="560" customFormat="1">
      <c r="Q1255" s="562"/>
      <c r="R1255" s="562">
        <v>0.36</v>
      </c>
    </row>
    <row r="1256" spans="17:18" s="560" customFormat="1">
      <c r="Q1256" s="562"/>
      <c r="R1256" s="562">
        <v>0.9</v>
      </c>
    </row>
    <row r="1257" spans="17:18" s="560" customFormat="1">
      <c r="Q1257" s="562"/>
      <c r="R1257" s="562">
        <v>0.7</v>
      </c>
    </row>
    <row r="1258" spans="17:18" s="560" customFormat="1">
      <c r="Q1258" s="562"/>
      <c r="R1258" s="562">
        <v>0.3</v>
      </c>
    </row>
    <row r="1259" spans="17:18" s="560" customFormat="1">
      <c r="Q1259" s="562"/>
      <c r="R1259" s="562">
        <v>1.2</v>
      </c>
    </row>
    <row r="1260" spans="17:18" s="560" customFormat="1">
      <c r="Q1260" s="562"/>
      <c r="R1260" s="562">
        <v>0.9</v>
      </c>
    </row>
    <row r="1261" spans="17:18" s="560" customFormat="1">
      <c r="Q1261" s="562"/>
      <c r="R1261" s="562">
        <v>1.1000000000000001</v>
      </c>
    </row>
    <row r="1262" spans="17:18" s="560" customFormat="1">
      <c r="Q1262" s="562"/>
      <c r="R1262" s="562">
        <v>0.7</v>
      </c>
    </row>
    <row r="1263" spans="17:18" s="560" customFormat="1">
      <c r="Q1263" s="562"/>
      <c r="R1263" s="562">
        <v>1</v>
      </c>
    </row>
    <row r="1264" spans="17:18" s="560" customFormat="1">
      <c r="Q1264" s="562"/>
      <c r="R1264" s="562">
        <v>0.7</v>
      </c>
    </row>
    <row r="1265" spans="16:30" s="560" customFormat="1">
      <c r="P1265" s="561"/>
      <c r="Q1265" s="562"/>
      <c r="R1265" s="562">
        <v>1</v>
      </c>
      <c r="S1265" s="562"/>
      <c r="T1265" s="562"/>
      <c r="U1265" s="562"/>
      <c r="V1265" s="562"/>
      <c r="W1265" s="562"/>
      <c r="X1265" s="562"/>
      <c r="Y1265" s="562"/>
      <c r="Z1265" s="562"/>
      <c r="AA1265" s="562"/>
      <c r="AB1265" s="562"/>
      <c r="AC1265" s="562"/>
      <c r="AD1265" s="563"/>
    </row>
    <row r="1266" spans="16:30" s="560" customFormat="1">
      <c r="P1266" s="561"/>
      <c r="Q1266" s="562"/>
      <c r="R1266" s="562">
        <v>0.7</v>
      </c>
      <c r="S1266" s="562"/>
      <c r="T1266" s="562"/>
      <c r="U1266" s="562"/>
      <c r="V1266" s="562"/>
      <c r="W1266" s="562"/>
      <c r="X1266" s="562"/>
      <c r="Y1266" s="562"/>
      <c r="Z1266" s="562"/>
      <c r="AA1266" s="562"/>
      <c r="AB1266" s="562"/>
      <c r="AC1266" s="562"/>
      <c r="AD1266" s="563"/>
    </row>
    <row r="1267" spans="16:30" s="560" customFormat="1">
      <c r="P1267" s="561"/>
      <c r="Q1267" s="562"/>
      <c r="R1267" s="562">
        <v>0.75</v>
      </c>
      <c r="S1267" s="562"/>
      <c r="T1267" s="562"/>
      <c r="U1267" s="562"/>
      <c r="V1267" s="562"/>
      <c r="W1267" s="562"/>
      <c r="X1267" s="562"/>
      <c r="Y1267" s="562"/>
      <c r="Z1267" s="562"/>
      <c r="AA1267" s="562"/>
      <c r="AB1267" s="562"/>
      <c r="AC1267" s="562"/>
      <c r="AD1267" s="563"/>
    </row>
    <row r="1268" spans="16:30" s="560" customFormat="1">
      <c r="P1268" s="561"/>
      <c r="Q1268" s="562"/>
      <c r="R1268" s="562">
        <v>0.45</v>
      </c>
      <c r="S1268" s="562"/>
      <c r="T1268" s="562"/>
      <c r="U1268" s="562"/>
      <c r="V1268" s="562"/>
      <c r="W1268" s="562"/>
      <c r="X1268" s="562"/>
      <c r="Y1268" s="562"/>
      <c r="Z1268" s="562"/>
      <c r="AA1268" s="562"/>
      <c r="AB1268" s="562"/>
      <c r="AC1268" s="562"/>
      <c r="AD1268" s="563"/>
    </row>
    <row r="1269" spans="16:30" s="560" customFormat="1">
      <c r="P1269" s="561"/>
      <c r="Q1269" s="562"/>
      <c r="R1269" s="562">
        <f>COUNT(R1095:R1268)</f>
        <v>166</v>
      </c>
      <c r="S1269" s="562"/>
      <c r="T1269" s="562"/>
      <c r="U1269" s="562"/>
      <c r="V1269" s="562"/>
      <c r="W1269" s="562"/>
      <c r="X1269" s="562"/>
      <c r="Y1269" s="562"/>
      <c r="Z1269" s="562"/>
      <c r="AA1269" s="562"/>
      <c r="AB1269" s="562"/>
      <c r="AC1269" s="562"/>
      <c r="AD1269" s="563"/>
    </row>
    <row r="1270" spans="16:30" s="560" customFormat="1">
      <c r="P1270" s="567">
        <v>41159</v>
      </c>
      <c r="Q1270" s="568" t="s">
        <v>725</v>
      </c>
      <c r="R1270" s="568"/>
      <c r="S1270" s="568" t="s">
        <v>726</v>
      </c>
      <c r="T1270" s="569" t="s">
        <v>727</v>
      </c>
      <c r="U1270" s="569" t="s">
        <v>728</v>
      </c>
      <c r="V1270" s="569" t="s">
        <v>729</v>
      </c>
      <c r="W1270" s="569" t="s">
        <v>730</v>
      </c>
      <c r="X1270" s="569" t="s">
        <v>731</v>
      </c>
      <c r="Y1270" s="568"/>
      <c r="Z1270" s="562"/>
      <c r="AA1270" s="562"/>
      <c r="AB1270" s="562"/>
      <c r="AC1270" s="562"/>
      <c r="AD1270" s="563"/>
    </row>
    <row r="1271" spans="16:30" s="560" customFormat="1">
      <c r="P1271" s="561"/>
      <c r="Q1271" s="568"/>
      <c r="R1271" s="568"/>
      <c r="S1271" s="568"/>
      <c r="T1271" s="569" t="s">
        <v>1204</v>
      </c>
      <c r="U1271" s="569" t="s">
        <v>1205</v>
      </c>
      <c r="V1271" s="577"/>
      <c r="W1271" s="577"/>
      <c r="X1271" s="569"/>
      <c r="Y1271" s="578" t="s">
        <v>1206</v>
      </c>
      <c r="Z1271" s="562"/>
      <c r="AA1271" s="562"/>
      <c r="AB1271" s="562"/>
      <c r="AC1271" s="562"/>
      <c r="AD1271" s="563"/>
    </row>
    <row r="1272" spans="16:30" s="560" customFormat="1">
      <c r="P1272" s="561" t="s">
        <v>601</v>
      </c>
      <c r="Q1272" s="578" t="s">
        <v>1207</v>
      </c>
      <c r="R1272" s="578"/>
      <c r="S1272" s="569"/>
      <c r="T1272" s="568"/>
      <c r="U1272" s="568"/>
      <c r="V1272" s="569"/>
      <c r="W1272" s="569"/>
      <c r="X1272" s="569"/>
      <c r="Y1272" s="569"/>
      <c r="Z1272" s="562"/>
      <c r="AA1272" s="562"/>
      <c r="AB1272" s="562"/>
      <c r="AC1272" s="562"/>
      <c r="AD1272" s="563"/>
    </row>
    <row r="1273" spans="16:30" s="560" customFormat="1">
      <c r="P1273" s="587"/>
      <c r="Q1273" s="588" t="s">
        <v>755</v>
      </c>
      <c r="R1273" s="588" t="s">
        <v>756</v>
      </c>
      <c r="S1273" s="588" t="s">
        <v>757</v>
      </c>
      <c r="T1273" s="588" t="s">
        <v>758</v>
      </c>
      <c r="U1273" s="588" t="s">
        <v>759</v>
      </c>
      <c r="V1273" s="588" t="s">
        <v>760</v>
      </c>
      <c r="W1273" s="588" t="s">
        <v>761</v>
      </c>
      <c r="X1273" s="588" t="s">
        <v>762</v>
      </c>
      <c r="Y1273" s="588" t="s">
        <v>763</v>
      </c>
      <c r="Z1273" s="562"/>
      <c r="AA1273" s="562"/>
      <c r="AB1273" s="562"/>
      <c r="AC1273" s="588" t="s">
        <v>764</v>
      </c>
      <c r="AD1273" s="589"/>
    </row>
    <row r="1274" spans="16:30" s="560" customFormat="1">
      <c r="P1274" s="561"/>
      <c r="Q1274" s="568" t="s">
        <v>775</v>
      </c>
      <c r="R1274" s="562"/>
      <c r="S1274" s="562"/>
      <c r="T1274" s="562"/>
      <c r="U1274" s="562"/>
      <c r="V1274" s="562"/>
      <c r="W1274" s="562"/>
      <c r="X1274" s="584"/>
      <c r="Y1274" s="562"/>
      <c r="Z1274" s="562"/>
      <c r="AA1274" s="562"/>
      <c r="AB1274" s="562"/>
      <c r="AC1274" s="577"/>
      <c r="AD1274" s="589"/>
    </row>
    <row r="1275" spans="16:30" s="560" customFormat="1">
      <c r="P1275" s="561"/>
      <c r="Q1275" s="568"/>
      <c r="R1275" s="562">
        <v>0.65</v>
      </c>
      <c r="S1275" s="568"/>
      <c r="T1275" s="562"/>
      <c r="U1275" s="562"/>
      <c r="V1275" s="562"/>
      <c r="W1275" s="562"/>
      <c r="X1275" s="609"/>
      <c r="Y1275" s="562"/>
      <c r="Z1275" s="562"/>
      <c r="AA1275" s="562"/>
      <c r="AB1275" s="562"/>
      <c r="AC1275" s="607" t="s">
        <v>780</v>
      </c>
      <c r="AD1275" s="608" t="s">
        <v>616</v>
      </c>
    </row>
    <row r="1276" spans="16:30" s="560" customFormat="1">
      <c r="P1276" s="561"/>
      <c r="Q1276" s="568"/>
      <c r="R1276" s="562">
        <v>0.7</v>
      </c>
      <c r="S1276" s="562"/>
      <c r="T1276" s="562"/>
      <c r="U1276" s="562"/>
      <c r="V1276" s="562"/>
      <c r="W1276" s="562"/>
      <c r="X1276" s="584"/>
      <c r="Y1276" s="562"/>
      <c r="Z1276" s="562"/>
      <c r="AA1276" s="562"/>
      <c r="AB1276" s="562"/>
      <c r="AC1276" s="607" t="s">
        <v>785</v>
      </c>
      <c r="AD1276" s="608" t="s">
        <v>542</v>
      </c>
    </row>
    <row r="1277" spans="16:30" s="560" customFormat="1">
      <c r="P1277" s="561"/>
      <c r="Q1277" s="568"/>
      <c r="R1277" s="562">
        <v>0.65</v>
      </c>
      <c r="S1277" s="562"/>
      <c r="T1277" s="562"/>
      <c r="U1277" s="562"/>
      <c r="V1277" s="562"/>
      <c r="W1277" s="562"/>
      <c r="X1277" s="584"/>
      <c r="Y1277" s="562"/>
      <c r="Z1277" s="562"/>
      <c r="AA1277" s="562"/>
      <c r="AB1277" s="562"/>
      <c r="AC1277" s="607" t="s">
        <v>789</v>
      </c>
      <c r="AD1277" s="608" t="s">
        <v>790</v>
      </c>
    </row>
    <row r="1278" spans="16:30" s="560" customFormat="1">
      <c r="P1278" s="561"/>
      <c r="Q1278" s="568"/>
      <c r="R1278" s="562">
        <v>0.65</v>
      </c>
      <c r="S1278" s="562"/>
      <c r="T1278" s="562"/>
      <c r="U1278" s="562"/>
      <c r="V1278" s="562"/>
      <c r="W1278" s="562"/>
      <c r="X1278" s="584"/>
      <c r="Y1278" s="562"/>
      <c r="Z1278" s="562"/>
      <c r="AA1278" s="562"/>
      <c r="AB1278" s="562"/>
      <c r="AC1278" s="607" t="s">
        <v>791</v>
      </c>
      <c r="AD1278" s="608" t="s">
        <v>792</v>
      </c>
    </row>
    <row r="1279" spans="16:30" s="560" customFormat="1">
      <c r="P1279" s="561"/>
      <c r="Q1279" s="568"/>
      <c r="R1279" s="562">
        <v>0.65</v>
      </c>
      <c r="S1279" s="562"/>
      <c r="T1279" s="562"/>
      <c r="U1279" s="562"/>
      <c r="V1279" s="562"/>
      <c r="W1279" s="562"/>
      <c r="X1279" s="577"/>
      <c r="Y1279" s="562"/>
      <c r="Z1279" s="562"/>
      <c r="AA1279" s="562"/>
      <c r="AB1279" s="562"/>
      <c r="AC1279" s="607" t="s">
        <v>794</v>
      </c>
      <c r="AD1279" s="608" t="s">
        <v>795</v>
      </c>
    </row>
    <row r="1280" spans="16:30" s="560" customFormat="1">
      <c r="P1280" s="561"/>
      <c r="Q1280" s="568"/>
      <c r="R1280" s="562">
        <v>0.6</v>
      </c>
      <c r="S1280" s="562"/>
      <c r="T1280" s="562"/>
      <c r="U1280" s="562"/>
      <c r="V1280" s="562"/>
      <c r="W1280" s="562"/>
      <c r="X1280" s="577"/>
      <c r="Y1280" s="562"/>
      <c r="Z1280" s="562"/>
      <c r="AA1280" s="562"/>
      <c r="AB1280" s="562"/>
      <c r="AC1280" s="607" t="s">
        <v>798</v>
      </c>
      <c r="AD1280" s="608" t="s">
        <v>546</v>
      </c>
    </row>
    <row r="1281" spans="16:30" s="560" customFormat="1">
      <c r="P1281" s="561"/>
      <c r="Q1281" s="562"/>
      <c r="R1281" s="562">
        <v>0.7</v>
      </c>
      <c r="S1281" s="562"/>
      <c r="T1281" s="562"/>
      <c r="U1281" s="562"/>
      <c r="V1281" s="562"/>
      <c r="W1281" s="562"/>
      <c r="X1281" s="577"/>
      <c r="Y1281" s="562"/>
      <c r="Z1281" s="562"/>
      <c r="AA1281" s="562"/>
      <c r="AB1281" s="562"/>
      <c r="AC1281" s="607" t="s">
        <v>800</v>
      </c>
      <c r="AD1281" s="608" t="s">
        <v>801</v>
      </c>
    </row>
    <row r="1282" spans="16:30" s="560" customFormat="1">
      <c r="P1282" s="561"/>
      <c r="Q1282" s="562"/>
      <c r="R1282" s="562">
        <v>0.7</v>
      </c>
      <c r="S1282" s="562"/>
      <c r="T1282" s="562"/>
      <c r="U1282" s="562"/>
      <c r="V1282" s="562"/>
      <c r="W1282" s="562"/>
      <c r="X1282" s="577"/>
      <c r="Y1282" s="562"/>
      <c r="Z1282" s="562"/>
      <c r="AA1282" s="562"/>
      <c r="AB1282" s="562"/>
      <c r="AC1282" s="607" t="s">
        <v>804</v>
      </c>
      <c r="AD1282" s="608" t="s">
        <v>805</v>
      </c>
    </row>
    <row r="1283" spans="16:30" s="560" customFormat="1">
      <c r="P1283" s="561"/>
      <c r="Q1283" s="562"/>
      <c r="R1283" s="562">
        <v>0.64</v>
      </c>
      <c r="S1283" s="562"/>
      <c r="T1283" s="562"/>
      <c r="U1283" s="562"/>
      <c r="V1283" s="562"/>
      <c r="W1283" s="562"/>
      <c r="X1283" s="577"/>
      <c r="Y1283" s="562"/>
      <c r="Z1283" s="562"/>
      <c r="AA1283" s="562"/>
      <c r="AB1283" s="562"/>
      <c r="AC1283" s="607" t="s">
        <v>807</v>
      </c>
      <c r="AD1283" s="608" t="s">
        <v>808</v>
      </c>
    </row>
    <row r="1284" spans="16:30" s="560" customFormat="1">
      <c r="P1284" s="561"/>
      <c r="Q1284" s="562"/>
      <c r="R1284" s="562">
        <v>0.8</v>
      </c>
      <c r="S1284" s="562"/>
      <c r="T1284" s="562"/>
      <c r="U1284" s="562"/>
      <c r="V1284" s="562"/>
      <c r="W1284" s="562"/>
      <c r="X1284" s="577"/>
      <c r="Y1284" s="562"/>
      <c r="Z1284" s="562"/>
      <c r="AA1284" s="562"/>
      <c r="AB1284" s="562"/>
      <c r="AC1284" s="607" t="s">
        <v>810</v>
      </c>
      <c r="AD1284" s="608" t="s">
        <v>550</v>
      </c>
    </row>
    <row r="1285" spans="16:30" s="560" customFormat="1">
      <c r="P1285" s="561"/>
      <c r="Q1285" s="562"/>
      <c r="R1285" s="562">
        <v>0.65</v>
      </c>
      <c r="S1285" s="562"/>
      <c r="T1285" s="562"/>
      <c r="U1285" s="562"/>
      <c r="V1285" s="562"/>
      <c r="W1285" s="562"/>
      <c r="X1285" s="577"/>
      <c r="Y1285" s="562"/>
      <c r="Z1285" s="562"/>
      <c r="AA1285" s="562"/>
      <c r="AB1285" s="562"/>
      <c r="AC1285" s="607" t="s">
        <v>813</v>
      </c>
      <c r="AD1285" s="608" t="s">
        <v>552</v>
      </c>
    </row>
    <row r="1286" spans="16:30" s="560" customFormat="1">
      <c r="P1286" s="561"/>
      <c r="Q1286" s="562"/>
      <c r="R1286" s="562">
        <v>0.65</v>
      </c>
      <c r="S1286" s="562"/>
      <c r="T1286" s="562"/>
      <c r="U1286" s="562"/>
      <c r="V1286" s="562"/>
      <c r="W1286" s="562"/>
      <c r="X1286" s="577"/>
      <c r="Y1286" s="562"/>
      <c r="Z1286" s="562"/>
      <c r="AA1286" s="562"/>
      <c r="AB1286" s="562"/>
      <c r="AC1286" s="607" t="s">
        <v>815</v>
      </c>
      <c r="AD1286" s="608" t="s">
        <v>816</v>
      </c>
    </row>
    <row r="1287" spans="16:30" s="560" customFormat="1">
      <c r="P1287" s="561"/>
      <c r="Q1287" s="562"/>
      <c r="R1287" s="562">
        <f>COUNT(R1275:R1286)</f>
        <v>12</v>
      </c>
      <c r="S1287" s="562"/>
      <c r="T1287" s="562"/>
      <c r="U1287" s="562"/>
      <c r="V1287" s="562"/>
      <c r="W1287" s="562"/>
      <c r="X1287" s="562"/>
      <c r="Y1287" s="562"/>
      <c r="Z1287" s="562"/>
      <c r="AA1287" s="562"/>
      <c r="AB1287" s="562"/>
      <c r="AC1287" s="562"/>
      <c r="AD1287" s="563"/>
    </row>
    <row r="1288" spans="16:30" s="560" customFormat="1">
      <c r="P1288" s="567">
        <v>41159</v>
      </c>
      <c r="Q1288" s="568" t="s">
        <v>725</v>
      </c>
      <c r="R1288" s="568"/>
      <c r="S1288" s="568" t="s">
        <v>832</v>
      </c>
      <c r="T1288" s="569" t="s">
        <v>727</v>
      </c>
      <c r="U1288" s="569" t="s">
        <v>728</v>
      </c>
      <c r="V1288" s="569" t="s">
        <v>729</v>
      </c>
      <c r="W1288" s="569" t="s">
        <v>730</v>
      </c>
      <c r="X1288" s="569" t="s">
        <v>731</v>
      </c>
      <c r="Y1288" s="568"/>
      <c r="Z1288" s="562"/>
      <c r="AA1288" s="562"/>
      <c r="AB1288" s="562"/>
      <c r="AC1288" s="562"/>
      <c r="AD1288" s="563"/>
    </row>
    <row r="1289" spans="16:30" s="560" customFormat="1">
      <c r="P1289" s="561"/>
      <c r="Q1289" s="568"/>
      <c r="R1289" s="568"/>
      <c r="S1289" s="568"/>
      <c r="T1289" s="569" t="s">
        <v>1208</v>
      </c>
      <c r="U1289" s="569" t="s">
        <v>1209</v>
      </c>
      <c r="V1289" s="577"/>
      <c r="W1289" s="577"/>
      <c r="X1289" s="569" t="s">
        <v>1210</v>
      </c>
      <c r="Y1289" s="578" t="s">
        <v>1211</v>
      </c>
      <c r="Z1289" s="562"/>
      <c r="AA1289" s="562"/>
      <c r="AB1289" s="562"/>
      <c r="AC1289" s="562"/>
      <c r="AD1289" s="563"/>
    </row>
    <row r="1290" spans="16:30" s="560" customFormat="1">
      <c r="P1290" s="561" t="s">
        <v>602</v>
      </c>
      <c r="Q1290" s="578" t="s">
        <v>1212</v>
      </c>
      <c r="R1290" s="578"/>
      <c r="S1290" s="569"/>
      <c r="T1290" s="568"/>
      <c r="U1290" s="568"/>
      <c r="V1290" s="569"/>
      <c r="W1290" s="569"/>
      <c r="X1290" s="569"/>
      <c r="Y1290" s="569"/>
      <c r="Z1290" s="562"/>
      <c r="AA1290" s="562"/>
      <c r="AB1290" s="562"/>
      <c r="AC1290" s="562"/>
      <c r="AD1290" s="563"/>
    </row>
    <row r="1291" spans="16:30" s="560" customFormat="1">
      <c r="P1291" s="587"/>
      <c r="Q1291" s="588" t="s">
        <v>755</v>
      </c>
      <c r="R1291" s="588" t="s">
        <v>756</v>
      </c>
      <c r="S1291" s="588" t="s">
        <v>757</v>
      </c>
      <c r="T1291" s="588" t="s">
        <v>758</v>
      </c>
      <c r="U1291" s="588" t="s">
        <v>759</v>
      </c>
      <c r="V1291" s="588" t="s">
        <v>760</v>
      </c>
      <c r="W1291" s="588" t="s">
        <v>761</v>
      </c>
      <c r="X1291" s="588" t="s">
        <v>762</v>
      </c>
      <c r="Y1291" s="588" t="s">
        <v>763</v>
      </c>
      <c r="Z1291" s="562"/>
      <c r="AA1291" s="562"/>
      <c r="AB1291" s="562"/>
      <c r="AC1291" s="588" t="s">
        <v>764</v>
      </c>
      <c r="AD1291" s="589"/>
    </row>
    <row r="1292" spans="16:30" s="560" customFormat="1">
      <c r="P1292" s="561"/>
      <c r="Q1292" s="568">
        <v>0.1</v>
      </c>
      <c r="R1292" s="562"/>
      <c r="S1292" s="562">
        <v>0.2</v>
      </c>
      <c r="T1292" s="562" t="s">
        <v>793</v>
      </c>
      <c r="U1292" s="562"/>
      <c r="V1292" s="562"/>
      <c r="W1292" s="562"/>
      <c r="X1292" s="584">
        <v>2538</v>
      </c>
      <c r="Y1292" s="562"/>
      <c r="Z1292" s="562"/>
      <c r="AA1292" s="562"/>
      <c r="AB1292" s="562"/>
      <c r="AC1292" s="577"/>
      <c r="AD1292" s="589"/>
    </row>
    <row r="1293" spans="16:30" s="560" customFormat="1">
      <c r="P1293" s="561"/>
      <c r="Q1293" s="568">
        <v>0.9</v>
      </c>
      <c r="R1293" s="562"/>
      <c r="S1293" s="568">
        <v>0.5</v>
      </c>
      <c r="T1293" s="562" t="s">
        <v>127</v>
      </c>
      <c r="U1293" s="562"/>
      <c r="V1293" s="562"/>
      <c r="W1293" s="562"/>
      <c r="X1293" s="609">
        <v>3539</v>
      </c>
      <c r="Y1293" s="562"/>
      <c r="Z1293" s="562"/>
      <c r="AA1293" s="562"/>
      <c r="AB1293" s="562"/>
      <c r="AC1293" s="607" t="s">
        <v>780</v>
      </c>
      <c r="AD1293" s="608" t="s">
        <v>616</v>
      </c>
    </row>
    <row r="1294" spans="16:30" s="560" customFormat="1">
      <c r="P1294" s="561"/>
      <c r="Q1294" s="568">
        <v>5.0999999999999996</v>
      </c>
      <c r="R1294" s="562"/>
      <c r="S1294" s="562">
        <v>0.2</v>
      </c>
      <c r="T1294" s="562" t="s">
        <v>793</v>
      </c>
      <c r="U1294" s="562"/>
      <c r="V1294" s="562"/>
      <c r="W1294" s="562"/>
      <c r="X1294" s="584"/>
      <c r="Y1294" s="562"/>
      <c r="Z1294" s="562"/>
      <c r="AA1294" s="562"/>
      <c r="AB1294" s="562"/>
      <c r="AC1294" s="607" t="s">
        <v>785</v>
      </c>
      <c r="AD1294" s="608" t="s">
        <v>542</v>
      </c>
    </row>
    <row r="1295" spans="16:30" s="560" customFormat="1">
      <c r="P1295" s="561"/>
      <c r="Q1295" s="568"/>
      <c r="R1295" s="562"/>
      <c r="S1295" s="625">
        <f>SUM(S1292:S1294)</f>
        <v>0.89999999999999991</v>
      </c>
      <c r="T1295" s="562"/>
      <c r="U1295" s="562"/>
      <c r="V1295" s="562"/>
      <c r="W1295" s="562"/>
      <c r="X1295" s="584"/>
      <c r="Y1295" s="562"/>
      <c r="Z1295" s="562"/>
      <c r="AA1295" s="562"/>
      <c r="AB1295" s="562"/>
      <c r="AC1295" s="607" t="s">
        <v>789</v>
      </c>
      <c r="AD1295" s="608" t="s">
        <v>790</v>
      </c>
    </row>
    <row r="1296" spans="16:30" s="560" customFormat="1">
      <c r="P1296" s="561"/>
      <c r="Q1296" s="568"/>
      <c r="R1296" s="562"/>
      <c r="S1296" s="562"/>
      <c r="T1296" s="562"/>
      <c r="U1296" s="562"/>
      <c r="V1296" s="562"/>
      <c r="W1296" s="562"/>
      <c r="X1296" s="584"/>
      <c r="Y1296" s="562"/>
      <c r="Z1296" s="562"/>
      <c r="AA1296" s="562"/>
      <c r="AB1296" s="562"/>
      <c r="AC1296" s="607" t="s">
        <v>791</v>
      </c>
      <c r="AD1296" s="608" t="s">
        <v>792</v>
      </c>
    </row>
    <row r="1297" spans="16:30" s="560" customFormat="1">
      <c r="P1297" s="561"/>
      <c r="Q1297" s="568"/>
      <c r="R1297" s="562"/>
      <c r="S1297" s="562"/>
      <c r="T1297" s="562"/>
      <c r="U1297" s="562"/>
      <c r="V1297" s="562"/>
      <c r="W1297" s="562"/>
      <c r="X1297" s="577"/>
      <c r="Y1297" s="562"/>
      <c r="Z1297" s="562"/>
      <c r="AA1297" s="562"/>
      <c r="AB1297" s="562"/>
      <c r="AC1297" s="607" t="s">
        <v>794</v>
      </c>
      <c r="AD1297" s="608" t="s">
        <v>795</v>
      </c>
    </row>
    <row r="1298" spans="16:30" s="560" customFormat="1">
      <c r="P1298" s="561"/>
      <c r="Q1298" s="568"/>
      <c r="R1298" s="562"/>
      <c r="S1298" s="562"/>
      <c r="T1298" s="562"/>
      <c r="U1298" s="562"/>
      <c r="V1298" s="562"/>
      <c r="W1298" s="562"/>
      <c r="X1298" s="577"/>
      <c r="Y1298" s="562"/>
      <c r="Z1298" s="562"/>
      <c r="AA1298" s="562"/>
      <c r="AB1298" s="562"/>
      <c r="AC1298" s="607" t="s">
        <v>798</v>
      </c>
      <c r="AD1298" s="608" t="s">
        <v>546</v>
      </c>
    </row>
    <row r="1299" spans="16:30" s="560" customFormat="1">
      <c r="P1299" s="561"/>
      <c r="Q1299" s="562"/>
      <c r="R1299" s="562"/>
      <c r="S1299" s="562"/>
      <c r="T1299" s="562"/>
      <c r="U1299" s="562"/>
      <c r="V1299" s="562"/>
      <c r="W1299" s="562"/>
      <c r="X1299" s="577"/>
      <c r="Y1299" s="562"/>
      <c r="Z1299" s="562"/>
      <c r="AA1299" s="562"/>
      <c r="AB1299" s="562"/>
      <c r="AC1299" s="607" t="s">
        <v>800</v>
      </c>
      <c r="AD1299" s="608" t="s">
        <v>801</v>
      </c>
    </row>
    <row r="1300" spans="16:30" s="560" customFormat="1">
      <c r="P1300" s="561"/>
      <c r="Q1300" s="562"/>
      <c r="R1300" s="562"/>
      <c r="S1300" s="562"/>
      <c r="T1300" s="562"/>
      <c r="U1300" s="562"/>
      <c r="V1300" s="562"/>
      <c r="W1300" s="562"/>
      <c r="X1300" s="577"/>
      <c r="Y1300" s="562"/>
      <c r="Z1300" s="562"/>
      <c r="AA1300" s="562"/>
      <c r="AB1300" s="562"/>
      <c r="AC1300" s="607" t="s">
        <v>804</v>
      </c>
      <c r="AD1300" s="608" t="s">
        <v>805</v>
      </c>
    </row>
    <row r="1301" spans="16:30" s="560" customFormat="1">
      <c r="P1301" s="561"/>
      <c r="Q1301" s="562"/>
      <c r="R1301" s="562"/>
      <c r="S1301" s="562"/>
      <c r="T1301" s="562"/>
      <c r="U1301" s="562"/>
      <c r="V1301" s="562"/>
      <c r="W1301" s="562"/>
      <c r="X1301" s="577"/>
      <c r="Y1301" s="562"/>
      <c r="Z1301" s="562"/>
      <c r="AA1301" s="562"/>
      <c r="AB1301" s="562"/>
      <c r="AC1301" s="607" t="s">
        <v>807</v>
      </c>
      <c r="AD1301" s="608" t="s">
        <v>808</v>
      </c>
    </row>
    <row r="1302" spans="16:30" s="560" customFormat="1">
      <c r="P1302" s="561"/>
      <c r="Q1302" s="562"/>
      <c r="R1302" s="562"/>
      <c r="S1302" s="562"/>
      <c r="T1302" s="562"/>
      <c r="U1302" s="562"/>
      <c r="V1302" s="562"/>
      <c r="W1302" s="562"/>
      <c r="X1302" s="577"/>
      <c r="Y1302" s="562"/>
      <c r="Z1302" s="562"/>
      <c r="AA1302" s="562"/>
      <c r="AB1302" s="562"/>
      <c r="AC1302" s="607" t="s">
        <v>810</v>
      </c>
      <c r="AD1302" s="608" t="s">
        <v>550</v>
      </c>
    </row>
    <row r="1303" spans="16:30" s="560" customFormat="1">
      <c r="P1303" s="561"/>
      <c r="Q1303" s="562"/>
      <c r="R1303" s="562"/>
      <c r="S1303" s="562"/>
      <c r="T1303" s="562"/>
      <c r="U1303" s="562"/>
      <c r="V1303" s="562"/>
      <c r="W1303" s="562"/>
      <c r="X1303" s="577"/>
      <c r="Y1303" s="562"/>
      <c r="Z1303" s="562"/>
      <c r="AA1303" s="562"/>
      <c r="AB1303" s="562"/>
      <c r="AC1303" s="607" t="s">
        <v>813</v>
      </c>
      <c r="AD1303" s="608" t="s">
        <v>552</v>
      </c>
    </row>
    <row r="1304" spans="16:30" s="560" customFormat="1">
      <c r="P1304" s="561"/>
      <c r="Q1304" s="562"/>
      <c r="R1304" s="562"/>
      <c r="S1304" s="562"/>
      <c r="T1304" s="562"/>
      <c r="U1304" s="562"/>
      <c r="V1304" s="562"/>
      <c r="W1304" s="562"/>
      <c r="X1304" s="577"/>
      <c r="Y1304" s="562"/>
      <c r="Z1304" s="562"/>
      <c r="AA1304" s="562"/>
      <c r="AB1304" s="562"/>
      <c r="AC1304" s="607" t="s">
        <v>815</v>
      </c>
      <c r="AD1304" s="608" t="s">
        <v>816</v>
      </c>
    </row>
    <row r="1305" spans="16:30" s="560" customFormat="1">
      <c r="P1305" s="561"/>
      <c r="Q1305" s="562"/>
      <c r="R1305" s="562"/>
      <c r="S1305" s="562"/>
      <c r="T1305" s="562"/>
      <c r="U1305" s="562"/>
      <c r="V1305" s="562"/>
      <c r="W1305" s="562"/>
      <c r="X1305" s="577"/>
      <c r="Y1305" s="562"/>
      <c r="Z1305" s="562"/>
      <c r="AA1305" s="562"/>
      <c r="AB1305" s="562"/>
      <c r="AC1305" s="562"/>
      <c r="AD1305" s="563"/>
    </row>
    <row r="1306" spans="16:30" s="560" customFormat="1">
      <c r="P1306" s="567">
        <v>41159</v>
      </c>
      <c r="Q1306" s="568" t="s">
        <v>725</v>
      </c>
      <c r="R1306" s="568"/>
      <c r="S1306" s="568" t="s">
        <v>891</v>
      </c>
      <c r="T1306" s="569" t="s">
        <v>727</v>
      </c>
      <c r="U1306" s="569" t="s">
        <v>728</v>
      </c>
      <c r="V1306" s="569" t="s">
        <v>729</v>
      </c>
      <c r="W1306" s="569" t="s">
        <v>730</v>
      </c>
      <c r="X1306" s="569" t="s">
        <v>731</v>
      </c>
      <c r="Y1306" s="568"/>
      <c r="Z1306" s="562"/>
      <c r="AA1306" s="562"/>
      <c r="AB1306" s="562"/>
      <c r="AC1306" s="562"/>
      <c r="AD1306" s="563"/>
    </row>
    <row r="1307" spans="16:30" s="560" customFormat="1">
      <c r="P1307" s="561"/>
      <c r="Q1307" s="568"/>
      <c r="R1307" s="568"/>
      <c r="S1307" s="568"/>
      <c r="T1307" s="569" t="s">
        <v>1208</v>
      </c>
      <c r="U1307" s="569" t="s">
        <v>1209</v>
      </c>
      <c r="V1307" s="577"/>
      <c r="W1307" s="577"/>
      <c r="X1307" s="569" t="s">
        <v>1210</v>
      </c>
      <c r="Y1307" s="578" t="s">
        <v>1211</v>
      </c>
      <c r="Z1307" s="562"/>
      <c r="AA1307" s="562"/>
      <c r="AB1307" s="562"/>
      <c r="AC1307" s="562"/>
      <c r="AD1307" s="563"/>
    </row>
    <row r="1308" spans="16:30" s="560" customFormat="1">
      <c r="P1308" s="561" t="s">
        <v>602</v>
      </c>
      <c r="Q1308" s="578" t="s">
        <v>1213</v>
      </c>
      <c r="R1308" s="578"/>
      <c r="S1308" s="569"/>
      <c r="T1308" s="568"/>
      <c r="U1308" s="568"/>
      <c r="V1308" s="569"/>
      <c r="W1308" s="569"/>
      <c r="X1308" s="569"/>
      <c r="Y1308" s="569"/>
      <c r="Z1308" s="562"/>
      <c r="AA1308" s="562"/>
      <c r="AB1308" s="562"/>
      <c r="AC1308" s="562"/>
      <c r="AD1308" s="563"/>
    </row>
    <row r="1309" spans="16:30" s="560" customFormat="1">
      <c r="P1309" s="587"/>
      <c r="Q1309" s="588" t="s">
        <v>755</v>
      </c>
      <c r="R1309" s="588" t="s">
        <v>756</v>
      </c>
      <c r="S1309" s="588" t="s">
        <v>757</v>
      </c>
      <c r="T1309" s="588" t="s">
        <v>758</v>
      </c>
      <c r="U1309" s="588" t="s">
        <v>759</v>
      </c>
      <c r="V1309" s="588" t="s">
        <v>760</v>
      </c>
      <c r="W1309" s="588" t="s">
        <v>761</v>
      </c>
      <c r="X1309" s="588" t="s">
        <v>762</v>
      </c>
      <c r="Y1309" s="588" t="s">
        <v>763</v>
      </c>
      <c r="Z1309" s="562"/>
      <c r="AA1309" s="562"/>
      <c r="AB1309" s="562"/>
      <c r="AC1309" s="588" t="s">
        <v>764</v>
      </c>
      <c r="AD1309" s="589"/>
    </row>
    <row r="1310" spans="16:30" s="560" customFormat="1">
      <c r="P1310" s="561"/>
      <c r="Q1310" s="568" t="s">
        <v>775</v>
      </c>
      <c r="R1310" s="562"/>
      <c r="S1310" s="562"/>
      <c r="T1310" s="562"/>
      <c r="U1310" s="562"/>
      <c r="V1310" s="562"/>
      <c r="W1310" s="562"/>
      <c r="X1310" s="584"/>
      <c r="Y1310" s="562"/>
      <c r="Z1310" s="562"/>
      <c r="AA1310" s="562"/>
      <c r="AB1310" s="562"/>
      <c r="AC1310" s="577"/>
      <c r="AD1310" s="589"/>
    </row>
    <row r="1311" spans="16:30" s="560" customFormat="1">
      <c r="P1311" s="561"/>
      <c r="Q1311" s="568"/>
      <c r="R1311" s="568">
        <v>0.35</v>
      </c>
      <c r="S1311" s="562"/>
      <c r="T1311" s="562"/>
      <c r="U1311" s="562"/>
      <c r="V1311" s="562"/>
      <c r="W1311" s="562"/>
      <c r="X1311" s="609"/>
      <c r="Y1311" s="562"/>
      <c r="Z1311" s="562"/>
      <c r="AA1311" s="562"/>
      <c r="AB1311" s="562"/>
      <c r="AC1311" s="607" t="s">
        <v>780</v>
      </c>
      <c r="AD1311" s="608" t="s">
        <v>616</v>
      </c>
    </row>
    <row r="1312" spans="16:30" s="560" customFormat="1">
      <c r="P1312" s="561"/>
      <c r="Q1312" s="568"/>
      <c r="R1312" s="562">
        <v>0.6</v>
      </c>
      <c r="S1312" s="562"/>
      <c r="T1312" s="562"/>
      <c r="U1312" s="562"/>
      <c r="V1312" s="562"/>
      <c r="W1312" s="562"/>
      <c r="X1312" s="584"/>
      <c r="Y1312" s="562"/>
      <c r="Z1312" s="562"/>
      <c r="AA1312" s="562"/>
      <c r="AB1312" s="562"/>
      <c r="AC1312" s="607" t="s">
        <v>785</v>
      </c>
      <c r="AD1312" s="608" t="s">
        <v>542</v>
      </c>
    </row>
    <row r="1313" spans="17:30" s="560" customFormat="1">
      <c r="Q1313" s="568"/>
      <c r="R1313" s="562">
        <v>0.44</v>
      </c>
      <c r="S1313" s="562"/>
      <c r="T1313" s="562"/>
      <c r="U1313" s="562"/>
      <c r="V1313" s="562"/>
      <c r="W1313" s="562"/>
      <c r="X1313" s="584"/>
      <c r="Y1313" s="562"/>
      <c r="Z1313" s="562"/>
      <c r="AA1313" s="562"/>
      <c r="AB1313" s="562"/>
      <c r="AC1313" s="607" t="s">
        <v>789</v>
      </c>
      <c r="AD1313" s="608" t="s">
        <v>790</v>
      </c>
    </row>
    <row r="1314" spans="17:30" s="560" customFormat="1">
      <c r="Q1314" s="568"/>
      <c r="R1314" s="562">
        <v>0.45</v>
      </c>
      <c r="S1314" s="562"/>
      <c r="T1314" s="562"/>
      <c r="U1314" s="562"/>
      <c r="V1314" s="562"/>
      <c r="W1314" s="562"/>
      <c r="X1314" s="584"/>
      <c r="Y1314" s="562"/>
      <c r="Z1314" s="562"/>
      <c r="AA1314" s="562"/>
      <c r="AB1314" s="562"/>
      <c r="AC1314" s="607" t="s">
        <v>791</v>
      </c>
      <c r="AD1314" s="608" t="s">
        <v>792</v>
      </c>
    </row>
    <row r="1315" spans="17:30" s="560" customFormat="1">
      <c r="Q1315" s="568"/>
      <c r="R1315" s="562">
        <v>0.5</v>
      </c>
      <c r="S1315" s="562"/>
      <c r="T1315" s="562"/>
      <c r="U1315" s="562"/>
      <c r="V1315" s="562"/>
      <c r="W1315" s="562"/>
      <c r="X1315" s="577"/>
      <c r="Y1315" s="562"/>
      <c r="Z1315" s="562"/>
      <c r="AA1315" s="562"/>
      <c r="AB1315" s="562"/>
      <c r="AC1315" s="607" t="s">
        <v>794</v>
      </c>
      <c r="AD1315" s="608" t="s">
        <v>795</v>
      </c>
    </row>
    <row r="1316" spans="17:30" s="560" customFormat="1">
      <c r="Q1316" s="568"/>
      <c r="R1316" s="562">
        <v>0.44</v>
      </c>
      <c r="S1316" s="562"/>
      <c r="T1316" s="562"/>
      <c r="U1316" s="562"/>
      <c r="V1316" s="562"/>
      <c r="W1316" s="562"/>
      <c r="X1316" s="577"/>
      <c r="Y1316" s="562"/>
      <c r="Z1316" s="562"/>
      <c r="AA1316" s="562"/>
      <c r="AB1316" s="562"/>
      <c r="AC1316" s="607" t="s">
        <v>798</v>
      </c>
      <c r="AD1316" s="608" t="s">
        <v>546</v>
      </c>
    </row>
    <row r="1317" spans="17:30" s="560" customFormat="1">
      <c r="Q1317" s="562"/>
      <c r="R1317" s="562">
        <v>0.35</v>
      </c>
      <c r="S1317" s="562"/>
      <c r="T1317" s="562"/>
      <c r="U1317" s="562"/>
      <c r="V1317" s="562"/>
      <c r="W1317" s="562"/>
      <c r="X1317" s="577"/>
      <c r="Y1317" s="562"/>
      <c r="Z1317" s="562"/>
      <c r="AA1317" s="562"/>
      <c r="AB1317" s="562"/>
      <c r="AC1317" s="607" t="s">
        <v>800</v>
      </c>
      <c r="AD1317" s="608" t="s">
        <v>801</v>
      </c>
    </row>
    <row r="1318" spans="17:30" s="560" customFormat="1">
      <c r="Q1318" s="562"/>
      <c r="R1318" s="562">
        <v>0.45</v>
      </c>
      <c r="S1318" s="562"/>
      <c r="T1318" s="562"/>
      <c r="U1318" s="562"/>
      <c r="V1318" s="562"/>
      <c r="W1318" s="562"/>
      <c r="X1318" s="577"/>
      <c r="Y1318" s="562"/>
      <c r="Z1318" s="562"/>
      <c r="AA1318" s="562"/>
      <c r="AB1318" s="562"/>
      <c r="AC1318" s="607" t="s">
        <v>804</v>
      </c>
      <c r="AD1318" s="608" t="s">
        <v>805</v>
      </c>
    </row>
    <row r="1319" spans="17:30" s="560" customFormat="1">
      <c r="Q1319" s="562"/>
      <c r="R1319" s="562">
        <v>0.4</v>
      </c>
      <c r="S1319" s="562"/>
      <c r="T1319" s="562"/>
      <c r="U1319" s="562"/>
      <c r="V1319" s="562"/>
      <c r="W1319" s="562"/>
      <c r="X1319" s="577"/>
      <c r="Y1319" s="562"/>
      <c r="Z1319" s="562"/>
      <c r="AA1319" s="562"/>
      <c r="AB1319" s="562"/>
      <c r="AC1319" s="607" t="s">
        <v>807</v>
      </c>
      <c r="AD1319" s="608" t="s">
        <v>808</v>
      </c>
    </row>
    <row r="1320" spans="17:30" s="560" customFormat="1">
      <c r="Q1320" s="562"/>
      <c r="R1320" s="562">
        <v>0.4</v>
      </c>
      <c r="S1320" s="562"/>
      <c r="T1320" s="562"/>
      <c r="U1320" s="562"/>
      <c r="V1320" s="562"/>
      <c r="W1320" s="562"/>
      <c r="X1320" s="577"/>
      <c r="Y1320" s="562"/>
      <c r="Z1320" s="562"/>
      <c r="AA1320" s="562"/>
      <c r="AB1320" s="562"/>
      <c r="AC1320" s="607" t="s">
        <v>810</v>
      </c>
      <c r="AD1320" s="608" t="s">
        <v>550</v>
      </c>
    </row>
    <row r="1321" spans="17:30" s="560" customFormat="1">
      <c r="Q1321" s="562"/>
      <c r="R1321" s="562">
        <v>0.4</v>
      </c>
      <c r="S1321" s="562"/>
      <c r="T1321" s="562"/>
      <c r="U1321" s="562"/>
      <c r="V1321" s="562"/>
      <c r="W1321" s="562"/>
      <c r="X1321" s="577"/>
      <c r="Y1321" s="562"/>
      <c r="Z1321" s="562"/>
      <c r="AA1321" s="562"/>
      <c r="AB1321" s="562"/>
      <c r="AC1321" s="607" t="s">
        <v>813</v>
      </c>
      <c r="AD1321" s="608" t="s">
        <v>552</v>
      </c>
    </row>
    <row r="1322" spans="17:30" s="560" customFormat="1">
      <c r="Q1322" s="562"/>
      <c r="R1322" s="562">
        <v>0.45</v>
      </c>
      <c r="S1322" s="562"/>
      <c r="T1322" s="562"/>
      <c r="U1322" s="562"/>
      <c r="V1322" s="562"/>
      <c r="W1322" s="562"/>
      <c r="X1322" s="577"/>
      <c r="Y1322" s="562"/>
      <c r="Z1322" s="562"/>
      <c r="AA1322" s="562"/>
      <c r="AB1322" s="562"/>
      <c r="AC1322" s="607" t="s">
        <v>815</v>
      </c>
      <c r="AD1322" s="608" t="s">
        <v>816</v>
      </c>
    </row>
    <row r="1323" spans="17:30" s="560" customFormat="1">
      <c r="Q1323" s="562"/>
      <c r="R1323" s="562">
        <v>0.35</v>
      </c>
      <c r="S1323" s="562"/>
      <c r="T1323" s="562"/>
      <c r="U1323" s="562"/>
      <c r="V1323" s="562"/>
      <c r="W1323" s="562"/>
      <c r="X1323" s="562"/>
      <c r="Y1323" s="562"/>
      <c r="Z1323" s="562"/>
      <c r="AA1323" s="562"/>
      <c r="AB1323" s="562"/>
      <c r="AC1323" s="562"/>
      <c r="AD1323" s="563"/>
    </row>
    <row r="1324" spans="17:30" s="560" customFormat="1">
      <c r="Q1324" s="562"/>
      <c r="R1324" s="562">
        <v>0.31</v>
      </c>
      <c r="S1324" s="562"/>
      <c r="T1324" s="562"/>
      <c r="U1324" s="562"/>
      <c r="V1324" s="562"/>
      <c r="W1324" s="562"/>
      <c r="X1324" s="562"/>
      <c r="Y1324" s="562"/>
      <c r="Z1324" s="562"/>
      <c r="AA1324" s="562"/>
      <c r="AB1324" s="562"/>
      <c r="AC1324" s="562"/>
      <c r="AD1324" s="563"/>
    </row>
    <row r="1325" spans="17:30" s="560" customFormat="1">
      <c r="Q1325" s="562"/>
      <c r="R1325" s="562">
        <v>0.39</v>
      </c>
      <c r="S1325" s="562"/>
      <c r="T1325" s="562"/>
      <c r="U1325" s="562"/>
      <c r="V1325" s="562"/>
      <c r="W1325" s="562"/>
      <c r="X1325" s="562"/>
      <c r="Y1325" s="562"/>
      <c r="Z1325" s="562"/>
      <c r="AA1325" s="562"/>
      <c r="AB1325" s="562"/>
      <c r="AC1325" s="562"/>
      <c r="AD1325" s="563"/>
    </row>
    <row r="1326" spans="17:30" s="560" customFormat="1">
      <c r="Q1326" s="562"/>
      <c r="R1326" s="562">
        <v>0.4</v>
      </c>
      <c r="S1326" s="562"/>
      <c r="T1326" s="562"/>
      <c r="U1326" s="562"/>
      <c r="V1326" s="562"/>
      <c r="W1326" s="562"/>
      <c r="X1326" s="562"/>
      <c r="Y1326" s="562"/>
      <c r="Z1326" s="562"/>
      <c r="AA1326" s="562"/>
      <c r="AB1326" s="562"/>
      <c r="AC1326" s="562"/>
      <c r="AD1326" s="563"/>
    </row>
    <row r="1327" spans="17:30" s="560" customFormat="1">
      <c r="Q1327" s="562"/>
      <c r="R1327" s="562">
        <v>0.4</v>
      </c>
      <c r="S1327" s="562"/>
      <c r="T1327" s="562"/>
      <c r="U1327" s="562"/>
      <c r="V1327" s="562"/>
      <c r="W1327" s="562"/>
      <c r="X1327" s="562"/>
      <c r="Y1327" s="562"/>
      <c r="Z1327" s="562"/>
      <c r="AA1327" s="562"/>
      <c r="AB1327" s="562"/>
      <c r="AC1327" s="562"/>
      <c r="AD1327" s="563"/>
    </row>
    <row r="1328" spans="17:30" s="560" customFormat="1">
      <c r="Q1328" s="562"/>
      <c r="R1328" s="562">
        <v>0.45</v>
      </c>
      <c r="S1328" s="562"/>
      <c r="T1328" s="562"/>
      <c r="U1328" s="562"/>
      <c r="V1328" s="562"/>
      <c r="W1328" s="562"/>
      <c r="X1328" s="562"/>
      <c r="Y1328" s="562"/>
      <c r="Z1328" s="562"/>
      <c r="AA1328" s="562"/>
      <c r="AB1328" s="562"/>
      <c r="AC1328" s="562"/>
      <c r="AD1328" s="563"/>
    </row>
    <row r="1329" spans="17:18" s="560" customFormat="1">
      <c r="Q1329" s="562" t="s">
        <v>821</v>
      </c>
      <c r="R1329" s="562"/>
    </row>
    <row r="1330" spans="17:18" s="560" customFormat="1">
      <c r="Q1330" s="562"/>
      <c r="R1330" s="562">
        <v>0.35</v>
      </c>
    </row>
    <row r="1331" spans="17:18" s="560" customFormat="1">
      <c r="Q1331" s="562"/>
      <c r="R1331" s="562">
        <v>0.3</v>
      </c>
    </row>
    <row r="1332" spans="17:18" s="560" customFormat="1">
      <c r="Q1332" s="562"/>
      <c r="R1332" s="562">
        <v>0.35</v>
      </c>
    </row>
    <row r="1333" spans="17:18" s="560" customFormat="1">
      <c r="Q1333" s="562"/>
      <c r="R1333" s="562">
        <v>0.34</v>
      </c>
    </row>
    <row r="1334" spans="17:18" s="560" customFormat="1">
      <c r="Q1334" s="562"/>
      <c r="R1334" s="562">
        <v>0.3</v>
      </c>
    </row>
    <row r="1335" spans="17:18" s="560" customFormat="1">
      <c r="Q1335" s="562"/>
      <c r="R1335" s="562">
        <v>0.5</v>
      </c>
    </row>
    <row r="1336" spans="17:18" s="560" customFormat="1">
      <c r="Q1336" s="562"/>
      <c r="R1336" s="562">
        <v>0.45</v>
      </c>
    </row>
    <row r="1337" spans="17:18" s="560" customFormat="1">
      <c r="Q1337" s="562"/>
      <c r="R1337" s="562">
        <v>0.35</v>
      </c>
    </row>
    <row r="1338" spans="17:18" s="560" customFormat="1">
      <c r="Q1338" s="562"/>
      <c r="R1338" s="562">
        <v>0.45</v>
      </c>
    </row>
    <row r="1339" spans="17:18" s="560" customFormat="1">
      <c r="Q1339" s="562"/>
      <c r="R1339" s="562">
        <v>0.26</v>
      </c>
    </row>
    <row r="1340" spans="17:18" s="560" customFormat="1">
      <c r="Q1340" s="562"/>
      <c r="R1340" s="562">
        <v>0.36</v>
      </c>
    </row>
    <row r="1341" spans="17:18" s="560" customFormat="1">
      <c r="Q1341" s="562"/>
      <c r="R1341" s="562">
        <v>0.25</v>
      </c>
    </row>
    <row r="1342" spans="17:18" s="560" customFormat="1">
      <c r="Q1342" s="562"/>
      <c r="R1342" s="562">
        <v>0.4</v>
      </c>
    </row>
    <row r="1343" spans="17:18" s="560" customFormat="1">
      <c r="Q1343" s="562"/>
      <c r="R1343" s="562">
        <v>0.35</v>
      </c>
    </row>
    <row r="1344" spans="17:18" s="560" customFormat="1">
      <c r="Q1344" s="562"/>
      <c r="R1344" s="562">
        <v>0.4</v>
      </c>
    </row>
    <row r="1345" spans="17:18" s="560" customFormat="1">
      <c r="Q1345" s="562"/>
      <c r="R1345" s="562">
        <v>0.45</v>
      </c>
    </row>
    <row r="1346" spans="17:18" s="560" customFormat="1">
      <c r="Q1346" s="562"/>
      <c r="R1346" s="562">
        <v>0.33</v>
      </c>
    </row>
    <row r="1347" spans="17:18" s="560" customFormat="1">
      <c r="Q1347" s="562"/>
      <c r="R1347" s="562">
        <v>0.4</v>
      </c>
    </row>
    <row r="1348" spans="17:18" s="560" customFormat="1">
      <c r="Q1348" s="562" t="s">
        <v>799</v>
      </c>
      <c r="R1348" s="562"/>
    </row>
    <row r="1349" spans="17:18" s="560" customFormat="1">
      <c r="Q1349" s="562"/>
      <c r="R1349" s="562">
        <v>0.4</v>
      </c>
    </row>
    <row r="1350" spans="17:18" s="560" customFormat="1">
      <c r="Q1350" s="562"/>
      <c r="R1350" s="562">
        <v>0.34</v>
      </c>
    </row>
    <row r="1351" spans="17:18" s="560" customFormat="1">
      <c r="Q1351" s="562"/>
      <c r="R1351" s="562">
        <v>0.36</v>
      </c>
    </row>
    <row r="1352" spans="17:18" s="560" customFormat="1">
      <c r="Q1352" s="562"/>
      <c r="R1352" s="562">
        <v>0.4</v>
      </c>
    </row>
    <row r="1353" spans="17:18" s="560" customFormat="1">
      <c r="Q1353" s="562"/>
      <c r="R1353" s="562">
        <v>0.33</v>
      </c>
    </row>
    <row r="1354" spans="17:18" s="560" customFormat="1">
      <c r="Q1354" s="562"/>
      <c r="R1354" s="562">
        <v>0.4</v>
      </c>
    </row>
    <row r="1355" spans="17:18" s="560" customFormat="1">
      <c r="Q1355" s="562"/>
      <c r="R1355" s="562">
        <v>0.5</v>
      </c>
    </row>
    <row r="1356" spans="17:18" s="560" customFormat="1">
      <c r="Q1356" s="562"/>
      <c r="R1356" s="562">
        <v>0.4</v>
      </c>
    </row>
    <row r="1357" spans="17:18" s="560" customFormat="1">
      <c r="Q1357" s="562"/>
      <c r="R1357" s="562">
        <v>0.45</v>
      </c>
    </row>
    <row r="1358" spans="17:18" s="560" customFormat="1">
      <c r="Q1358" s="562"/>
      <c r="R1358" s="562">
        <v>0.41</v>
      </c>
    </row>
    <row r="1359" spans="17:18" s="560" customFormat="1">
      <c r="Q1359" s="562"/>
      <c r="R1359" s="562">
        <v>0.4</v>
      </c>
    </row>
    <row r="1360" spans="17:18" s="560" customFormat="1">
      <c r="Q1360" s="562"/>
      <c r="R1360" s="562">
        <v>0.95</v>
      </c>
    </row>
    <row r="1361" spans="17:18" s="560" customFormat="1">
      <c r="Q1361" s="562"/>
      <c r="R1361" s="562">
        <v>0.45</v>
      </c>
    </row>
    <row r="1362" spans="17:18" s="560" customFormat="1">
      <c r="Q1362" s="562"/>
      <c r="R1362" s="562">
        <v>0.42</v>
      </c>
    </row>
    <row r="1363" spans="17:18" s="560" customFormat="1">
      <c r="Q1363" s="562"/>
      <c r="R1363" s="562">
        <v>0.4</v>
      </c>
    </row>
    <row r="1364" spans="17:18" s="560" customFormat="1">
      <c r="Q1364" s="562"/>
      <c r="R1364" s="562">
        <v>0.44</v>
      </c>
    </row>
    <row r="1365" spans="17:18" s="560" customFormat="1">
      <c r="Q1365" s="562"/>
      <c r="R1365" s="562">
        <v>0.4</v>
      </c>
    </row>
    <row r="1366" spans="17:18" s="560" customFormat="1">
      <c r="Q1366" s="562"/>
      <c r="R1366" s="562">
        <v>0.255</v>
      </c>
    </row>
    <row r="1367" spans="17:18" s="560" customFormat="1">
      <c r="Q1367" s="562" t="s">
        <v>1019</v>
      </c>
      <c r="R1367" s="562"/>
    </row>
    <row r="1368" spans="17:18" s="560" customFormat="1">
      <c r="Q1368" s="562"/>
      <c r="R1368" s="562">
        <v>0.4</v>
      </c>
    </row>
    <row r="1369" spans="17:18" s="560" customFormat="1">
      <c r="Q1369" s="562"/>
      <c r="R1369" s="562">
        <v>0.44</v>
      </c>
    </row>
    <row r="1370" spans="17:18" s="560" customFormat="1">
      <c r="Q1370" s="562"/>
      <c r="R1370" s="562">
        <v>0.34</v>
      </c>
    </row>
    <row r="1371" spans="17:18" s="560" customFormat="1">
      <c r="Q1371" s="562"/>
      <c r="R1371" s="562">
        <v>0.4</v>
      </c>
    </row>
    <row r="1372" spans="17:18" s="560" customFormat="1">
      <c r="Q1372" s="562"/>
      <c r="R1372" s="562">
        <v>0.44</v>
      </c>
    </row>
    <row r="1373" spans="17:18" s="560" customFormat="1">
      <c r="Q1373" s="562"/>
      <c r="R1373" s="562">
        <v>0.39</v>
      </c>
    </row>
    <row r="1374" spans="17:18" s="560" customFormat="1">
      <c r="Q1374" s="562"/>
      <c r="R1374" s="562">
        <v>0.48</v>
      </c>
    </row>
    <row r="1375" spans="17:18" s="560" customFormat="1">
      <c r="Q1375" s="562"/>
      <c r="R1375" s="562">
        <v>0.4</v>
      </c>
    </row>
    <row r="1376" spans="17:18" s="560" customFormat="1">
      <c r="Q1376" s="562"/>
      <c r="R1376" s="562">
        <v>0.35</v>
      </c>
    </row>
    <row r="1377" spans="17:18" s="560" customFormat="1">
      <c r="Q1377" s="562"/>
      <c r="R1377" s="562">
        <v>0.44</v>
      </c>
    </row>
    <row r="1378" spans="17:18" s="560" customFormat="1">
      <c r="Q1378" s="562"/>
      <c r="R1378" s="562">
        <v>0.38</v>
      </c>
    </row>
    <row r="1379" spans="17:18" s="560" customFormat="1">
      <c r="Q1379" s="562"/>
      <c r="R1379" s="562">
        <v>0.35</v>
      </c>
    </row>
    <row r="1380" spans="17:18" s="560" customFormat="1">
      <c r="Q1380" s="562"/>
      <c r="R1380" s="562">
        <v>0.4</v>
      </c>
    </row>
    <row r="1381" spans="17:18" s="560" customFormat="1">
      <c r="Q1381" s="562"/>
      <c r="R1381" s="562">
        <v>0.42</v>
      </c>
    </row>
    <row r="1382" spans="17:18" s="560" customFormat="1">
      <c r="Q1382" s="562"/>
      <c r="R1382" s="562">
        <v>0.4</v>
      </c>
    </row>
    <row r="1383" spans="17:18" s="560" customFormat="1">
      <c r="Q1383" s="562"/>
      <c r="R1383" s="562">
        <v>0.4</v>
      </c>
    </row>
    <row r="1384" spans="17:18" s="560" customFormat="1">
      <c r="Q1384" s="562"/>
      <c r="R1384" s="562">
        <v>0.4</v>
      </c>
    </row>
    <row r="1385" spans="17:18" s="560" customFormat="1">
      <c r="Q1385" s="562"/>
      <c r="R1385" s="562">
        <v>0.3</v>
      </c>
    </row>
    <row r="1386" spans="17:18" s="560" customFormat="1">
      <c r="Q1386" s="562" t="s">
        <v>1026</v>
      </c>
      <c r="R1386" s="562"/>
    </row>
    <row r="1387" spans="17:18" s="560" customFormat="1">
      <c r="Q1387" s="562"/>
      <c r="R1387" s="562">
        <v>0.4</v>
      </c>
    </row>
    <row r="1388" spans="17:18" s="560" customFormat="1">
      <c r="Q1388" s="562"/>
      <c r="R1388" s="562">
        <v>0.42</v>
      </c>
    </row>
    <row r="1389" spans="17:18" s="560" customFormat="1">
      <c r="Q1389" s="562"/>
      <c r="R1389" s="562">
        <v>0.4</v>
      </c>
    </row>
    <row r="1390" spans="17:18" s="560" customFormat="1">
      <c r="Q1390" s="562"/>
      <c r="R1390" s="562">
        <v>0.3</v>
      </c>
    </row>
    <row r="1391" spans="17:18" s="560" customFormat="1">
      <c r="Q1391" s="562"/>
      <c r="R1391" s="562">
        <v>0.5</v>
      </c>
    </row>
    <row r="1392" spans="17:18" s="560" customFormat="1">
      <c r="Q1392" s="562"/>
      <c r="R1392" s="562">
        <v>0.34</v>
      </c>
    </row>
    <row r="1393" spans="17:18" s="560" customFormat="1">
      <c r="Q1393" s="562"/>
      <c r="R1393" s="562">
        <v>0.35</v>
      </c>
    </row>
    <row r="1394" spans="17:18" s="560" customFormat="1">
      <c r="Q1394" s="562"/>
      <c r="R1394" s="562">
        <v>0.4</v>
      </c>
    </row>
    <row r="1395" spans="17:18" s="560" customFormat="1">
      <c r="Q1395" s="562"/>
      <c r="R1395" s="562">
        <v>0.4</v>
      </c>
    </row>
    <row r="1396" spans="17:18" s="560" customFormat="1">
      <c r="Q1396" s="562"/>
      <c r="R1396" s="562">
        <v>0.4</v>
      </c>
    </row>
    <row r="1397" spans="17:18" s="560" customFormat="1">
      <c r="Q1397" s="562"/>
      <c r="R1397" s="562">
        <v>0.4</v>
      </c>
    </row>
    <row r="1398" spans="17:18" s="560" customFormat="1">
      <c r="Q1398" s="562"/>
      <c r="R1398" s="562">
        <v>0.44</v>
      </c>
    </row>
    <row r="1399" spans="17:18" s="560" customFormat="1">
      <c r="Q1399" s="562"/>
      <c r="R1399" s="562">
        <v>0.7</v>
      </c>
    </row>
    <row r="1400" spans="17:18" s="560" customFormat="1">
      <c r="Q1400" s="562"/>
      <c r="R1400" s="562">
        <v>0.4</v>
      </c>
    </row>
    <row r="1401" spans="17:18" s="560" customFormat="1">
      <c r="Q1401" s="562"/>
      <c r="R1401" s="562">
        <v>0.32</v>
      </c>
    </row>
    <row r="1402" spans="17:18" s="560" customFormat="1">
      <c r="Q1402" s="562"/>
      <c r="R1402" s="562">
        <v>0.36</v>
      </c>
    </row>
    <row r="1403" spans="17:18" s="560" customFormat="1">
      <c r="Q1403" s="562"/>
      <c r="R1403" s="562">
        <v>0.45</v>
      </c>
    </row>
    <row r="1404" spans="17:18" s="560" customFormat="1">
      <c r="Q1404" s="562" t="s">
        <v>1036</v>
      </c>
      <c r="R1404" s="562"/>
    </row>
    <row r="1405" spans="17:18" s="560" customFormat="1">
      <c r="Q1405" s="562"/>
      <c r="R1405" s="562">
        <v>0.6</v>
      </c>
    </row>
    <row r="1406" spans="17:18" s="560" customFormat="1">
      <c r="Q1406" s="562"/>
      <c r="R1406" s="562">
        <v>0.4</v>
      </c>
    </row>
    <row r="1407" spans="17:18" s="560" customFormat="1">
      <c r="Q1407" s="562"/>
      <c r="R1407" s="562">
        <v>0.55000000000000004</v>
      </c>
    </row>
    <row r="1408" spans="17:18" s="560" customFormat="1">
      <c r="Q1408" s="562"/>
      <c r="R1408" s="562">
        <v>0.6</v>
      </c>
    </row>
    <row r="1409" spans="16:30" s="560" customFormat="1">
      <c r="P1409" s="561"/>
      <c r="Q1409" s="562"/>
      <c r="R1409" s="562">
        <v>0.6</v>
      </c>
      <c r="S1409" s="562"/>
      <c r="T1409" s="562"/>
      <c r="U1409" s="562"/>
      <c r="V1409" s="562"/>
      <c r="W1409" s="562"/>
      <c r="X1409" s="562"/>
      <c r="Y1409" s="562"/>
      <c r="Z1409" s="562"/>
      <c r="AA1409" s="562"/>
      <c r="AB1409" s="562"/>
      <c r="AC1409" s="562"/>
      <c r="AD1409" s="563"/>
    </row>
    <row r="1410" spans="16:30" s="560" customFormat="1">
      <c r="P1410" s="561"/>
      <c r="Q1410" s="562"/>
      <c r="R1410" s="562">
        <v>0.45</v>
      </c>
      <c r="S1410" s="562"/>
      <c r="T1410" s="562"/>
      <c r="U1410" s="562"/>
      <c r="V1410" s="562"/>
      <c r="W1410" s="562"/>
      <c r="X1410" s="562"/>
      <c r="Y1410" s="562"/>
      <c r="Z1410" s="562"/>
      <c r="AA1410" s="562"/>
      <c r="AB1410" s="562"/>
      <c r="AC1410" s="562"/>
      <c r="AD1410" s="563"/>
    </row>
    <row r="1411" spans="16:30" s="560" customFormat="1">
      <c r="P1411" s="561"/>
      <c r="Q1411" s="562"/>
      <c r="R1411" s="562">
        <f>COUNT(R1311:R1410)</f>
        <v>95</v>
      </c>
      <c r="S1411" s="562"/>
      <c r="T1411" s="562"/>
      <c r="U1411" s="562"/>
      <c r="V1411" s="562"/>
      <c r="W1411" s="562"/>
      <c r="X1411" s="562"/>
      <c r="Y1411" s="562"/>
      <c r="Z1411" s="562"/>
      <c r="AA1411" s="562"/>
      <c r="AB1411" s="562"/>
      <c r="AC1411" s="562"/>
      <c r="AD1411" s="563"/>
    </row>
    <row r="1412" spans="16:30" s="560" customFormat="1">
      <c r="P1412" s="567">
        <v>41163</v>
      </c>
      <c r="Q1412" s="568" t="s">
        <v>725</v>
      </c>
      <c r="R1412" s="568"/>
      <c r="S1412" s="568" t="s">
        <v>726</v>
      </c>
      <c r="T1412" s="569" t="s">
        <v>727</v>
      </c>
      <c r="U1412" s="569" t="s">
        <v>728</v>
      </c>
      <c r="V1412" s="569" t="s">
        <v>729</v>
      </c>
      <c r="W1412" s="569" t="s">
        <v>730</v>
      </c>
      <c r="X1412" s="569" t="s">
        <v>731</v>
      </c>
      <c r="Y1412" s="568"/>
      <c r="Z1412" s="562"/>
      <c r="AA1412" s="562"/>
      <c r="AB1412" s="562"/>
      <c r="AC1412" s="562"/>
      <c r="AD1412" s="563"/>
    </row>
    <row r="1413" spans="16:30" s="560" customFormat="1">
      <c r="P1413" s="561"/>
      <c r="Q1413" s="568"/>
      <c r="R1413" s="568"/>
      <c r="S1413" s="568"/>
      <c r="T1413" s="569" t="s">
        <v>1214</v>
      </c>
      <c r="U1413" s="569" t="s">
        <v>1215</v>
      </c>
      <c r="V1413" s="577"/>
      <c r="W1413" s="577"/>
      <c r="X1413" s="569">
        <v>2569</v>
      </c>
      <c r="Y1413" s="578" t="s">
        <v>1216</v>
      </c>
      <c r="Z1413" s="562"/>
      <c r="AA1413" s="562"/>
      <c r="AB1413" s="562"/>
      <c r="AC1413" s="562"/>
      <c r="AD1413" s="563"/>
    </row>
    <row r="1414" spans="16:30" s="560" customFormat="1">
      <c r="P1414" s="561" t="s">
        <v>605</v>
      </c>
      <c r="Q1414" s="583" t="s">
        <v>1217</v>
      </c>
      <c r="R1414" s="578"/>
      <c r="S1414" s="569"/>
      <c r="T1414" s="568"/>
      <c r="U1414" s="568"/>
      <c r="V1414" s="569"/>
      <c r="W1414" s="569"/>
      <c r="X1414" s="569"/>
      <c r="Y1414" s="569"/>
      <c r="Z1414" s="562"/>
      <c r="AA1414" s="562"/>
      <c r="AB1414" s="562"/>
      <c r="AC1414" s="562"/>
      <c r="AD1414" s="563"/>
    </row>
    <row r="1415" spans="16:30" s="560" customFormat="1">
      <c r="P1415" s="587"/>
      <c r="Q1415" s="588" t="s">
        <v>755</v>
      </c>
      <c r="R1415" s="588" t="s">
        <v>756</v>
      </c>
      <c r="S1415" s="588" t="s">
        <v>757</v>
      </c>
      <c r="T1415" s="588" t="s">
        <v>758</v>
      </c>
      <c r="U1415" s="588" t="s">
        <v>759</v>
      </c>
      <c r="V1415" s="588" t="s">
        <v>760</v>
      </c>
      <c r="W1415" s="588" t="s">
        <v>761</v>
      </c>
      <c r="X1415" s="588" t="s">
        <v>762</v>
      </c>
      <c r="Y1415" s="588" t="s">
        <v>763</v>
      </c>
      <c r="Z1415" s="562"/>
      <c r="AA1415" s="562"/>
      <c r="AB1415" s="562"/>
      <c r="AC1415" s="588" t="s">
        <v>764</v>
      </c>
      <c r="AD1415" s="589"/>
    </row>
    <row r="1416" spans="16:30" s="560" customFormat="1">
      <c r="P1416" s="561"/>
      <c r="Q1416" s="568">
        <v>2</v>
      </c>
      <c r="R1416" s="562"/>
      <c r="S1416" s="562">
        <v>0.1</v>
      </c>
      <c r="T1416" s="562" t="s">
        <v>802</v>
      </c>
      <c r="U1416" s="562"/>
      <c r="V1416" s="562"/>
      <c r="W1416" s="562"/>
      <c r="X1416" s="584"/>
      <c r="Y1416" s="562"/>
      <c r="Z1416" s="562"/>
      <c r="AA1416" s="562"/>
      <c r="AB1416" s="562"/>
      <c r="AC1416" s="577"/>
      <c r="AD1416" s="589"/>
    </row>
    <row r="1417" spans="16:30" s="560" customFormat="1">
      <c r="P1417" s="561"/>
      <c r="Q1417" s="568">
        <v>3</v>
      </c>
      <c r="R1417" s="562"/>
      <c r="S1417" s="568">
        <v>0.1</v>
      </c>
      <c r="T1417" s="562" t="s">
        <v>802</v>
      </c>
      <c r="U1417" s="562"/>
      <c r="V1417" s="562"/>
      <c r="W1417" s="562"/>
      <c r="X1417" s="609"/>
      <c r="Y1417" s="562"/>
      <c r="Z1417" s="562"/>
      <c r="AA1417" s="562"/>
      <c r="AB1417" s="562"/>
      <c r="AC1417" s="607" t="s">
        <v>780</v>
      </c>
      <c r="AD1417" s="608" t="s">
        <v>616</v>
      </c>
    </row>
    <row r="1418" spans="16:30" s="560" customFormat="1">
      <c r="P1418" s="561"/>
      <c r="Q1418" s="568">
        <v>4</v>
      </c>
      <c r="R1418" s="562"/>
      <c r="S1418" s="562">
        <v>0.6</v>
      </c>
      <c r="T1418" s="562"/>
      <c r="U1418" s="562"/>
      <c r="V1418" s="562"/>
      <c r="W1418" s="562"/>
      <c r="X1418" s="584" t="s">
        <v>1218</v>
      </c>
      <c r="Y1418" s="562" t="s">
        <v>1219</v>
      </c>
      <c r="Z1418" s="562"/>
      <c r="AA1418" s="562"/>
      <c r="AB1418" s="562"/>
      <c r="AC1418" s="607" t="s">
        <v>785</v>
      </c>
      <c r="AD1418" s="608" t="s">
        <v>542</v>
      </c>
    </row>
    <row r="1419" spans="16:30" s="560" customFormat="1">
      <c r="P1419" s="561"/>
      <c r="Q1419" s="568">
        <v>4.9000000000000004</v>
      </c>
      <c r="R1419" s="562"/>
      <c r="S1419" s="562">
        <v>6.9</v>
      </c>
      <c r="T1419" s="562"/>
      <c r="U1419" s="562"/>
      <c r="V1419" s="562"/>
      <c r="W1419" s="562"/>
      <c r="X1419" s="584" t="s">
        <v>1220</v>
      </c>
      <c r="Y1419" s="562" t="s">
        <v>1221</v>
      </c>
      <c r="Z1419" s="562"/>
      <c r="AA1419" s="562"/>
      <c r="AB1419" s="562"/>
      <c r="AC1419" s="607" t="s">
        <v>789</v>
      </c>
      <c r="AD1419" s="608" t="s">
        <v>790</v>
      </c>
    </row>
    <row r="1420" spans="16:30" s="560" customFormat="1">
      <c r="P1420" s="561"/>
      <c r="Q1420" s="568">
        <v>5.0999999999999996</v>
      </c>
      <c r="R1420" s="562"/>
      <c r="S1420" s="562">
        <v>1.4</v>
      </c>
      <c r="T1420" s="562"/>
      <c r="U1420" s="562"/>
      <c r="V1420" s="562"/>
      <c r="W1420" s="562"/>
      <c r="X1420" s="584">
        <v>2533</v>
      </c>
      <c r="Y1420" s="562" t="s">
        <v>1219</v>
      </c>
      <c r="Z1420" s="562"/>
      <c r="AA1420" s="562"/>
      <c r="AB1420" s="562"/>
      <c r="AC1420" s="607" t="s">
        <v>791</v>
      </c>
      <c r="AD1420" s="608" t="s">
        <v>792</v>
      </c>
    </row>
    <row r="1421" spans="16:30" s="560" customFormat="1">
      <c r="P1421" s="561"/>
      <c r="Q1421" s="568">
        <v>6</v>
      </c>
      <c r="R1421" s="562"/>
      <c r="S1421" s="562">
        <v>0.1</v>
      </c>
      <c r="T1421" s="562"/>
      <c r="U1421" s="562"/>
      <c r="V1421" s="562"/>
      <c r="W1421" s="562"/>
      <c r="X1421" s="577">
        <v>2571</v>
      </c>
      <c r="Y1421" s="562" t="s">
        <v>1219</v>
      </c>
      <c r="Z1421" s="562"/>
      <c r="AA1421" s="562"/>
      <c r="AB1421" s="562"/>
      <c r="AC1421" s="607" t="s">
        <v>794</v>
      </c>
      <c r="AD1421" s="608" t="s">
        <v>795</v>
      </c>
    </row>
    <row r="1422" spans="16:30" s="560" customFormat="1">
      <c r="P1422" s="561"/>
      <c r="Q1422" s="568">
        <v>7</v>
      </c>
      <c r="R1422" s="562"/>
      <c r="S1422" s="562">
        <v>1.5</v>
      </c>
      <c r="T1422" s="562"/>
      <c r="U1422" s="562"/>
      <c r="V1422" s="562"/>
      <c r="W1422" s="562"/>
      <c r="X1422" s="577" t="s">
        <v>1222</v>
      </c>
      <c r="Y1422" s="562" t="s">
        <v>1219</v>
      </c>
      <c r="Z1422" s="562"/>
      <c r="AA1422" s="562"/>
      <c r="AB1422" s="562"/>
      <c r="AC1422" s="607" t="s">
        <v>798</v>
      </c>
      <c r="AD1422" s="608" t="s">
        <v>546</v>
      </c>
    </row>
    <row r="1423" spans="16:30" s="560" customFormat="1">
      <c r="P1423" s="561"/>
      <c r="Q1423" s="562"/>
      <c r="R1423" s="562"/>
      <c r="S1423" s="562">
        <f>SUM(S1416:S1422)</f>
        <v>10.7</v>
      </c>
      <c r="T1423" s="562"/>
      <c r="U1423" s="562"/>
      <c r="V1423" s="562"/>
      <c r="W1423" s="562"/>
      <c r="X1423" s="577"/>
      <c r="Y1423" s="562"/>
      <c r="Z1423" s="562"/>
      <c r="AA1423" s="562"/>
      <c r="AB1423" s="562"/>
      <c r="AC1423" s="607" t="s">
        <v>800</v>
      </c>
      <c r="AD1423" s="608" t="s">
        <v>801</v>
      </c>
    </row>
    <row r="1424" spans="16:30" s="560" customFormat="1">
      <c r="P1424" s="561"/>
      <c r="Q1424" s="562"/>
      <c r="R1424" s="562"/>
      <c r="S1424" s="562"/>
      <c r="T1424" s="562"/>
      <c r="U1424" s="562"/>
      <c r="V1424" s="562"/>
      <c r="W1424" s="562"/>
      <c r="X1424" s="577"/>
      <c r="Y1424" s="562"/>
      <c r="Z1424" s="562"/>
      <c r="AA1424" s="562"/>
      <c r="AB1424" s="562"/>
      <c r="AC1424" s="607" t="s">
        <v>804</v>
      </c>
      <c r="AD1424" s="608" t="s">
        <v>805</v>
      </c>
    </row>
    <row r="1425" spans="16:30" s="560" customFormat="1">
      <c r="P1425" s="561"/>
      <c r="Q1425" s="562"/>
      <c r="R1425" s="562"/>
      <c r="S1425" s="562"/>
      <c r="T1425" s="562"/>
      <c r="U1425" s="562"/>
      <c r="V1425" s="562"/>
      <c r="W1425" s="562"/>
      <c r="X1425" s="577"/>
      <c r="Y1425" s="562"/>
      <c r="Z1425" s="562"/>
      <c r="AA1425" s="562"/>
      <c r="AB1425" s="562"/>
      <c r="AC1425" s="607" t="s">
        <v>807</v>
      </c>
      <c r="AD1425" s="608" t="s">
        <v>808</v>
      </c>
    </row>
    <row r="1426" spans="16:30" s="560" customFormat="1">
      <c r="P1426" s="561"/>
      <c r="Q1426" s="562"/>
      <c r="R1426" s="562"/>
      <c r="S1426" s="562"/>
      <c r="T1426" s="562"/>
      <c r="U1426" s="562"/>
      <c r="V1426" s="562"/>
      <c r="W1426" s="562"/>
      <c r="X1426" s="577"/>
      <c r="Y1426" s="562"/>
      <c r="Z1426" s="562"/>
      <c r="AA1426" s="562"/>
      <c r="AB1426" s="562"/>
      <c r="AC1426" s="607" t="s">
        <v>810</v>
      </c>
      <c r="AD1426" s="608" t="s">
        <v>550</v>
      </c>
    </row>
    <row r="1427" spans="16:30" s="560" customFormat="1">
      <c r="P1427" s="561"/>
      <c r="Q1427" s="562"/>
      <c r="R1427" s="562"/>
      <c r="S1427" s="562"/>
      <c r="T1427" s="562"/>
      <c r="U1427" s="562"/>
      <c r="V1427" s="562"/>
      <c r="W1427" s="562"/>
      <c r="X1427" s="577"/>
      <c r="Y1427" s="562"/>
      <c r="Z1427" s="562"/>
      <c r="AA1427" s="562"/>
      <c r="AB1427" s="562"/>
      <c r="AC1427" s="607" t="s">
        <v>813</v>
      </c>
      <c r="AD1427" s="608" t="s">
        <v>552</v>
      </c>
    </row>
    <row r="1428" spans="16:30" s="560" customFormat="1">
      <c r="P1428" s="561"/>
      <c r="Q1428" s="562"/>
      <c r="R1428" s="562"/>
      <c r="S1428" s="562"/>
      <c r="T1428" s="562"/>
      <c r="U1428" s="562"/>
      <c r="V1428" s="562"/>
      <c r="W1428" s="562"/>
      <c r="X1428" s="577"/>
      <c r="Y1428" s="562"/>
      <c r="Z1428" s="562"/>
      <c r="AA1428" s="562"/>
      <c r="AB1428" s="562"/>
      <c r="AC1428" s="607" t="s">
        <v>815</v>
      </c>
      <c r="AD1428" s="608" t="s">
        <v>816</v>
      </c>
    </row>
    <row r="1430" spans="16:30" s="560" customFormat="1">
      <c r="P1430" s="567">
        <v>41165</v>
      </c>
      <c r="Q1430" s="568" t="s">
        <v>725</v>
      </c>
      <c r="R1430" s="568"/>
      <c r="S1430" s="568" t="s">
        <v>726</v>
      </c>
      <c r="T1430" s="569" t="s">
        <v>727</v>
      </c>
      <c r="U1430" s="569" t="s">
        <v>728</v>
      </c>
      <c r="V1430" s="569" t="s">
        <v>729</v>
      </c>
      <c r="W1430" s="569" t="s">
        <v>730</v>
      </c>
      <c r="X1430" s="569" t="s">
        <v>731</v>
      </c>
      <c r="Y1430" s="568"/>
      <c r="Z1430" s="562"/>
      <c r="AA1430" s="562"/>
      <c r="AB1430" s="562"/>
      <c r="AC1430" s="562"/>
      <c r="AD1430" s="563"/>
    </row>
    <row r="1431" spans="16:30" s="560" customFormat="1">
      <c r="P1431" s="561"/>
      <c r="Q1431" s="568"/>
      <c r="R1431" s="568"/>
      <c r="S1431" s="568"/>
      <c r="T1431" s="569" t="s">
        <v>1223</v>
      </c>
      <c r="U1431" s="569" t="s">
        <v>1224</v>
      </c>
      <c r="V1431" s="577"/>
      <c r="W1431" s="577"/>
      <c r="X1431" s="569" t="s">
        <v>1225</v>
      </c>
      <c r="Y1431" s="578" t="s">
        <v>1226</v>
      </c>
      <c r="Z1431" s="562"/>
      <c r="AA1431" s="562"/>
      <c r="AB1431" s="562"/>
      <c r="AC1431" s="562"/>
      <c r="AD1431" s="563"/>
    </row>
    <row r="1432" spans="16:30" s="560" customFormat="1">
      <c r="P1432" s="561" t="s">
        <v>608</v>
      </c>
      <c r="Q1432" s="578" t="s">
        <v>1227</v>
      </c>
      <c r="R1432" s="578"/>
      <c r="S1432" s="569"/>
      <c r="T1432" s="568"/>
      <c r="U1432" s="568"/>
      <c r="V1432" s="569"/>
      <c r="W1432" s="569"/>
      <c r="X1432" s="569" t="s">
        <v>1228</v>
      </c>
      <c r="Y1432" s="569"/>
      <c r="Z1432" s="562"/>
      <c r="AA1432" s="562"/>
      <c r="AB1432" s="562"/>
      <c r="AC1432" s="562"/>
      <c r="AD1432" s="563"/>
    </row>
    <row r="1433" spans="16:30" s="560" customFormat="1">
      <c r="P1433" s="587"/>
      <c r="Q1433" s="588" t="s">
        <v>755</v>
      </c>
      <c r="R1433" s="588" t="s">
        <v>756</v>
      </c>
      <c r="S1433" s="588" t="s">
        <v>757</v>
      </c>
      <c r="T1433" s="588" t="s">
        <v>758</v>
      </c>
      <c r="U1433" s="588" t="s">
        <v>759</v>
      </c>
      <c r="V1433" s="588" t="s">
        <v>760</v>
      </c>
      <c r="W1433" s="588" t="s">
        <v>761</v>
      </c>
      <c r="X1433" s="588" t="s">
        <v>762</v>
      </c>
      <c r="Y1433" s="588" t="s">
        <v>763</v>
      </c>
      <c r="Z1433" s="562"/>
      <c r="AA1433" s="562"/>
      <c r="AB1433" s="562"/>
      <c r="AC1433" s="588" t="s">
        <v>764</v>
      </c>
      <c r="AD1433" s="589"/>
    </row>
    <row r="1434" spans="16:30" s="560" customFormat="1">
      <c r="P1434" s="561"/>
      <c r="Q1434" s="568" t="s">
        <v>775</v>
      </c>
      <c r="R1434" s="562"/>
      <c r="S1434" s="562"/>
      <c r="T1434" s="562"/>
      <c r="U1434" s="562"/>
      <c r="V1434" s="562"/>
      <c r="W1434" s="562"/>
      <c r="X1434" s="584"/>
      <c r="Y1434" s="562"/>
      <c r="Z1434" s="562"/>
      <c r="AA1434" s="562"/>
      <c r="AB1434" s="562"/>
      <c r="AC1434" s="577"/>
      <c r="AD1434" s="589"/>
    </row>
    <row r="1435" spans="16:30" s="560" customFormat="1">
      <c r="P1435" s="561"/>
      <c r="Q1435" s="568"/>
      <c r="R1435" s="562">
        <v>0.65</v>
      </c>
      <c r="S1435" s="568"/>
      <c r="T1435" s="562"/>
      <c r="U1435" s="562"/>
      <c r="V1435" s="562"/>
      <c r="W1435" s="562"/>
      <c r="X1435" s="609"/>
      <c r="Y1435" s="562"/>
      <c r="Z1435" s="562"/>
      <c r="AA1435" s="562"/>
      <c r="AB1435" s="562"/>
      <c r="AC1435" s="607" t="s">
        <v>780</v>
      </c>
      <c r="AD1435" s="608" t="s">
        <v>616</v>
      </c>
    </row>
    <row r="1436" spans="16:30" s="560" customFormat="1">
      <c r="P1436" s="561"/>
      <c r="Q1436" s="568"/>
      <c r="R1436" s="562">
        <v>0.55000000000000004</v>
      </c>
      <c r="S1436" s="562"/>
      <c r="T1436" s="562"/>
      <c r="U1436" s="562"/>
      <c r="V1436" s="562"/>
      <c r="W1436" s="562"/>
      <c r="X1436" s="584"/>
      <c r="Y1436" s="562"/>
      <c r="Z1436" s="562"/>
      <c r="AA1436" s="562"/>
      <c r="AB1436" s="562"/>
      <c r="AC1436" s="607" t="s">
        <v>785</v>
      </c>
      <c r="AD1436" s="608" t="s">
        <v>542</v>
      </c>
    </row>
    <row r="1437" spans="16:30" s="560" customFormat="1">
      <c r="P1437" s="561"/>
      <c r="Q1437" s="568"/>
      <c r="R1437" s="562">
        <v>0.7</v>
      </c>
      <c r="S1437" s="562"/>
      <c r="T1437" s="562"/>
      <c r="U1437" s="562"/>
      <c r="V1437" s="562"/>
      <c r="W1437" s="562"/>
      <c r="X1437" s="584"/>
      <c r="Y1437" s="562"/>
      <c r="Z1437" s="562"/>
      <c r="AA1437" s="562"/>
      <c r="AB1437" s="562"/>
      <c r="AC1437" s="607" t="s">
        <v>789</v>
      </c>
      <c r="AD1437" s="608" t="s">
        <v>790</v>
      </c>
    </row>
    <row r="1438" spans="16:30" s="560" customFormat="1">
      <c r="P1438" s="561"/>
      <c r="Q1438" s="568"/>
      <c r="R1438" s="562">
        <v>0.75</v>
      </c>
      <c r="S1438" s="562"/>
      <c r="T1438" s="562"/>
      <c r="U1438" s="562"/>
      <c r="V1438" s="562"/>
      <c r="W1438" s="562"/>
      <c r="X1438" s="584"/>
      <c r="Y1438" s="562"/>
      <c r="Z1438" s="562"/>
      <c r="AA1438" s="562"/>
      <c r="AB1438" s="562"/>
      <c r="AC1438" s="607" t="s">
        <v>791</v>
      </c>
      <c r="AD1438" s="608" t="s">
        <v>792</v>
      </c>
    </row>
    <row r="1439" spans="16:30" s="560" customFormat="1">
      <c r="P1439" s="561"/>
      <c r="Q1439" s="568"/>
      <c r="R1439" s="562">
        <v>0.5</v>
      </c>
      <c r="S1439" s="562"/>
      <c r="T1439" s="562"/>
      <c r="U1439" s="562"/>
      <c r="V1439" s="562"/>
      <c r="W1439" s="562"/>
      <c r="X1439" s="577"/>
      <c r="Y1439" s="562"/>
      <c r="Z1439" s="562"/>
      <c r="AA1439" s="562"/>
      <c r="AB1439" s="562"/>
      <c r="AC1439" s="607" t="s">
        <v>794</v>
      </c>
      <c r="AD1439" s="608" t="s">
        <v>795</v>
      </c>
    </row>
    <row r="1440" spans="16:30" s="560" customFormat="1">
      <c r="P1440" s="561"/>
      <c r="Q1440" s="568"/>
      <c r="R1440" s="562">
        <v>0.55000000000000004</v>
      </c>
      <c r="S1440" s="562"/>
      <c r="T1440" s="562"/>
      <c r="U1440" s="562"/>
      <c r="V1440" s="562"/>
      <c r="W1440" s="562"/>
      <c r="X1440" s="577"/>
      <c r="Y1440" s="562"/>
      <c r="Z1440" s="562"/>
      <c r="AA1440" s="562"/>
      <c r="AB1440" s="562"/>
      <c r="AC1440" s="607" t="s">
        <v>798</v>
      </c>
      <c r="AD1440" s="608" t="s">
        <v>546</v>
      </c>
    </row>
    <row r="1441" spans="17:30" s="560" customFormat="1">
      <c r="Q1441" s="562"/>
      <c r="R1441" s="562">
        <v>0.45</v>
      </c>
      <c r="S1441" s="562"/>
      <c r="T1441" s="562"/>
      <c r="U1441" s="562"/>
      <c r="V1441" s="562"/>
      <c r="W1441" s="562"/>
      <c r="X1441" s="577"/>
      <c r="Y1441" s="562"/>
      <c r="Z1441" s="562"/>
      <c r="AA1441" s="562"/>
      <c r="AB1441" s="562"/>
      <c r="AC1441" s="607" t="s">
        <v>800</v>
      </c>
      <c r="AD1441" s="608" t="s">
        <v>801</v>
      </c>
    </row>
    <row r="1442" spans="17:30" s="560" customFormat="1">
      <c r="Q1442" s="562"/>
      <c r="R1442" s="562">
        <v>0.6</v>
      </c>
      <c r="S1442" s="562"/>
      <c r="T1442" s="562"/>
      <c r="U1442" s="562"/>
      <c r="V1442" s="562"/>
      <c r="W1442" s="562"/>
      <c r="X1442" s="577"/>
      <c r="Y1442" s="562"/>
      <c r="Z1442" s="562"/>
      <c r="AA1442" s="562"/>
      <c r="AB1442" s="562"/>
      <c r="AC1442" s="607" t="s">
        <v>804</v>
      </c>
      <c r="AD1442" s="608" t="s">
        <v>805</v>
      </c>
    </row>
    <row r="1443" spans="17:30" s="560" customFormat="1">
      <c r="Q1443" s="562"/>
      <c r="R1443" s="562">
        <v>0.4</v>
      </c>
      <c r="S1443" s="562"/>
      <c r="T1443" s="562"/>
      <c r="U1443" s="562"/>
      <c r="V1443" s="562"/>
      <c r="W1443" s="562"/>
      <c r="X1443" s="577"/>
      <c r="Y1443" s="562"/>
      <c r="Z1443" s="562"/>
      <c r="AA1443" s="562"/>
      <c r="AB1443" s="562"/>
      <c r="AC1443" s="607" t="s">
        <v>807</v>
      </c>
      <c r="AD1443" s="608" t="s">
        <v>808</v>
      </c>
    </row>
    <row r="1444" spans="17:30" s="560" customFormat="1">
      <c r="Q1444" s="562"/>
      <c r="R1444" s="562">
        <v>0.5</v>
      </c>
      <c r="S1444" s="562"/>
      <c r="T1444" s="562"/>
      <c r="U1444" s="562"/>
      <c r="V1444" s="562"/>
      <c r="W1444" s="562"/>
      <c r="X1444" s="577"/>
      <c r="Y1444" s="562"/>
      <c r="Z1444" s="562"/>
      <c r="AA1444" s="562"/>
      <c r="AB1444" s="562"/>
      <c r="AC1444" s="607" t="s">
        <v>810</v>
      </c>
      <c r="AD1444" s="608" t="s">
        <v>550</v>
      </c>
    </row>
    <row r="1445" spans="17:30" s="560" customFormat="1">
      <c r="Q1445" s="562"/>
      <c r="R1445" s="562">
        <v>0.55000000000000004</v>
      </c>
      <c r="S1445" s="562"/>
      <c r="T1445" s="562"/>
      <c r="U1445" s="562"/>
      <c r="V1445" s="562"/>
      <c r="W1445" s="562"/>
      <c r="X1445" s="577"/>
      <c r="Y1445" s="562"/>
      <c r="Z1445" s="562"/>
      <c r="AA1445" s="562"/>
      <c r="AB1445" s="562"/>
      <c r="AC1445" s="607" t="s">
        <v>813</v>
      </c>
      <c r="AD1445" s="608" t="s">
        <v>552</v>
      </c>
    </row>
    <row r="1446" spans="17:30" s="560" customFormat="1">
      <c r="Q1446" s="562"/>
      <c r="R1446" s="562">
        <v>0.7</v>
      </c>
      <c r="S1446" s="562"/>
      <c r="T1446" s="562"/>
      <c r="U1446" s="562"/>
      <c r="V1446" s="562"/>
      <c r="W1446" s="562"/>
      <c r="X1446" s="577"/>
      <c r="Y1446" s="562"/>
      <c r="Z1446" s="562"/>
      <c r="AA1446" s="562"/>
      <c r="AB1446" s="562"/>
      <c r="AC1446" s="607" t="s">
        <v>815</v>
      </c>
      <c r="AD1446" s="608" t="s">
        <v>816</v>
      </c>
    </row>
    <row r="1447" spans="17:30" s="560" customFormat="1">
      <c r="Q1447" s="562"/>
      <c r="R1447" s="562">
        <v>0.6</v>
      </c>
      <c r="S1447" s="562"/>
      <c r="T1447" s="562"/>
      <c r="U1447" s="562"/>
      <c r="V1447" s="562"/>
      <c r="W1447" s="562"/>
      <c r="X1447" s="562"/>
      <c r="Y1447" s="562"/>
      <c r="Z1447" s="562"/>
      <c r="AA1447" s="562"/>
      <c r="AB1447" s="562"/>
      <c r="AC1447" s="562"/>
      <c r="AD1447" s="563"/>
    </row>
    <row r="1448" spans="17:30" s="560" customFormat="1">
      <c r="Q1448" s="562"/>
      <c r="R1448" s="562">
        <v>0.55000000000000004</v>
      </c>
      <c r="S1448" s="562"/>
      <c r="T1448" s="562"/>
      <c r="U1448" s="562"/>
      <c r="V1448" s="562"/>
      <c r="W1448" s="562"/>
      <c r="X1448" s="562"/>
      <c r="Y1448" s="562"/>
      <c r="Z1448" s="562"/>
      <c r="AA1448" s="562"/>
      <c r="AB1448" s="562"/>
      <c r="AC1448" s="562"/>
      <c r="AD1448" s="563"/>
    </row>
    <row r="1449" spans="17:30" s="560" customFormat="1">
      <c r="Q1449" s="562"/>
      <c r="R1449" s="562">
        <v>0.56999999999999995</v>
      </c>
      <c r="S1449" s="562"/>
      <c r="T1449" s="562"/>
      <c r="U1449" s="562"/>
      <c r="V1449" s="562"/>
      <c r="W1449" s="562"/>
      <c r="X1449" s="562"/>
      <c r="Y1449" s="562"/>
      <c r="Z1449" s="562"/>
      <c r="AA1449" s="562"/>
      <c r="AB1449" s="562"/>
      <c r="AC1449" s="562"/>
      <c r="AD1449" s="563"/>
    </row>
    <row r="1450" spans="17:30" s="560" customFormat="1">
      <c r="Q1450" s="562"/>
      <c r="R1450" s="562">
        <v>0.56999999999999995</v>
      </c>
      <c r="S1450" s="562"/>
      <c r="T1450" s="562"/>
      <c r="U1450" s="562"/>
      <c r="V1450" s="562"/>
      <c r="W1450" s="562"/>
      <c r="X1450" s="562"/>
      <c r="Y1450" s="562"/>
      <c r="Z1450" s="562"/>
      <c r="AA1450" s="562"/>
      <c r="AB1450" s="562"/>
      <c r="AC1450" s="562"/>
      <c r="AD1450" s="563"/>
    </row>
    <row r="1451" spans="17:30" s="560" customFormat="1">
      <c r="Q1451" s="562" t="s">
        <v>821</v>
      </c>
      <c r="R1451" s="562"/>
      <c r="S1451" s="562"/>
      <c r="T1451" s="562"/>
      <c r="U1451" s="562"/>
      <c r="V1451" s="562"/>
      <c r="W1451" s="562"/>
      <c r="X1451" s="562"/>
      <c r="Y1451" s="562"/>
      <c r="Z1451" s="562"/>
      <c r="AA1451" s="562"/>
      <c r="AB1451" s="562"/>
      <c r="AC1451" s="562"/>
      <c r="AD1451" s="563"/>
    </row>
    <row r="1452" spans="17:30" s="560" customFormat="1">
      <c r="Q1452" s="562"/>
      <c r="R1452" s="562">
        <v>0.65</v>
      </c>
      <c r="S1452" s="562"/>
      <c r="T1452" s="562"/>
      <c r="U1452" s="562"/>
      <c r="V1452" s="562"/>
      <c r="W1452" s="562"/>
      <c r="X1452" s="562"/>
      <c r="Y1452" s="562"/>
      <c r="Z1452" s="562"/>
      <c r="AA1452" s="562"/>
      <c r="AB1452" s="562"/>
      <c r="AC1452" s="562"/>
      <c r="AD1452" s="563"/>
    </row>
    <row r="1453" spans="17:30" s="560" customFormat="1">
      <c r="Q1453" s="562"/>
      <c r="R1453" s="562">
        <v>0.5</v>
      </c>
      <c r="S1453" s="562"/>
      <c r="T1453" s="562"/>
      <c r="U1453" s="562"/>
      <c r="V1453" s="562"/>
      <c r="W1453" s="562"/>
      <c r="X1453" s="562"/>
      <c r="Y1453" s="562"/>
      <c r="Z1453" s="562"/>
      <c r="AA1453" s="562"/>
      <c r="AB1453" s="562"/>
      <c r="AC1453" s="562"/>
      <c r="AD1453" s="563"/>
    </row>
    <row r="1454" spans="17:30" s="560" customFormat="1">
      <c r="Q1454" s="562"/>
      <c r="R1454" s="562">
        <v>0.6</v>
      </c>
      <c r="S1454" s="562"/>
      <c r="T1454" s="562"/>
      <c r="U1454" s="562"/>
      <c r="V1454" s="562"/>
      <c r="W1454" s="562"/>
      <c r="X1454" s="562"/>
      <c r="Y1454" s="562"/>
      <c r="Z1454" s="562"/>
      <c r="AA1454" s="562"/>
      <c r="AB1454" s="562"/>
      <c r="AC1454" s="562"/>
      <c r="AD1454" s="563"/>
    </row>
    <row r="1455" spans="17:30" s="560" customFormat="1">
      <c r="Q1455" s="562"/>
      <c r="R1455" s="562">
        <v>0.7</v>
      </c>
      <c r="S1455" s="562"/>
      <c r="T1455" s="562"/>
      <c r="U1455" s="562"/>
      <c r="V1455" s="562"/>
      <c r="W1455" s="562"/>
      <c r="X1455" s="562"/>
      <c r="Y1455" s="562"/>
      <c r="Z1455" s="562"/>
      <c r="AA1455" s="562"/>
      <c r="AB1455" s="562"/>
      <c r="AC1455" s="562"/>
      <c r="AD1455" s="563"/>
    </row>
    <row r="1456" spans="17:30" s="560" customFormat="1">
      <c r="Q1456" s="562"/>
      <c r="R1456" s="562">
        <v>0.65</v>
      </c>
      <c r="S1456" s="562"/>
      <c r="T1456" s="562"/>
      <c r="U1456" s="562"/>
      <c r="V1456" s="562"/>
      <c r="W1456" s="562"/>
      <c r="X1456" s="562"/>
      <c r="Y1456" s="562"/>
      <c r="Z1456" s="562"/>
      <c r="AA1456" s="562"/>
      <c r="AB1456" s="562"/>
      <c r="AC1456" s="562"/>
      <c r="AD1456" s="563"/>
    </row>
    <row r="1457" spans="17:18" s="560" customFormat="1">
      <c r="Q1457" s="562"/>
      <c r="R1457" s="562">
        <v>0.52</v>
      </c>
    </row>
    <row r="1458" spans="17:18" s="560" customFormat="1">
      <c r="Q1458" s="562"/>
      <c r="R1458" s="562">
        <v>0.5</v>
      </c>
    </row>
    <row r="1459" spans="17:18" s="560" customFormat="1">
      <c r="Q1459" s="562"/>
      <c r="R1459" s="562">
        <v>0.6</v>
      </c>
    </row>
    <row r="1460" spans="17:18" s="560" customFormat="1">
      <c r="Q1460" s="562"/>
      <c r="R1460" s="562">
        <v>0.6</v>
      </c>
    </row>
    <row r="1461" spans="17:18" s="560" customFormat="1">
      <c r="Q1461" s="562"/>
      <c r="R1461" s="562">
        <v>0.36</v>
      </c>
    </row>
    <row r="1462" spans="17:18" s="560" customFormat="1">
      <c r="Q1462" s="562"/>
      <c r="R1462" s="562">
        <v>0.65</v>
      </c>
    </row>
    <row r="1463" spans="17:18" s="560" customFormat="1">
      <c r="Q1463" s="562"/>
      <c r="R1463" s="562">
        <v>0.65</v>
      </c>
    </row>
    <row r="1464" spans="17:18" s="560" customFormat="1">
      <c r="Q1464" s="562"/>
      <c r="R1464" s="562">
        <v>0.6</v>
      </c>
    </row>
    <row r="1465" spans="17:18" s="560" customFormat="1">
      <c r="Q1465" s="562"/>
      <c r="R1465" s="562">
        <v>0.6</v>
      </c>
    </row>
    <row r="1466" spans="17:18" s="560" customFormat="1">
      <c r="Q1466" s="562"/>
      <c r="R1466" s="562">
        <v>0.6</v>
      </c>
    </row>
    <row r="1467" spans="17:18" s="560" customFormat="1">
      <c r="Q1467" s="562"/>
      <c r="R1467" s="562">
        <v>0.6</v>
      </c>
    </row>
    <row r="1468" spans="17:18" s="560" customFormat="1">
      <c r="Q1468" s="562" t="s">
        <v>799</v>
      </c>
      <c r="R1468" s="562"/>
    </row>
    <row r="1469" spans="17:18" s="560" customFormat="1">
      <c r="Q1469" s="562"/>
      <c r="R1469" s="562">
        <v>0.55000000000000004</v>
      </c>
    </row>
    <row r="1470" spans="17:18" s="560" customFormat="1">
      <c r="Q1470" s="562"/>
      <c r="R1470" s="562">
        <v>0.48</v>
      </c>
    </row>
    <row r="1471" spans="17:18" s="560" customFormat="1">
      <c r="Q1471" s="562"/>
      <c r="R1471" s="562">
        <v>0.65</v>
      </c>
    </row>
    <row r="1472" spans="17:18" s="560" customFormat="1">
      <c r="Q1472" s="562"/>
      <c r="R1472" s="562">
        <v>0.65</v>
      </c>
    </row>
    <row r="1473" spans="17:18" s="560" customFormat="1">
      <c r="Q1473" s="562"/>
      <c r="R1473" s="562">
        <v>0.6</v>
      </c>
    </row>
    <row r="1474" spans="17:18" s="560" customFormat="1">
      <c r="Q1474" s="562"/>
      <c r="R1474" s="562">
        <v>0.65</v>
      </c>
    </row>
    <row r="1475" spans="17:18" s="560" customFormat="1">
      <c r="Q1475" s="562"/>
      <c r="R1475" s="562">
        <v>0.6</v>
      </c>
    </row>
    <row r="1476" spans="17:18" s="560" customFormat="1">
      <c r="Q1476" s="562"/>
      <c r="R1476" s="562">
        <v>0.6</v>
      </c>
    </row>
    <row r="1477" spans="17:18" s="560" customFormat="1">
      <c r="Q1477" s="562"/>
      <c r="R1477" s="562">
        <v>0.55000000000000004</v>
      </c>
    </row>
    <row r="1478" spans="17:18" s="560" customFormat="1">
      <c r="Q1478" s="562"/>
      <c r="R1478" s="562">
        <v>0.5</v>
      </c>
    </row>
    <row r="1479" spans="17:18" s="560" customFormat="1">
      <c r="Q1479" s="562"/>
      <c r="R1479" s="562">
        <v>0.6</v>
      </c>
    </row>
    <row r="1480" spans="17:18" s="560" customFormat="1">
      <c r="Q1480" s="562"/>
      <c r="R1480" s="562">
        <v>0.6</v>
      </c>
    </row>
    <row r="1481" spans="17:18" s="560" customFormat="1">
      <c r="Q1481" s="562"/>
      <c r="R1481" s="562">
        <v>0.6</v>
      </c>
    </row>
    <row r="1482" spans="17:18" s="560" customFormat="1">
      <c r="Q1482" s="562"/>
      <c r="R1482" s="562">
        <v>0.55000000000000004</v>
      </c>
    </row>
    <row r="1483" spans="17:18" s="560" customFormat="1">
      <c r="Q1483" s="562"/>
      <c r="R1483" s="562">
        <v>0.6</v>
      </c>
    </row>
    <row r="1484" spans="17:18" s="560" customFormat="1">
      <c r="Q1484" s="562" t="s">
        <v>1019</v>
      </c>
      <c r="R1484" s="562"/>
    </row>
    <row r="1485" spans="17:18" s="560" customFormat="1">
      <c r="Q1485" s="562"/>
      <c r="R1485" s="562">
        <v>0.42</v>
      </c>
    </row>
    <row r="1486" spans="17:18" s="560" customFormat="1">
      <c r="Q1486" s="562"/>
      <c r="R1486" s="562">
        <v>0.6</v>
      </c>
    </row>
    <row r="1487" spans="17:18" s="560" customFormat="1">
      <c r="Q1487" s="562"/>
      <c r="R1487" s="562">
        <v>0.65</v>
      </c>
    </row>
    <row r="1488" spans="17:18" s="560" customFormat="1">
      <c r="Q1488" s="562"/>
      <c r="R1488" s="562">
        <v>0.65</v>
      </c>
    </row>
    <row r="1489" spans="17:18" s="560" customFormat="1">
      <c r="Q1489" s="562"/>
      <c r="R1489" s="562">
        <v>0.6</v>
      </c>
    </row>
    <row r="1490" spans="17:18" s="560" customFormat="1">
      <c r="Q1490" s="562"/>
      <c r="R1490" s="562">
        <v>0.55000000000000004</v>
      </c>
    </row>
    <row r="1491" spans="17:18" s="560" customFormat="1">
      <c r="Q1491" s="562"/>
      <c r="R1491" s="562">
        <v>0.6</v>
      </c>
    </row>
    <row r="1492" spans="17:18" s="560" customFormat="1">
      <c r="Q1492" s="562"/>
      <c r="R1492" s="562">
        <v>0.6</v>
      </c>
    </row>
    <row r="1493" spans="17:18" s="560" customFormat="1">
      <c r="Q1493" s="562"/>
      <c r="R1493" s="562">
        <v>0.6</v>
      </c>
    </row>
    <row r="1494" spans="17:18" s="560" customFormat="1">
      <c r="Q1494" s="562"/>
      <c r="R1494" s="562">
        <v>0.6</v>
      </c>
    </row>
    <row r="1495" spans="17:18" s="560" customFormat="1">
      <c r="Q1495" s="562"/>
      <c r="R1495" s="562">
        <v>0.55000000000000004</v>
      </c>
    </row>
    <row r="1496" spans="17:18" s="560" customFormat="1">
      <c r="Q1496" s="562"/>
      <c r="R1496" s="562">
        <v>0.65</v>
      </c>
    </row>
    <row r="1497" spans="17:18" s="560" customFormat="1">
      <c r="Q1497" s="562"/>
      <c r="R1497" s="562">
        <v>0.6</v>
      </c>
    </row>
    <row r="1498" spans="17:18" s="560" customFormat="1">
      <c r="Q1498" s="562"/>
      <c r="R1498" s="562">
        <v>0.6</v>
      </c>
    </row>
    <row r="1499" spans="17:18" s="560" customFormat="1">
      <c r="Q1499" s="562"/>
      <c r="R1499" s="562">
        <v>0.6</v>
      </c>
    </row>
    <row r="1500" spans="17:18" s="560" customFormat="1">
      <c r="Q1500" s="562"/>
      <c r="R1500" s="562">
        <v>0.6</v>
      </c>
    </row>
    <row r="1501" spans="17:18" s="560" customFormat="1">
      <c r="Q1501" s="562" t="s">
        <v>1026</v>
      </c>
      <c r="R1501" s="562"/>
    </row>
    <row r="1502" spans="17:18" s="560" customFormat="1">
      <c r="Q1502" s="562"/>
      <c r="R1502" s="562">
        <v>0.5</v>
      </c>
    </row>
    <row r="1503" spans="17:18" s="560" customFormat="1">
      <c r="Q1503" s="562"/>
      <c r="R1503" s="562">
        <v>0.5</v>
      </c>
    </row>
    <row r="1504" spans="17:18" s="560" customFormat="1">
      <c r="Q1504" s="562"/>
      <c r="R1504" s="562">
        <v>0.6</v>
      </c>
    </row>
    <row r="1505" spans="17:18" s="560" customFormat="1">
      <c r="Q1505" s="562"/>
      <c r="R1505" s="562">
        <v>0.65</v>
      </c>
    </row>
    <row r="1506" spans="17:18" s="560" customFormat="1">
      <c r="Q1506" s="562"/>
      <c r="R1506" s="562">
        <v>0.55000000000000004</v>
      </c>
    </row>
    <row r="1507" spans="17:18" s="560" customFormat="1">
      <c r="Q1507" s="562"/>
      <c r="R1507" s="562">
        <v>0.6</v>
      </c>
    </row>
    <row r="1508" spans="17:18" s="560" customFormat="1">
      <c r="Q1508" s="562"/>
      <c r="R1508" s="562">
        <v>0.6</v>
      </c>
    </row>
    <row r="1509" spans="17:18" s="560" customFormat="1">
      <c r="Q1509" s="562"/>
      <c r="R1509" s="562">
        <v>0.6</v>
      </c>
    </row>
    <row r="1510" spans="17:18" s="560" customFormat="1">
      <c r="Q1510" s="562"/>
      <c r="R1510" s="562">
        <v>0.5</v>
      </c>
    </row>
    <row r="1511" spans="17:18" s="560" customFormat="1">
      <c r="Q1511" s="562"/>
      <c r="R1511" s="562">
        <v>0.55000000000000004</v>
      </c>
    </row>
    <row r="1512" spans="17:18" s="560" customFormat="1">
      <c r="Q1512" s="562"/>
      <c r="R1512" s="562">
        <v>0.6</v>
      </c>
    </row>
    <row r="1513" spans="17:18" s="560" customFormat="1">
      <c r="Q1513" s="562"/>
      <c r="R1513" s="562">
        <v>0.6</v>
      </c>
    </row>
    <row r="1514" spans="17:18" s="560" customFormat="1">
      <c r="Q1514" s="562"/>
      <c r="R1514" s="562">
        <v>0.43</v>
      </c>
    </row>
    <row r="1515" spans="17:18" s="560" customFormat="1">
      <c r="Q1515" s="562"/>
      <c r="R1515" s="562">
        <v>0.55000000000000004</v>
      </c>
    </row>
    <row r="1516" spans="17:18" s="560" customFormat="1">
      <c r="Q1516" s="562"/>
      <c r="R1516" s="562">
        <v>0.6</v>
      </c>
    </row>
    <row r="1517" spans="17:18" s="560" customFormat="1">
      <c r="Q1517" s="562"/>
      <c r="R1517" s="562">
        <v>0.6</v>
      </c>
    </row>
    <row r="1518" spans="17:18" s="560" customFormat="1">
      <c r="Q1518" s="562"/>
      <c r="R1518" s="562">
        <v>0.6</v>
      </c>
    </row>
    <row r="1519" spans="17:18" s="560" customFormat="1">
      <c r="Q1519" s="562" t="s">
        <v>1229</v>
      </c>
      <c r="R1519" s="562"/>
    </row>
    <row r="1520" spans="17:18" s="560" customFormat="1">
      <c r="Q1520" s="562"/>
      <c r="R1520" s="562">
        <v>0.5</v>
      </c>
    </row>
    <row r="1521" spans="17:18" s="560" customFormat="1">
      <c r="Q1521" s="562"/>
      <c r="R1521" s="562">
        <v>0.55000000000000004</v>
      </c>
    </row>
    <row r="1522" spans="17:18" s="560" customFormat="1">
      <c r="Q1522" s="562"/>
      <c r="R1522" s="562">
        <v>0.6</v>
      </c>
    </row>
    <row r="1523" spans="17:18" s="560" customFormat="1">
      <c r="Q1523" s="562"/>
      <c r="R1523" s="562">
        <v>0.6</v>
      </c>
    </row>
    <row r="1524" spans="17:18" s="560" customFormat="1">
      <c r="Q1524" s="562"/>
      <c r="R1524" s="562">
        <v>0.6</v>
      </c>
    </row>
    <row r="1525" spans="17:18" s="560" customFormat="1">
      <c r="Q1525" s="562"/>
      <c r="R1525" s="562">
        <v>0.7</v>
      </c>
    </row>
    <row r="1526" spans="17:18" s="560" customFormat="1">
      <c r="Q1526" s="562"/>
      <c r="R1526" s="562">
        <v>0.7</v>
      </c>
    </row>
    <row r="1527" spans="17:18" s="560" customFormat="1">
      <c r="Q1527" s="562"/>
      <c r="R1527" s="562">
        <v>0.6</v>
      </c>
    </row>
    <row r="1528" spans="17:18" s="560" customFormat="1">
      <c r="Q1528" s="562"/>
      <c r="R1528" s="562">
        <v>0.4</v>
      </c>
    </row>
    <row r="1529" spans="17:18" s="560" customFormat="1">
      <c r="Q1529" s="562"/>
      <c r="R1529" s="562">
        <v>0.62</v>
      </c>
    </row>
    <row r="1530" spans="17:18" s="560" customFormat="1">
      <c r="Q1530" s="562"/>
      <c r="R1530" s="562">
        <v>0.6</v>
      </c>
    </row>
    <row r="1531" spans="17:18" s="560" customFormat="1">
      <c r="Q1531" s="562"/>
      <c r="R1531" s="562">
        <v>0.6</v>
      </c>
    </row>
    <row r="1532" spans="17:18" s="560" customFormat="1">
      <c r="Q1532" s="562"/>
      <c r="R1532" s="562">
        <v>0.62</v>
      </c>
    </row>
    <row r="1533" spans="17:18" s="560" customFormat="1">
      <c r="Q1533" s="562"/>
      <c r="R1533" s="562">
        <v>0.6</v>
      </c>
    </row>
    <row r="1534" spans="17:18" s="560" customFormat="1">
      <c r="Q1534" s="562"/>
      <c r="R1534" s="562">
        <v>0.6</v>
      </c>
    </row>
    <row r="1535" spans="17:18" s="560" customFormat="1">
      <c r="Q1535" s="562" t="s">
        <v>1050</v>
      </c>
      <c r="R1535" s="562"/>
    </row>
    <row r="1536" spans="17:18" s="560" customFormat="1">
      <c r="Q1536" s="562"/>
      <c r="R1536" s="562">
        <v>0.6</v>
      </c>
    </row>
    <row r="1537" spans="17:18" s="560" customFormat="1">
      <c r="Q1537" s="562"/>
      <c r="R1537" s="562">
        <v>0.65</v>
      </c>
    </row>
    <row r="1538" spans="17:18" s="560" customFormat="1">
      <c r="Q1538" s="562"/>
      <c r="R1538" s="562">
        <v>0.65</v>
      </c>
    </row>
    <row r="1539" spans="17:18" s="560" customFormat="1">
      <c r="Q1539" s="562"/>
      <c r="R1539" s="562">
        <v>0.7</v>
      </c>
    </row>
    <row r="1540" spans="17:18" s="560" customFormat="1">
      <c r="Q1540" s="562"/>
      <c r="R1540" s="562">
        <v>0.7</v>
      </c>
    </row>
    <row r="1541" spans="17:18" s="560" customFormat="1">
      <c r="Q1541" s="562"/>
      <c r="R1541" s="562">
        <v>0.6</v>
      </c>
    </row>
    <row r="1542" spans="17:18" s="560" customFormat="1">
      <c r="Q1542" s="562"/>
      <c r="R1542" s="562">
        <v>0.65</v>
      </c>
    </row>
    <row r="1543" spans="17:18" s="560" customFormat="1">
      <c r="Q1543" s="562"/>
      <c r="R1543" s="562">
        <v>0.7</v>
      </c>
    </row>
    <row r="1544" spans="17:18" s="560" customFormat="1">
      <c r="Q1544" s="562"/>
      <c r="R1544" s="562">
        <v>0.6</v>
      </c>
    </row>
    <row r="1545" spans="17:18" s="560" customFormat="1">
      <c r="Q1545" s="562"/>
      <c r="R1545" s="562">
        <v>0.7</v>
      </c>
    </row>
    <row r="1546" spans="17:18" s="560" customFormat="1">
      <c r="Q1546" s="562"/>
      <c r="R1546" s="562">
        <v>0.6</v>
      </c>
    </row>
    <row r="1547" spans="17:18" s="560" customFormat="1">
      <c r="Q1547" s="562"/>
      <c r="R1547" s="562">
        <v>0.45</v>
      </c>
    </row>
    <row r="1548" spans="17:18" s="560" customFormat="1">
      <c r="Q1548" s="562"/>
      <c r="R1548" s="562">
        <v>0.65</v>
      </c>
    </row>
    <row r="1549" spans="17:18" s="560" customFormat="1">
      <c r="Q1549" s="562"/>
      <c r="R1549" s="562">
        <v>0.6</v>
      </c>
    </row>
    <row r="1550" spans="17:18" s="560" customFormat="1">
      <c r="Q1550" s="562"/>
      <c r="R1550" s="562">
        <v>0.6</v>
      </c>
    </row>
    <row r="1551" spans="17:18" s="560" customFormat="1">
      <c r="Q1551" s="562"/>
      <c r="R1551" s="562">
        <v>0.7</v>
      </c>
    </row>
    <row r="1552" spans="17:18" s="560" customFormat="1">
      <c r="Q1552" s="562" t="s">
        <v>1061</v>
      </c>
      <c r="R1552" s="562"/>
    </row>
    <row r="1553" spans="16:30" s="560" customFormat="1">
      <c r="P1553" s="561"/>
      <c r="Q1553" s="562"/>
      <c r="R1553" s="562">
        <v>0.65</v>
      </c>
      <c r="S1553" s="562"/>
      <c r="T1553" s="562"/>
      <c r="U1553" s="562"/>
      <c r="V1553" s="562"/>
      <c r="W1553" s="562"/>
      <c r="X1553" s="562"/>
      <c r="Y1553" s="562"/>
      <c r="Z1553" s="562"/>
      <c r="AA1553" s="562"/>
      <c r="AB1553" s="562"/>
      <c r="AC1553" s="562"/>
      <c r="AD1553" s="563"/>
    </row>
    <row r="1554" spans="16:30" s="560" customFormat="1">
      <c r="P1554" s="561"/>
      <c r="Q1554" s="562"/>
      <c r="R1554" s="562">
        <v>0.55000000000000004</v>
      </c>
      <c r="S1554" s="562"/>
      <c r="T1554" s="562"/>
      <c r="U1554" s="562"/>
      <c r="V1554" s="562"/>
      <c r="W1554" s="562"/>
      <c r="X1554" s="562"/>
      <c r="Y1554" s="562"/>
      <c r="Z1554" s="562"/>
      <c r="AA1554" s="562"/>
      <c r="AB1554" s="562"/>
      <c r="AC1554" s="562"/>
      <c r="AD1554" s="563"/>
    </row>
    <row r="1555" spans="16:30" s="560" customFormat="1">
      <c r="P1555" s="561"/>
      <c r="Q1555" s="562"/>
      <c r="R1555" s="562">
        <v>0.9</v>
      </c>
      <c r="S1555" s="562"/>
      <c r="T1555" s="562"/>
      <c r="U1555" s="562"/>
      <c r="V1555" s="562"/>
      <c r="W1555" s="562"/>
      <c r="X1555" s="562"/>
      <c r="Y1555" s="562"/>
      <c r="Z1555" s="562"/>
      <c r="AA1555" s="562"/>
      <c r="AB1555" s="562"/>
      <c r="AC1555" s="562"/>
      <c r="AD1555" s="563"/>
    </row>
    <row r="1556" spans="16:30" s="560" customFormat="1">
      <c r="P1556" s="561"/>
      <c r="Q1556" s="562"/>
      <c r="R1556" s="562">
        <f>COUNT(R1435:R1555)</f>
        <v>114</v>
      </c>
      <c r="S1556" s="562"/>
      <c r="T1556" s="562"/>
      <c r="U1556" s="562"/>
      <c r="V1556" s="562"/>
      <c r="W1556" s="562"/>
      <c r="X1556" s="562"/>
      <c r="Y1556" s="562"/>
      <c r="Z1556" s="562"/>
      <c r="AA1556" s="562"/>
      <c r="AB1556" s="562"/>
      <c r="AC1556" s="562"/>
      <c r="AD1556" s="563"/>
    </row>
    <row r="1557" spans="16:30" s="560" customFormat="1">
      <c r="P1557" s="567">
        <v>41166</v>
      </c>
      <c r="Q1557" s="568" t="s">
        <v>725</v>
      </c>
      <c r="R1557" s="568"/>
      <c r="S1557" s="568" t="s">
        <v>726</v>
      </c>
      <c r="T1557" s="569" t="s">
        <v>727</v>
      </c>
      <c r="U1557" s="569" t="s">
        <v>728</v>
      </c>
      <c r="V1557" s="569" t="s">
        <v>729</v>
      </c>
      <c r="W1557" s="569" t="s">
        <v>730</v>
      </c>
      <c r="X1557" s="569" t="s">
        <v>731</v>
      </c>
      <c r="Y1557" s="568"/>
      <c r="Z1557" s="562"/>
      <c r="AA1557" s="562"/>
      <c r="AB1557" s="562"/>
      <c r="AC1557" s="562"/>
      <c r="AD1557" s="563"/>
    </row>
    <row r="1558" spans="16:30" s="560" customFormat="1">
      <c r="P1558" s="561"/>
      <c r="Q1558" s="568"/>
      <c r="R1558" s="568"/>
      <c r="S1558" s="568"/>
      <c r="T1558" s="569" t="s">
        <v>1230</v>
      </c>
      <c r="U1558" s="569" t="s">
        <v>1231</v>
      </c>
      <c r="V1558" s="577"/>
      <c r="W1558" s="577"/>
      <c r="X1558" s="569" t="s">
        <v>1232</v>
      </c>
      <c r="Y1558" s="578" t="s">
        <v>1233</v>
      </c>
      <c r="Z1558" s="562"/>
      <c r="AA1558" s="562"/>
      <c r="AB1558" s="562"/>
      <c r="AC1558" s="562"/>
      <c r="AD1558" s="563"/>
    </row>
    <row r="1559" spans="16:30" s="560" customFormat="1">
      <c r="P1559" s="561" t="s">
        <v>610</v>
      </c>
      <c r="Q1559" s="578" t="s">
        <v>1234</v>
      </c>
      <c r="R1559" s="578"/>
      <c r="S1559" s="569"/>
      <c r="T1559" s="568"/>
      <c r="U1559" s="568"/>
      <c r="V1559" s="569"/>
      <c r="W1559" s="569"/>
      <c r="X1559" s="569"/>
      <c r="Y1559" s="569"/>
      <c r="Z1559" s="562"/>
      <c r="AA1559" s="562"/>
      <c r="AB1559" s="562"/>
      <c r="AC1559" s="562"/>
      <c r="AD1559" s="563"/>
    </row>
    <row r="1560" spans="16:30" s="560" customFormat="1">
      <c r="P1560" s="587"/>
      <c r="Q1560" s="588" t="s">
        <v>755</v>
      </c>
      <c r="R1560" s="588" t="s">
        <v>756</v>
      </c>
      <c r="S1560" s="588" t="s">
        <v>757</v>
      </c>
      <c r="T1560" s="588" t="s">
        <v>758</v>
      </c>
      <c r="U1560" s="588" t="s">
        <v>759</v>
      </c>
      <c r="V1560" s="588" t="s">
        <v>760</v>
      </c>
      <c r="W1560" s="588" t="s">
        <v>761</v>
      </c>
      <c r="X1560" s="588" t="s">
        <v>762</v>
      </c>
      <c r="Y1560" s="588" t="s">
        <v>763</v>
      </c>
      <c r="Z1560" s="562"/>
      <c r="AA1560" s="562"/>
      <c r="AB1560" s="562"/>
      <c r="AC1560" s="588" t="s">
        <v>764</v>
      </c>
      <c r="AD1560" s="589"/>
    </row>
    <row r="1561" spans="16:30" s="560" customFormat="1">
      <c r="P1561" s="561"/>
      <c r="Q1561" s="568" t="s">
        <v>775</v>
      </c>
      <c r="R1561" s="562"/>
      <c r="S1561" s="562"/>
      <c r="T1561" s="562"/>
      <c r="U1561" s="562"/>
      <c r="V1561" s="562"/>
      <c r="W1561" s="562"/>
      <c r="X1561" s="584"/>
      <c r="Y1561" s="562"/>
      <c r="Z1561" s="562"/>
      <c r="AA1561" s="562"/>
      <c r="AB1561" s="562"/>
      <c r="AC1561" s="577"/>
      <c r="AD1561" s="589"/>
    </row>
    <row r="1562" spans="16:30" s="560" customFormat="1">
      <c r="P1562" s="561"/>
      <c r="Q1562" s="568"/>
      <c r="R1562" s="562" t="s">
        <v>115</v>
      </c>
      <c r="S1562" s="568"/>
      <c r="T1562" s="562"/>
      <c r="U1562" s="562"/>
      <c r="V1562" s="562"/>
      <c r="W1562" s="562"/>
      <c r="X1562" s="609"/>
      <c r="Y1562" s="562"/>
      <c r="Z1562" s="562"/>
      <c r="AA1562" s="562"/>
      <c r="AB1562" s="562"/>
      <c r="AC1562" s="607" t="s">
        <v>780</v>
      </c>
      <c r="AD1562" s="608" t="s">
        <v>616</v>
      </c>
    </row>
    <row r="1563" spans="16:30" s="560" customFormat="1">
      <c r="P1563" s="561"/>
      <c r="Q1563" s="568"/>
      <c r="R1563" s="562">
        <v>0.45</v>
      </c>
      <c r="S1563" s="562"/>
      <c r="T1563" s="562"/>
      <c r="U1563" s="562"/>
      <c r="V1563" s="562"/>
      <c r="W1563" s="562"/>
      <c r="X1563" s="584"/>
      <c r="Y1563" s="562"/>
      <c r="Z1563" s="562"/>
      <c r="AA1563" s="562"/>
      <c r="AB1563" s="562"/>
      <c r="AC1563" s="607" t="s">
        <v>785</v>
      </c>
      <c r="AD1563" s="608" t="s">
        <v>542</v>
      </c>
    </row>
    <row r="1564" spans="16:30" s="560" customFormat="1">
      <c r="P1564" s="561"/>
      <c r="Q1564" s="568"/>
      <c r="R1564" s="562">
        <v>0.4</v>
      </c>
      <c r="S1564" s="562"/>
      <c r="T1564" s="562"/>
      <c r="U1564" s="562"/>
      <c r="V1564" s="562"/>
      <c r="W1564" s="562"/>
      <c r="X1564" s="584"/>
      <c r="Y1564" s="562"/>
      <c r="Z1564" s="562"/>
      <c r="AA1564" s="562"/>
      <c r="AB1564" s="562"/>
      <c r="AC1564" s="607" t="s">
        <v>789</v>
      </c>
      <c r="AD1564" s="608" t="s">
        <v>790</v>
      </c>
    </row>
    <row r="1565" spans="16:30" s="560" customFormat="1">
      <c r="P1565" s="561"/>
      <c r="Q1565" s="568"/>
      <c r="R1565" s="562">
        <v>0.45</v>
      </c>
      <c r="S1565" s="562"/>
      <c r="T1565" s="562"/>
      <c r="U1565" s="562"/>
      <c r="V1565" s="562"/>
      <c r="W1565" s="562"/>
      <c r="X1565" s="584"/>
      <c r="Y1565" s="562"/>
      <c r="Z1565" s="562"/>
      <c r="AA1565" s="562"/>
      <c r="AB1565" s="562"/>
      <c r="AC1565" s="607" t="s">
        <v>791</v>
      </c>
      <c r="AD1565" s="608" t="s">
        <v>792</v>
      </c>
    </row>
    <row r="1566" spans="16:30" s="560" customFormat="1">
      <c r="P1566" s="561"/>
      <c r="Q1566" s="568"/>
      <c r="R1566" s="562">
        <v>0.45</v>
      </c>
      <c r="S1566" s="562"/>
      <c r="T1566" s="562"/>
      <c r="U1566" s="562"/>
      <c r="V1566" s="562"/>
      <c r="W1566" s="562"/>
      <c r="X1566" s="577"/>
      <c r="Y1566" s="562"/>
      <c r="Z1566" s="562"/>
      <c r="AA1566" s="562"/>
      <c r="AB1566" s="562"/>
      <c r="AC1566" s="607" t="s">
        <v>794</v>
      </c>
      <c r="AD1566" s="608" t="s">
        <v>795</v>
      </c>
    </row>
    <row r="1567" spans="16:30" s="560" customFormat="1">
      <c r="P1567" s="561"/>
      <c r="Q1567" s="568"/>
      <c r="R1567" s="562">
        <v>0.43</v>
      </c>
      <c r="S1567" s="562"/>
      <c r="T1567" s="562"/>
      <c r="U1567" s="562"/>
      <c r="V1567" s="562"/>
      <c r="W1567" s="562"/>
      <c r="X1567" s="577"/>
      <c r="Y1567" s="562"/>
      <c r="Z1567" s="562"/>
      <c r="AA1567" s="562"/>
      <c r="AB1567" s="562"/>
      <c r="AC1567" s="607" t="s">
        <v>798</v>
      </c>
      <c r="AD1567" s="608" t="s">
        <v>546</v>
      </c>
    </row>
    <row r="1568" spans="16:30" s="560" customFormat="1">
      <c r="P1568" s="561"/>
      <c r="Q1568" s="562"/>
      <c r="R1568" s="562">
        <v>0.42</v>
      </c>
      <c r="S1568" s="562"/>
      <c r="T1568" s="562"/>
      <c r="U1568" s="562"/>
      <c r="V1568" s="562"/>
      <c r="W1568" s="562"/>
      <c r="X1568" s="577"/>
      <c r="Y1568" s="562"/>
      <c r="Z1568" s="562"/>
      <c r="AA1568" s="562"/>
      <c r="AB1568" s="562"/>
      <c r="AC1568" s="607" t="s">
        <v>800</v>
      </c>
      <c r="AD1568" s="608" t="s">
        <v>801</v>
      </c>
    </row>
    <row r="1569" spans="17:30" s="560" customFormat="1">
      <c r="Q1569" s="562"/>
      <c r="R1569" s="562">
        <v>0.45</v>
      </c>
      <c r="S1569" s="562"/>
      <c r="T1569" s="562"/>
      <c r="U1569" s="562"/>
      <c r="V1569" s="562"/>
      <c r="W1569" s="562"/>
      <c r="X1569" s="577"/>
      <c r="Y1569" s="562"/>
      <c r="Z1569" s="562"/>
      <c r="AA1569" s="562"/>
      <c r="AB1569" s="562"/>
      <c r="AC1569" s="607" t="s">
        <v>804</v>
      </c>
      <c r="AD1569" s="608" t="s">
        <v>805</v>
      </c>
    </row>
    <row r="1570" spans="17:30" s="560" customFormat="1">
      <c r="Q1570" s="562"/>
      <c r="R1570" s="562">
        <v>0.4</v>
      </c>
      <c r="S1570" s="562"/>
      <c r="T1570" s="562"/>
      <c r="U1570" s="562"/>
      <c r="V1570" s="562"/>
      <c r="W1570" s="562"/>
      <c r="X1570" s="577"/>
      <c r="Y1570" s="562"/>
      <c r="Z1570" s="562"/>
      <c r="AA1570" s="562"/>
      <c r="AB1570" s="562"/>
      <c r="AC1570" s="607" t="s">
        <v>807</v>
      </c>
      <c r="AD1570" s="608" t="s">
        <v>808</v>
      </c>
    </row>
    <row r="1571" spans="17:30" s="560" customFormat="1">
      <c r="Q1571" s="562"/>
      <c r="R1571" s="562">
        <v>0.45</v>
      </c>
      <c r="S1571" s="562"/>
      <c r="T1571" s="562"/>
      <c r="U1571" s="562"/>
      <c r="V1571" s="562"/>
      <c r="W1571" s="562"/>
      <c r="X1571" s="577"/>
      <c r="Y1571" s="562"/>
      <c r="Z1571" s="562"/>
      <c r="AA1571" s="562"/>
      <c r="AB1571" s="562"/>
      <c r="AC1571" s="607" t="s">
        <v>810</v>
      </c>
      <c r="AD1571" s="608" t="s">
        <v>550</v>
      </c>
    </row>
    <row r="1572" spans="17:30" s="560" customFormat="1">
      <c r="Q1572" s="562"/>
      <c r="R1572" s="562">
        <v>0.55000000000000004</v>
      </c>
      <c r="S1572" s="562"/>
      <c r="T1572" s="562"/>
      <c r="U1572" s="562"/>
      <c r="V1572" s="562"/>
      <c r="W1572" s="562"/>
      <c r="X1572" s="577"/>
      <c r="Y1572" s="562"/>
      <c r="Z1572" s="562"/>
      <c r="AA1572" s="562"/>
      <c r="AB1572" s="562"/>
      <c r="AC1572" s="607" t="s">
        <v>813</v>
      </c>
      <c r="AD1572" s="608" t="s">
        <v>552</v>
      </c>
    </row>
    <row r="1573" spans="17:30" s="560" customFormat="1">
      <c r="Q1573" s="562"/>
      <c r="R1573" s="562">
        <v>0.6</v>
      </c>
      <c r="S1573" s="562"/>
      <c r="T1573" s="562"/>
      <c r="U1573" s="562"/>
      <c r="V1573" s="562"/>
      <c r="W1573" s="562"/>
      <c r="X1573" s="577"/>
      <c r="Y1573" s="562"/>
      <c r="Z1573" s="562"/>
      <c r="AA1573" s="562"/>
      <c r="AB1573" s="562"/>
      <c r="AC1573" s="607" t="s">
        <v>815</v>
      </c>
      <c r="AD1573" s="608" t="s">
        <v>816</v>
      </c>
    </row>
    <row r="1574" spans="17:30" s="560" customFormat="1">
      <c r="Q1574" s="562"/>
      <c r="R1574" s="562">
        <v>0.45</v>
      </c>
      <c r="S1574" s="562"/>
      <c r="T1574" s="562"/>
      <c r="U1574" s="562"/>
      <c r="V1574" s="562"/>
      <c r="W1574" s="562"/>
      <c r="X1574" s="562"/>
      <c r="Y1574" s="562"/>
      <c r="Z1574" s="562"/>
      <c r="AA1574" s="562"/>
      <c r="AB1574" s="562"/>
      <c r="AC1574" s="562"/>
      <c r="AD1574" s="563"/>
    </row>
    <row r="1575" spans="17:30" s="560" customFormat="1">
      <c r="Q1575" s="562"/>
      <c r="R1575" s="562">
        <v>0.45</v>
      </c>
      <c r="S1575" s="562"/>
      <c r="T1575" s="562"/>
      <c r="U1575" s="562"/>
      <c r="V1575" s="562"/>
      <c r="W1575" s="562"/>
      <c r="X1575" s="562"/>
      <c r="Y1575" s="562"/>
      <c r="Z1575" s="562"/>
      <c r="AA1575" s="562"/>
      <c r="AB1575" s="562"/>
      <c r="AC1575" s="562"/>
      <c r="AD1575" s="563"/>
    </row>
    <row r="1576" spans="17:30" s="560" customFormat="1">
      <c r="Q1576" s="562"/>
      <c r="R1576" s="562">
        <v>0.5</v>
      </c>
      <c r="S1576" s="562"/>
      <c r="T1576" s="562"/>
      <c r="U1576" s="562"/>
      <c r="V1576" s="562"/>
      <c r="W1576" s="562"/>
      <c r="X1576" s="562"/>
      <c r="Y1576" s="562"/>
      <c r="Z1576" s="562"/>
      <c r="AA1576" s="562"/>
      <c r="AB1576" s="562"/>
      <c r="AC1576" s="562"/>
      <c r="AD1576" s="563"/>
    </row>
    <row r="1577" spans="17:30" s="560" customFormat="1">
      <c r="Q1577" s="562"/>
      <c r="R1577" s="562">
        <v>0.45</v>
      </c>
      <c r="S1577" s="562"/>
      <c r="T1577" s="562"/>
      <c r="U1577" s="562"/>
      <c r="V1577" s="562"/>
      <c r="W1577" s="562"/>
      <c r="X1577" s="562"/>
      <c r="Y1577" s="562"/>
      <c r="Z1577" s="562"/>
      <c r="AA1577" s="562"/>
      <c r="AB1577" s="562"/>
      <c r="AC1577" s="562"/>
      <c r="AD1577" s="563"/>
    </row>
    <row r="1578" spans="17:30" s="560" customFormat="1">
      <c r="Q1578" s="562"/>
      <c r="R1578" s="562">
        <v>0.4</v>
      </c>
      <c r="S1578" s="562"/>
      <c r="T1578" s="562"/>
      <c r="U1578" s="562"/>
      <c r="V1578" s="562"/>
      <c r="W1578" s="562"/>
      <c r="X1578" s="562"/>
      <c r="Y1578" s="562"/>
      <c r="Z1578" s="562"/>
      <c r="AA1578" s="562"/>
      <c r="AB1578" s="562"/>
      <c r="AC1578" s="562"/>
      <c r="AD1578" s="563"/>
    </row>
    <row r="1579" spans="17:30" s="560" customFormat="1">
      <c r="Q1579" s="562"/>
      <c r="R1579" s="562">
        <v>0.47</v>
      </c>
      <c r="S1579" s="562"/>
      <c r="T1579" s="562"/>
      <c r="U1579" s="562"/>
      <c r="V1579" s="562"/>
      <c r="W1579" s="562"/>
      <c r="X1579" s="562"/>
      <c r="Y1579" s="562"/>
      <c r="Z1579" s="562"/>
      <c r="AA1579" s="562"/>
      <c r="AB1579" s="562"/>
      <c r="AC1579" s="562"/>
      <c r="AD1579" s="563"/>
    </row>
    <row r="1580" spans="17:30" s="560" customFormat="1">
      <c r="Q1580" s="562" t="s">
        <v>821</v>
      </c>
      <c r="R1580" s="562"/>
      <c r="S1580" s="562"/>
      <c r="T1580" s="562"/>
      <c r="U1580" s="562"/>
      <c r="V1580" s="562"/>
      <c r="W1580" s="562"/>
      <c r="X1580" s="562"/>
      <c r="Y1580" s="562"/>
      <c r="Z1580" s="562"/>
      <c r="AA1580" s="562"/>
      <c r="AB1580" s="562"/>
      <c r="AC1580" s="562"/>
      <c r="AD1580" s="563"/>
    </row>
    <row r="1581" spans="17:30" s="560" customFormat="1">
      <c r="Q1581" s="562"/>
      <c r="R1581" s="562">
        <v>0.45</v>
      </c>
      <c r="S1581" s="562"/>
      <c r="T1581" s="562"/>
      <c r="U1581" s="562"/>
      <c r="V1581" s="562"/>
      <c r="W1581" s="562"/>
      <c r="X1581" s="562"/>
      <c r="Y1581" s="562"/>
      <c r="Z1581" s="562"/>
      <c r="AA1581" s="562"/>
      <c r="AB1581" s="562"/>
      <c r="AC1581" s="562"/>
      <c r="AD1581" s="563"/>
    </row>
    <row r="1582" spans="17:30" s="560" customFormat="1">
      <c r="Q1582" s="562"/>
      <c r="R1582" s="562">
        <v>0.4</v>
      </c>
      <c r="S1582" s="562"/>
      <c r="T1582" s="562"/>
      <c r="U1582" s="562"/>
      <c r="V1582" s="562"/>
      <c r="W1582" s="562"/>
      <c r="X1582" s="562"/>
      <c r="Y1582" s="562"/>
      <c r="Z1582" s="562"/>
      <c r="AA1582" s="562"/>
      <c r="AB1582" s="562"/>
      <c r="AC1582" s="562"/>
      <c r="AD1582" s="563"/>
    </row>
    <row r="1583" spans="17:30" s="560" customFormat="1">
      <c r="Q1583" s="562"/>
      <c r="R1583" s="562">
        <v>0.45</v>
      </c>
      <c r="S1583" s="562"/>
      <c r="T1583" s="562"/>
      <c r="U1583" s="562"/>
      <c r="V1583" s="562"/>
      <c r="W1583" s="562"/>
      <c r="X1583" s="562"/>
      <c r="Y1583" s="562"/>
      <c r="Z1583" s="562"/>
      <c r="AA1583" s="562"/>
      <c r="AB1583" s="562"/>
      <c r="AC1583" s="562"/>
      <c r="AD1583" s="563"/>
    </row>
    <row r="1584" spans="17:30" s="560" customFormat="1">
      <c r="Q1584" s="562"/>
      <c r="R1584" s="562">
        <v>0.4</v>
      </c>
      <c r="S1584" s="562"/>
      <c r="T1584" s="562"/>
      <c r="U1584" s="562"/>
      <c r="V1584" s="562"/>
      <c r="W1584" s="562"/>
      <c r="X1584" s="562"/>
      <c r="Y1584" s="562"/>
      <c r="Z1584" s="562"/>
      <c r="AA1584" s="562"/>
      <c r="AB1584" s="562"/>
      <c r="AC1584" s="562"/>
      <c r="AD1584" s="563"/>
    </row>
    <row r="1585" spans="17:18" s="560" customFormat="1">
      <c r="Q1585" s="562"/>
      <c r="R1585" s="562">
        <v>0.4</v>
      </c>
    </row>
    <row r="1586" spans="17:18" s="560" customFormat="1">
      <c r="Q1586" s="562"/>
      <c r="R1586" s="562">
        <v>0.45</v>
      </c>
    </row>
    <row r="1587" spans="17:18" s="560" customFormat="1">
      <c r="Q1587" s="562"/>
      <c r="R1587" s="562">
        <v>0.4</v>
      </c>
    </row>
    <row r="1588" spans="17:18" s="560" customFormat="1">
      <c r="Q1588" s="562"/>
      <c r="R1588" s="562">
        <v>0.43</v>
      </c>
    </row>
    <row r="1589" spans="17:18" s="560" customFormat="1">
      <c r="Q1589" s="562"/>
      <c r="R1589" s="562">
        <v>0.46</v>
      </c>
    </row>
    <row r="1590" spans="17:18" s="560" customFormat="1">
      <c r="Q1590" s="562"/>
      <c r="R1590" s="562">
        <v>0.45</v>
      </c>
    </row>
    <row r="1591" spans="17:18" s="560" customFormat="1">
      <c r="Q1591" s="562"/>
      <c r="R1591" s="562">
        <v>0.4</v>
      </c>
    </row>
    <row r="1592" spans="17:18" s="560" customFormat="1">
      <c r="Q1592" s="562"/>
      <c r="R1592" s="562">
        <v>0.4</v>
      </c>
    </row>
    <row r="1593" spans="17:18" s="560" customFormat="1">
      <c r="Q1593" s="562"/>
      <c r="R1593" s="562">
        <v>0.45</v>
      </c>
    </row>
    <row r="1594" spans="17:18" s="560" customFormat="1">
      <c r="Q1594" s="562"/>
      <c r="R1594" s="562">
        <v>0.41</v>
      </c>
    </row>
    <row r="1595" spans="17:18" s="560" customFormat="1">
      <c r="Q1595" s="562"/>
      <c r="R1595" s="562">
        <v>0.45</v>
      </c>
    </row>
    <row r="1596" spans="17:18" s="560" customFormat="1">
      <c r="Q1596" s="562"/>
      <c r="R1596" s="562">
        <v>0.5</v>
      </c>
    </row>
    <row r="1597" spans="17:18" s="560" customFormat="1">
      <c r="Q1597" s="562" t="s">
        <v>799</v>
      </c>
      <c r="R1597" s="562"/>
    </row>
    <row r="1598" spans="17:18" s="560" customFormat="1">
      <c r="Q1598" s="562"/>
      <c r="R1598" s="562">
        <v>0.45</v>
      </c>
    </row>
    <row r="1599" spans="17:18" s="560" customFormat="1">
      <c r="Q1599" s="562"/>
      <c r="R1599" s="562">
        <v>0.5</v>
      </c>
    </row>
    <row r="1600" spans="17:18" s="560" customFormat="1">
      <c r="Q1600" s="562"/>
      <c r="R1600" s="562">
        <v>0.3</v>
      </c>
    </row>
    <row r="1601" spans="17:18" s="560" customFormat="1">
      <c r="Q1601" s="562"/>
      <c r="R1601" s="562">
        <v>0.4</v>
      </c>
    </row>
    <row r="1602" spans="17:18" s="560" customFormat="1">
      <c r="Q1602" s="562"/>
      <c r="R1602" s="562">
        <v>0.4</v>
      </c>
    </row>
    <row r="1603" spans="17:18" s="560" customFormat="1">
      <c r="Q1603" s="562"/>
      <c r="R1603" s="562">
        <v>0.41</v>
      </c>
    </row>
    <row r="1604" spans="17:18" s="560" customFormat="1">
      <c r="Q1604" s="562"/>
      <c r="R1604" s="562">
        <v>0.4</v>
      </c>
    </row>
    <row r="1605" spans="17:18" s="560" customFormat="1">
      <c r="Q1605" s="562"/>
      <c r="R1605" s="562">
        <v>0.4</v>
      </c>
    </row>
    <row r="1606" spans="17:18" s="560" customFormat="1">
      <c r="Q1606" s="562"/>
      <c r="R1606" s="562">
        <v>0.4</v>
      </c>
    </row>
    <row r="1607" spans="17:18" s="560" customFormat="1">
      <c r="Q1607" s="562"/>
      <c r="R1607" s="562">
        <v>0.48</v>
      </c>
    </row>
    <row r="1608" spans="17:18" s="560" customFormat="1">
      <c r="Q1608" s="562"/>
      <c r="R1608" s="562">
        <v>0.75</v>
      </c>
    </row>
    <row r="1609" spans="17:18" s="560" customFormat="1">
      <c r="Q1609" s="562"/>
      <c r="R1609" s="562">
        <v>0.45</v>
      </c>
    </row>
    <row r="1610" spans="17:18" s="560" customFormat="1">
      <c r="Q1610" s="562"/>
      <c r="R1610" s="562">
        <v>0.43</v>
      </c>
    </row>
    <row r="1611" spans="17:18" s="560" customFormat="1">
      <c r="Q1611" s="562"/>
      <c r="R1611" s="562">
        <v>0.45</v>
      </c>
    </row>
    <row r="1612" spans="17:18" s="560" customFormat="1">
      <c r="Q1612" s="562"/>
      <c r="R1612" s="562">
        <v>0.55000000000000004</v>
      </c>
    </row>
    <row r="1613" spans="17:18" s="560" customFormat="1">
      <c r="Q1613" s="562"/>
      <c r="R1613" s="562">
        <v>0.6</v>
      </c>
    </row>
    <row r="1614" spans="17:18" s="560" customFormat="1">
      <c r="Q1614" s="562" t="s">
        <v>1019</v>
      </c>
      <c r="R1614" s="562"/>
    </row>
    <row r="1615" spans="17:18" s="560" customFormat="1">
      <c r="Q1615" s="562"/>
      <c r="R1615" s="562">
        <v>1</v>
      </c>
    </row>
    <row r="1616" spans="17:18" s="560" customFormat="1">
      <c r="Q1616" s="562"/>
      <c r="R1616" s="562">
        <v>0.9</v>
      </c>
    </row>
    <row r="1617" spans="16:30" s="560" customFormat="1">
      <c r="P1617" s="561"/>
      <c r="Q1617" s="562"/>
      <c r="R1617" s="562">
        <v>1</v>
      </c>
      <c r="S1617" s="562"/>
      <c r="T1617" s="562"/>
      <c r="U1617" s="562"/>
      <c r="V1617" s="562"/>
      <c r="W1617" s="562"/>
      <c r="X1617" s="562"/>
      <c r="Y1617" s="562"/>
      <c r="Z1617" s="562"/>
      <c r="AA1617" s="562"/>
      <c r="AB1617" s="562"/>
      <c r="AC1617" s="562"/>
      <c r="AD1617" s="563"/>
    </row>
    <row r="1618" spans="16:30" s="560" customFormat="1">
      <c r="P1618" s="561"/>
      <c r="Q1618" s="562"/>
      <c r="R1618" s="562">
        <v>0.8</v>
      </c>
      <c r="S1618" s="562"/>
      <c r="T1618" s="562"/>
      <c r="U1618" s="562"/>
      <c r="V1618" s="562"/>
      <c r="W1618" s="562"/>
      <c r="X1618" s="562"/>
      <c r="Y1618" s="562"/>
      <c r="Z1618" s="562"/>
      <c r="AA1618" s="562"/>
      <c r="AB1618" s="562"/>
      <c r="AC1618" s="562"/>
      <c r="AD1618" s="563"/>
    </row>
    <row r="1619" spans="16:30" s="560" customFormat="1">
      <c r="P1619" s="561"/>
      <c r="Q1619" s="562"/>
      <c r="R1619" s="562">
        <v>0.4</v>
      </c>
      <c r="S1619" s="562"/>
      <c r="T1619" s="562"/>
      <c r="U1619" s="562"/>
      <c r="V1619" s="562"/>
      <c r="W1619" s="562"/>
      <c r="X1619" s="562"/>
      <c r="Y1619" s="562"/>
      <c r="Z1619" s="562"/>
      <c r="AA1619" s="562"/>
      <c r="AB1619" s="562"/>
      <c r="AC1619" s="562"/>
      <c r="AD1619" s="563"/>
    </row>
    <row r="1620" spans="16:30" s="560" customFormat="1">
      <c r="P1620" s="561"/>
      <c r="Q1620" s="562"/>
      <c r="R1620" s="562">
        <v>0.31</v>
      </c>
      <c r="S1620" s="562"/>
      <c r="T1620" s="562"/>
      <c r="U1620" s="562"/>
      <c r="V1620" s="562"/>
      <c r="W1620" s="562"/>
      <c r="X1620" s="562"/>
      <c r="Y1620" s="562"/>
      <c r="Z1620" s="562"/>
      <c r="AA1620" s="562"/>
      <c r="AB1620" s="562"/>
      <c r="AC1620" s="562"/>
      <c r="AD1620" s="563"/>
    </row>
    <row r="1621" spans="16:30" s="560" customFormat="1">
      <c r="P1621" s="561"/>
      <c r="Q1621" s="562"/>
      <c r="R1621" s="562">
        <v>0.24</v>
      </c>
      <c r="S1621" s="562"/>
      <c r="T1621" s="562"/>
      <c r="U1621" s="562"/>
      <c r="V1621" s="562"/>
      <c r="W1621" s="562"/>
      <c r="X1621" s="562"/>
      <c r="Y1621" s="562"/>
      <c r="Z1621" s="562"/>
      <c r="AA1621" s="562"/>
      <c r="AB1621" s="562"/>
      <c r="AC1621" s="562"/>
      <c r="AD1621" s="563"/>
    </row>
    <row r="1622" spans="16:30" s="560" customFormat="1">
      <c r="P1622" s="561"/>
      <c r="Q1622" s="562"/>
      <c r="R1622" s="562">
        <v>0.15</v>
      </c>
      <c r="S1622" s="562"/>
      <c r="T1622" s="562"/>
      <c r="U1622" s="562"/>
      <c r="V1622" s="562"/>
      <c r="W1622" s="562"/>
      <c r="X1622" s="562"/>
      <c r="Y1622" s="562"/>
      <c r="Z1622" s="562"/>
      <c r="AA1622" s="562"/>
      <c r="AB1622" s="562"/>
      <c r="AC1622" s="562"/>
      <c r="AD1622" s="563"/>
    </row>
    <row r="1623" spans="16:30" s="560" customFormat="1">
      <c r="P1623" s="561"/>
      <c r="Q1623" s="562"/>
      <c r="R1623" s="562">
        <v>0.09</v>
      </c>
      <c r="S1623" s="562"/>
      <c r="T1623" s="562"/>
      <c r="U1623" s="562"/>
      <c r="V1623" s="562"/>
      <c r="W1623" s="562"/>
      <c r="X1623" s="562"/>
      <c r="Y1623" s="562"/>
      <c r="Z1623" s="562"/>
      <c r="AA1623" s="562"/>
      <c r="AB1623" s="562"/>
      <c r="AC1623" s="562"/>
      <c r="AD1623" s="563"/>
    </row>
    <row r="1624" spans="16:30" s="560" customFormat="1">
      <c r="P1624" s="561"/>
      <c r="Q1624" s="562">
        <f>COUNT(R1563:R1623)</f>
        <v>58</v>
      </c>
      <c r="R1624" s="562">
        <v>0</v>
      </c>
      <c r="S1624" s="562"/>
      <c r="T1624" s="562"/>
      <c r="U1624" s="562"/>
      <c r="V1624" s="562"/>
      <c r="W1624" s="562"/>
      <c r="X1624" s="562"/>
      <c r="Y1624" s="562"/>
      <c r="Z1624" s="562"/>
      <c r="AA1624" s="562"/>
      <c r="AB1624" s="562"/>
      <c r="AC1624" s="562"/>
      <c r="AD1624" s="563"/>
    </row>
    <row r="1625" spans="16:30" s="560" customFormat="1">
      <c r="P1625" s="561"/>
      <c r="Q1625" s="562"/>
      <c r="R1625" s="562">
        <v>0</v>
      </c>
      <c r="S1625" s="562"/>
      <c r="T1625" s="562"/>
      <c r="U1625" s="562"/>
      <c r="V1625" s="562"/>
      <c r="W1625" s="562"/>
      <c r="X1625" s="562"/>
      <c r="Y1625" s="562"/>
      <c r="Z1625" s="562"/>
      <c r="AA1625" s="562"/>
      <c r="AB1625" s="562"/>
      <c r="AC1625" s="562"/>
      <c r="AD1625" s="563"/>
    </row>
    <row r="1626" spans="16:30" s="560" customFormat="1">
      <c r="P1626" s="561"/>
      <c r="Q1626" s="562"/>
      <c r="R1626" s="562"/>
      <c r="S1626" s="562" t="s">
        <v>1235</v>
      </c>
      <c r="T1626" s="562"/>
      <c r="U1626" s="562"/>
      <c r="V1626" s="562"/>
      <c r="W1626" s="562"/>
      <c r="X1626" s="562"/>
      <c r="Y1626" s="562"/>
      <c r="Z1626" s="562"/>
      <c r="AA1626" s="562"/>
      <c r="AB1626" s="562"/>
      <c r="AC1626" s="562"/>
      <c r="AD1626" s="563"/>
    </row>
    <row r="1628" spans="16:30" s="560" customFormat="1">
      <c r="P1628" s="567">
        <v>41169</v>
      </c>
      <c r="Q1628" s="568" t="s">
        <v>725</v>
      </c>
      <c r="R1628" s="568"/>
      <c r="S1628" s="568" t="s">
        <v>726</v>
      </c>
      <c r="T1628" s="569" t="s">
        <v>727</v>
      </c>
      <c r="U1628" s="569" t="s">
        <v>728</v>
      </c>
      <c r="V1628" s="569" t="s">
        <v>729</v>
      </c>
      <c r="W1628" s="569" t="s">
        <v>730</v>
      </c>
      <c r="X1628" s="569" t="s">
        <v>731</v>
      </c>
      <c r="Y1628" s="568"/>
      <c r="Z1628" s="562"/>
      <c r="AA1628" s="562"/>
      <c r="AB1628" s="562"/>
      <c r="AC1628" s="562"/>
      <c r="AD1628" s="563"/>
    </row>
    <row r="1629" spans="16:30" s="560" customFormat="1">
      <c r="P1629" s="561"/>
      <c r="Q1629" s="568"/>
      <c r="R1629" s="568"/>
      <c r="S1629" s="568"/>
      <c r="T1629" s="569" t="s">
        <v>1223</v>
      </c>
      <c r="U1629" s="569" t="s">
        <v>1236</v>
      </c>
      <c r="V1629" s="577"/>
      <c r="W1629" s="577"/>
      <c r="X1629" s="569" t="s">
        <v>1237</v>
      </c>
      <c r="Y1629" s="578" t="s">
        <v>1238</v>
      </c>
      <c r="Z1629" s="562"/>
      <c r="AA1629" s="562"/>
      <c r="AB1629" s="562"/>
      <c r="AC1629" s="562"/>
      <c r="AD1629" s="563"/>
    </row>
    <row r="1630" spans="16:30" s="560" customFormat="1">
      <c r="P1630" s="561" t="s">
        <v>613</v>
      </c>
      <c r="Q1630" s="578" t="s">
        <v>1239</v>
      </c>
      <c r="R1630" s="578"/>
      <c r="S1630" s="569"/>
      <c r="T1630" s="568"/>
      <c r="U1630" s="568"/>
      <c r="V1630" s="569"/>
      <c r="W1630" s="569"/>
      <c r="X1630" s="569"/>
      <c r="Y1630" s="569"/>
      <c r="Z1630" s="562"/>
      <c r="AA1630" s="562"/>
      <c r="AB1630" s="562"/>
      <c r="AC1630" s="562"/>
      <c r="AD1630" s="563"/>
    </row>
    <row r="1631" spans="16:30" s="560" customFormat="1">
      <c r="P1631" s="587"/>
      <c r="Q1631" s="588" t="s">
        <v>755</v>
      </c>
      <c r="R1631" s="588" t="s">
        <v>756</v>
      </c>
      <c r="S1631" s="588" t="s">
        <v>757</v>
      </c>
      <c r="T1631" s="588" t="s">
        <v>758</v>
      </c>
      <c r="U1631" s="588" t="s">
        <v>759</v>
      </c>
      <c r="V1631" s="588" t="s">
        <v>760</v>
      </c>
      <c r="W1631" s="588" t="s">
        <v>761</v>
      </c>
      <c r="X1631" s="588" t="s">
        <v>762</v>
      </c>
      <c r="Y1631" s="588" t="s">
        <v>763</v>
      </c>
      <c r="Z1631" s="562"/>
      <c r="AA1631" s="562"/>
      <c r="AB1631" s="562"/>
      <c r="AC1631" s="588" t="s">
        <v>764</v>
      </c>
      <c r="AD1631" s="589"/>
    </row>
    <row r="1632" spans="16:30" s="560" customFormat="1">
      <c r="P1632" s="561"/>
      <c r="Q1632" s="568" t="s">
        <v>775</v>
      </c>
      <c r="R1632" s="562"/>
      <c r="S1632" s="562"/>
      <c r="T1632" s="562"/>
      <c r="U1632" s="562"/>
      <c r="V1632" s="562"/>
      <c r="W1632" s="562"/>
      <c r="X1632" s="584"/>
      <c r="Y1632" s="562"/>
      <c r="Z1632" s="562"/>
      <c r="AA1632" s="562"/>
      <c r="AB1632" s="562"/>
      <c r="AC1632" s="577"/>
      <c r="AD1632" s="589"/>
    </row>
    <row r="1633" spans="17:30" s="560" customFormat="1">
      <c r="Q1633" s="568"/>
      <c r="R1633" s="562">
        <v>0.55000000000000004</v>
      </c>
      <c r="S1633" s="568"/>
      <c r="T1633" s="562"/>
      <c r="U1633" s="562"/>
      <c r="V1633" s="562"/>
      <c r="W1633" s="562"/>
      <c r="X1633" s="609"/>
      <c r="Y1633" s="562"/>
      <c r="Z1633" s="562"/>
      <c r="AA1633" s="562"/>
      <c r="AB1633" s="562"/>
      <c r="AC1633" s="607" t="s">
        <v>780</v>
      </c>
      <c r="AD1633" s="608" t="s">
        <v>616</v>
      </c>
    </row>
    <row r="1634" spans="17:30" s="560" customFormat="1">
      <c r="Q1634" s="568"/>
      <c r="R1634" s="562">
        <v>0.8</v>
      </c>
      <c r="S1634" s="562"/>
      <c r="T1634" s="562"/>
      <c r="U1634" s="562"/>
      <c r="V1634" s="562"/>
      <c r="W1634" s="562"/>
      <c r="X1634" s="584"/>
      <c r="Y1634" s="562"/>
      <c r="Z1634" s="562"/>
      <c r="AA1634" s="562"/>
      <c r="AB1634" s="562"/>
      <c r="AC1634" s="607" t="s">
        <v>785</v>
      </c>
      <c r="AD1634" s="608" t="s">
        <v>542</v>
      </c>
    </row>
    <row r="1635" spans="17:30" s="560" customFormat="1">
      <c r="Q1635" s="568"/>
      <c r="R1635" s="562">
        <v>0.7</v>
      </c>
      <c r="S1635" s="562"/>
      <c r="T1635" s="562"/>
      <c r="U1635" s="562"/>
      <c r="V1635" s="562"/>
      <c r="W1635" s="562"/>
      <c r="X1635" s="584"/>
      <c r="Y1635" s="562"/>
      <c r="Z1635" s="562"/>
      <c r="AA1635" s="562"/>
      <c r="AB1635" s="562"/>
      <c r="AC1635" s="607" t="s">
        <v>789</v>
      </c>
      <c r="AD1635" s="608" t="s">
        <v>790</v>
      </c>
    </row>
    <row r="1636" spans="17:30" s="560" customFormat="1">
      <c r="Q1636" s="568"/>
      <c r="R1636" s="562">
        <v>0.6</v>
      </c>
      <c r="S1636" s="562"/>
      <c r="T1636" s="562"/>
      <c r="U1636" s="562"/>
      <c r="V1636" s="562"/>
      <c r="W1636" s="562"/>
      <c r="X1636" s="584"/>
      <c r="Y1636" s="562"/>
      <c r="Z1636" s="562"/>
      <c r="AA1636" s="562"/>
      <c r="AB1636" s="562"/>
      <c r="AC1636" s="607" t="s">
        <v>791</v>
      </c>
      <c r="AD1636" s="608" t="s">
        <v>792</v>
      </c>
    </row>
    <row r="1637" spans="17:30" s="560" customFormat="1">
      <c r="Q1637" s="568"/>
      <c r="R1637" s="562">
        <v>0.55000000000000004</v>
      </c>
      <c r="S1637" s="562"/>
      <c r="T1637" s="562"/>
      <c r="U1637" s="562"/>
      <c r="V1637" s="562"/>
      <c r="W1637" s="562"/>
      <c r="X1637" s="577"/>
      <c r="Y1637" s="562"/>
      <c r="Z1637" s="562"/>
      <c r="AA1637" s="562"/>
      <c r="AB1637" s="562"/>
      <c r="AC1637" s="607" t="s">
        <v>794</v>
      </c>
      <c r="AD1637" s="608" t="s">
        <v>795</v>
      </c>
    </row>
    <row r="1638" spans="17:30" s="560" customFormat="1">
      <c r="Q1638" s="568"/>
      <c r="R1638" s="562">
        <v>0.55000000000000004</v>
      </c>
      <c r="S1638" s="562"/>
      <c r="T1638" s="562"/>
      <c r="U1638" s="562"/>
      <c r="V1638" s="562"/>
      <c r="W1638" s="562"/>
      <c r="X1638" s="577"/>
      <c r="Y1638" s="562"/>
      <c r="Z1638" s="562"/>
      <c r="AA1638" s="562"/>
      <c r="AB1638" s="562"/>
      <c r="AC1638" s="607" t="s">
        <v>798</v>
      </c>
      <c r="AD1638" s="608" t="s">
        <v>546</v>
      </c>
    </row>
    <row r="1639" spans="17:30" s="560" customFormat="1">
      <c r="Q1639" s="562"/>
      <c r="R1639" s="562">
        <v>0.7</v>
      </c>
      <c r="S1639" s="562"/>
      <c r="T1639" s="562"/>
      <c r="U1639" s="562"/>
      <c r="V1639" s="562"/>
      <c r="W1639" s="562"/>
      <c r="X1639" s="577"/>
      <c r="Y1639" s="562"/>
      <c r="Z1639" s="562"/>
      <c r="AA1639" s="562"/>
      <c r="AB1639" s="562"/>
      <c r="AC1639" s="607" t="s">
        <v>800</v>
      </c>
      <c r="AD1639" s="608" t="s">
        <v>801</v>
      </c>
    </row>
    <row r="1640" spans="17:30" s="560" customFormat="1">
      <c r="Q1640" s="562"/>
      <c r="R1640" s="562">
        <v>0.6</v>
      </c>
      <c r="S1640" s="562"/>
      <c r="T1640" s="562"/>
      <c r="U1640" s="562"/>
      <c r="V1640" s="562"/>
      <c r="W1640" s="562"/>
      <c r="X1640" s="577"/>
      <c r="Y1640" s="562"/>
      <c r="Z1640" s="562"/>
      <c r="AA1640" s="562"/>
      <c r="AB1640" s="562"/>
      <c r="AC1640" s="607" t="s">
        <v>804</v>
      </c>
      <c r="AD1640" s="608" t="s">
        <v>805</v>
      </c>
    </row>
    <row r="1641" spans="17:30" s="560" customFormat="1">
      <c r="Q1641" s="562"/>
      <c r="R1641" s="562">
        <v>0.6</v>
      </c>
      <c r="S1641" s="562"/>
      <c r="T1641" s="562"/>
      <c r="U1641" s="562"/>
      <c r="V1641" s="562"/>
      <c r="W1641" s="562"/>
      <c r="X1641" s="577"/>
      <c r="Y1641" s="562"/>
      <c r="Z1641" s="562"/>
      <c r="AA1641" s="562"/>
      <c r="AB1641" s="562"/>
      <c r="AC1641" s="607" t="s">
        <v>807</v>
      </c>
      <c r="AD1641" s="608" t="s">
        <v>808</v>
      </c>
    </row>
    <row r="1642" spans="17:30" s="560" customFormat="1">
      <c r="Q1642" s="562"/>
      <c r="R1642" s="562">
        <v>0.6</v>
      </c>
      <c r="S1642" s="562"/>
      <c r="T1642" s="562"/>
      <c r="U1642" s="562"/>
      <c r="V1642" s="562"/>
      <c r="W1642" s="562"/>
      <c r="X1642" s="577"/>
      <c r="Y1642" s="562"/>
      <c r="Z1642" s="562"/>
      <c r="AA1642" s="562"/>
      <c r="AB1642" s="562"/>
      <c r="AC1642" s="607" t="s">
        <v>810</v>
      </c>
      <c r="AD1642" s="608" t="s">
        <v>550</v>
      </c>
    </row>
    <row r="1643" spans="17:30" s="560" customFormat="1">
      <c r="Q1643" s="562"/>
      <c r="R1643" s="562">
        <v>0.7</v>
      </c>
      <c r="S1643" s="562"/>
      <c r="T1643" s="562"/>
      <c r="U1643" s="562"/>
      <c r="V1643" s="562"/>
      <c r="W1643" s="562"/>
      <c r="X1643" s="577"/>
      <c r="Y1643" s="562"/>
      <c r="Z1643" s="562"/>
      <c r="AA1643" s="562"/>
      <c r="AB1643" s="562"/>
      <c r="AC1643" s="607" t="s">
        <v>813</v>
      </c>
      <c r="AD1643" s="608" t="s">
        <v>552</v>
      </c>
    </row>
    <row r="1644" spans="17:30" s="560" customFormat="1">
      <c r="Q1644" s="562"/>
      <c r="R1644" s="562">
        <v>0.65</v>
      </c>
      <c r="S1644" s="562"/>
      <c r="T1644" s="562"/>
      <c r="U1644" s="562"/>
      <c r="V1644" s="562"/>
      <c r="W1644" s="562"/>
      <c r="X1644" s="577"/>
      <c r="Y1644" s="562"/>
      <c r="Z1644" s="562"/>
      <c r="AA1644" s="562"/>
      <c r="AB1644" s="562"/>
      <c r="AC1644" s="607" t="s">
        <v>815</v>
      </c>
      <c r="AD1644" s="608" t="s">
        <v>816</v>
      </c>
    </row>
    <row r="1645" spans="17:30" s="560" customFormat="1">
      <c r="Q1645" s="562"/>
      <c r="R1645" s="562">
        <v>0.6</v>
      </c>
      <c r="S1645" s="562"/>
      <c r="T1645" s="562"/>
      <c r="U1645" s="562"/>
      <c r="V1645" s="562"/>
      <c r="W1645" s="562"/>
      <c r="X1645" s="562"/>
      <c r="Y1645" s="562"/>
      <c r="Z1645" s="562"/>
      <c r="AA1645" s="562"/>
      <c r="AB1645" s="562"/>
      <c r="AC1645" s="562"/>
      <c r="AD1645" s="563"/>
    </row>
    <row r="1646" spans="17:30" s="560" customFormat="1">
      <c r="Q1646" s="562"/>
      <c r="R1646" s="562">
        <v>0.65</v>
      </c>
      <c r="S1646" s="562"/>
      <c r="T1646" s="562"/>
      <c r="U1646" s="562"/>
      <c r="V1646" s="562"/>
      <c r="W1646" s="562"/>
      <c r="X1646" s="562"/>
      <c r="Y1646" s="562"/>
      <c r="Z1646" s="562"/>
      <c r="AA1646" s="562"/>
      <c r="AB1646" s="562"/>
      <c r="AC1646" s="562"/>
      <c r="AD1646" s="563"/>
    </row>
    <row r="1647" spans="17:30" s="560" customFormat="1">
      <c r="Q1647" s="562"/>
      <c r="R1647" s="562">
        <v>0.6</v>
      </c>
      <c r="S1647" s="562"/>
      <c r="T1647" s="562"/>
      <c r="U1647" s="562"/>
      <c r="V1647" s="562"/>
      <c r="W1647" s="562"/>
      <c r="X1647" s="562"/>
      <c r="Y1647" s="562"/>
      <c r="Z1647" s="562"/>
      <c r="AA1647" s="562"/>
      <c r="AB1647" s="562"/>
      <c r="AC1647" s="562"/>
      <c r="AD1647" s="563"/>
    </row>
    <row r="1648" spans="17:30" s="560" customFormat="1">
      <c r="Q1648" s="562"/>
      <c r="R1648" s="562">
        <v>0.6</v>
      </c>
      <c r="S1648" s="562"/>
      <c r="T1648" s="562"/>
      <c r="U1648" s="562"/>
      <c r="V1648" s="562"/>
      <c r="W1648" s="562"/>
      <c r="X1648" s="562"/>
      <c r="Y1648" s="562"/>
      <c r="Z1648" s="562"/>
      <c r="AA1648" s="562"/>
      <c r="AB1648" s="562"/>
      <c r="AC1648" s="562"/>
      <c r="AD1648" s="563"/>
    </row>
    <row r="1649" spans="17:18" s="560" customFormat="1">
      <c r="Q1649" s="562" t="s">
        <v>821</v>
      </c>
      <c r="R1649" s="562"/>
    </row>
    <row r="1650" spans="17:18" s="560" customFormat="1">
      <c r="Q1650" s="562"/>
      <c r="R1650" s="562">
        <v>0.65</v>
      </c>
    </row>
    <row r="1651" spans="17:18" s="560" customFormat="1">
      <c r="Q1651" s="562"/>
      <c r="R1651" s="562">
        <v>0.5</v>
      </c>
    </row>
    <row r="1652" spans="17:18" s="560" customFormat="1">
      <c r="Q1652" s="562"/>
      <c r="R1652" s="562">
        <v>0.55000000000000004</v>
      </c>
    </row>
    <row r="1653" spans="17:18" s="560" customFormat="1">
      <c r="Q1653" s="562"/>
      <c r="R1653" s="562">
        <v>0.6</v>
      </c>
    </row>
    <row r="1654" spans="17:18" s="560" customFormat="1">
      <c r="Q1654" s="562"/>
      <c r="R1654" s="562">
        <v>0.55000000000000004</v>
      </c>
    </row>
    <row r="1655" spans="17:18" s="560" customFormat="1">
      <c r="Q1655" s="562"/>
      <c r="R1655" s="562">
        <v>0.55000000000000004</v>
      </c>
    </row>
    <row r="1656" spans="17:18" s="560" customFormat="1">
      <c r="Q1656" s="562"/>
      <c r="R1656" s="562">
        <v>0.5</v>
      </c>
    </row>
    <row r="1657" spans="17:18" s="560" customFormat="1">
      <c r="Q1657" s="562"/>
      <c r="R1657" s="562">
        <v>0.65</v>
      </c>
    </row>
    <row r="1658" spans="17:18" s="560" customFormat="1">
      <c r="Q1658" s="562"/>
      <c r="R1658" s="562">
        <v>0.42</v>
      </c>
    </row>
    <row r="1659" spans="17:18" s="560" customFormat="1">
      <c r="Q1659" s="562"/>
      <c r="R1659" s="562">
        <v>0.55000000000000004</v>
      </c>
    </row>
    <row r="1660" spans="17:18" s="560" customFormat="1">
      <c r="Q1660" s="562"/>
      <c r="R1660" s="562">
        <v>0.41</v>
      </c>
    </row>
    <row r="1661" spans="17:18" s="560" customFormat="1">
      <c r="Q1661" s="562"/>
      <c r="R1661" s="562">
        <v>0.55000000000000004</v>
      </c>
    </row>
    <row r="1662" spans="17:18" s="560" customFormat="1">
      <c r="Q1662" s="562"/>
      <c r="R1662" s="562">
        <v>0.8</v>
      </c>
    </row>
    <row r="1663" spans="17:18" s="560" customFormat="1">
      <c r="Q1663" s="562"/>
      <c r="R1663" s="562">
        <v>0.9</v>
      </c>
    </row>
    <row r="1664" spans="17:18" s="560" customFormat="1">
      <c r="Q1664" s="562"/>
      <c r="R1664" s="562">
        <v>0.55000000000000004</v>
      </c>
    </row>
    <row r="1665" spans="17:18" s="560" customFormat="1">
      <c r="Q1665" s="562" t="s">
        <v>799</v>
      </c>
      <c r="R1665" s="562"/>
    </row>
    <row r="1666" spans="17:18" s="560" customFormat="1">
      <c r="Q1666" s="562"/>
      <c r="R1666" s="562">
        <v>0.75</v>
      </c>
    </row>
    <row r="1667" spans="17:18" s="560" customFormat="1">
      <c r="Q1667" s="562"/>
      <c r="R1667" s="562">
        <v>0.5</v>
      </c>
    </row>
    <row r="1668" spans="17:18" s="560" customFormat="1">
      <c r="Q1668" s="562"/>
      <c r="R1668" s="562">
        <v>0.4</v>
      </c>
    </row>
    <row r="1669" spans="17:18" s="560" customFormat="1">
      <c r="Q1669" s="562"/>
      <c r="R1669" s="562">
        <v>0.65</v>
      </c>
    </row>
    <row r="1670" spans="17:18" s="560" customFormat="1">
      <c r="Q1670" s="562"/>
      <c r="R1670" s="562">
        <v>0.5</v>
      </c>
    </row>
    <row r="1671" spans="17:18" s="560" customFormat="1">
      <c r="Q1671" s="562"/>
      <c r="R1671" s="562">
        <v>0.65</v>
      </c>
    </row>
    <row r="1672" spans="17:18" s="560" customFormat="1">
      <c r="Q1672" s="562"/>
      <c r="R1672" s="562">
        <v>0.5</v>
      </c>
    </row>
    <row r="1673" spans="17:18" s="560" customFormat="1">
      <c r="Q1673" s="562"/>
      <c r="R1673" s="562">
        <v>0.6</v>
      </c>
    </row>
    <row r="1674" spans="17:18" s="560" customFormat="1">
      <c r="Q1674" s="562"/>
      <c r="R1674" s="562">
        <v>0.6</v>
      </c>
    </row>
    <row r="1675" spans="17:18" s="560" customFormat="1">
      <c r="Q1675" s="562"/>
      <c r="R1675" s="562">
        <v>0.57999999999999996</v>
      </c>
    </row>
    <row r="1676" spans="17:18" s="560" customFormat="1">
      <c r="Q1676" s="562"/>
      <c r="R1676" s="562">
        <v>0.4</v>
      </c>
    </row>
    <row r="1677" spans="17:18" s="560" customFormat="1">
      <c r="Q1677" s="562"/>
      <c r="R1677" s="562">
        <v>0.7</v>
      </c>
    </row>
    <row r="1678" spans="17:18" s="560" customFormat="1">
      <c r="Q1678" s="562"/>
      <c r="R1678" s="562">
        <v>0.41</v>
      </c>
    </row>
    <row r="1679" spans="17:18" s="560" customFormat="1">
      <c r="Q1679" s="562"/>
      <c r="R1679" s="562">
        <v>0.5</v>
      </c>
    </row>
    <row r="1680" spans="17:18" s="560" customFormat="1">
      <c r="Q1680" s="562"/>
      <c r="R1680" s="562">
        <v>0.82</v>
      </c>
    </row>
    <row r="1681" spans="17:18" s="560" customFormat="1">
      <c r="Q1681" s="562"/>
      <c r="R1681" s="562">
        <v>0.7</v>
      </c>
    </row>
    <row r="1682" spans="17:18" s="560" customFormat="1">
      <c r="Q1682" s="562" t="s">
        <v>1019</v>
      </c>
      <c r="R1682" s="562"/>
    </row>
    <row r="1683" spans="17:18" s="560" customFormat="1">
      <c r="Q1683" s="562"/>
      <c r="R1683" s="562">
        <v>0.55000000000000004</v>
      </c>
    </row>
    <row r="1684" spans="17:18" s="560" customFormat="1">
      <c r="Q1684" s="562"/>
      <c r="R1684" s="562">
        <v>0.6</v>
      </c>
    </row>
    <row r="1685" spans="17:18" s="560" customFormat="1">
      <c r="Q1685" s="562"/>
      <c r="R1685" s="562">
        <v>0.56999999999999995</v>
      </c>
    </row>
    <row r="1686" spans="17:18" s="560" customFormat="1">
      <c r="Q1686" s="562"/>
      <c r="R1686" s="562">
        <v>0.45</v>
      </c>
    </row>
    <row r="1687" spans="17:18" s="560" customFormat="1">
      <c r="Q1687" s="562"/>
      <c r="R1687" s="562">
        <v>0.5</v>
      </c>
    </row>
    <row r="1688" spans="17:18" s="560" customFormat="1">
      <c r="Q1688" s="562"/>
      <c r="R1688" s="562">
        <v>0.5</v>
      </c>
    </row>
    <row r="1689" spans="17:18" s="560" customFormat="1">
      <c r="Q1689" s="562"/>
      <c r="R1689" s="562">
        <v>0.6</v>
      </c>
    </row>
    <row r="1690" spans="17:18" s="560" customFormat="1">
      <c r="Q1690" s="562"/>
      <c r="R1690" s="562">
        <v>0.55000000000000004</v>
      </c>
    </row>
    <row r="1691" spans="17:18" s="560" customFormat="1">
      <c r="Q1691" s="562"/>
      <c r="R1691" s="562">
        <v>0.75</v>
      </c>
    </row>
    <row r="1692" spans="17:18" s="560" customFormat="1">
      <c r="Q1692" s="562"/>
      <c r="R1692" s="562">
        <v>0.7</v>
      </c>
    </row>
    <row r="1693" spans="17:18" s="560" customFormat="1">
      <c r="Q1693" s="562"/>
      <c r="R1693" s="562">
        <v>0.55000000000000004</v>
      </c>
    </row>
    <row r="1694" spans="17:18" s="560" customFormat="1">
      <c r="Q1694" s="562"/>
      <c r="R1694" s="562">
        <v>0.6</v>
      </c>
    </row>
    <row r="1695" spans="17:18" s="560" customFormat="1">
      <c r="Q1695" s="562"/>
      <c r="R1695" s="562">
        <v>0.5</v>
      </c>
    </row>
    <row r="1696" spans="17:18" s="560" customFormat="1">
      <c r="Q1696" s="562"/>
      <c r="R1696" s="562">
        <v>0.5</v>
      </c>
    </row>
    <row r="1697" spans="17:18" s="560" customFormat="1">
      <c r="Q1697" s="562"/>
      <c r="R1697" s="562">
        <v>0.65</v>
      </c>
    </row>
    <row r="1698" spans="17:18" s="560" customFormat="1">
      <c r="Q1698" s="562"/>
      <c r="R1698" s="562">
        <v>0.66</v>
      </c>
    </row>
    <row r="1699" spans="17:18" s="560" customFormat="1">
      <c r="Q1699" s="562" t="s">
        <v>1026</v>
      </c>
      <c r="R1699" s="562"/>
    </row>
    <row r="1700" spans="17:18" s="560" customFormat="1">
      <c r="Q1700" s="562"/>
      <c r="R1700" s="562">
        <v>0.45</v>
      </c>
    </row>
    <row r="1701" spans="17:18" s="560" customFormat="1">
      <c r="Q1701" s="562"/>
      <c r="R1701" s="562">
        <v>0.65</v>
      </c>
    </row>
    <row r="1702" spans="17:18" s="560" customFormat="1">
      <c r="Q1702" s="562"/>
      <c r="R1702" s="562">
        <v>0.55000000000000004</v>
      </c>
    </row>
    <row r="1703" spans="17:18" s="560" customFormat="1">
      <c r="Q1703" s="562"/>
      <c r="R1703" s="562">
        <v>0.6</v>
      </c>
    </row>
    <row r="1704" spans="17:18" s="560" customFormat="1">
      <c r="Q1704" s="562"/>
      <c r="R1704" s="562">
        <v>0.5</v>
      </c>
    </row>
    <row r="1705" spans="17:18" s="560" customFormat="1">
      <c r="Q1705" s="562"/>
      <c r="R1705" s="562">
        <v>0.55000000000000004</v>
      </c>
    </row>
    <row r="1706" spans="17:18" s="560" customFormat="1">
      <c r="Q1706" s="562"/>
      <c r="R1706" s="562">
        <v>0.55000000000000004</v>
      </c>
    </row>
    <row r="1707" spans="17:18" s="560" customFormat="1">
      <c r="Q1707" s="562"/>
      <c r="R1707" s="562">
        <v>0.55000000000000004</v>
      </c>
    </row>
    <row r="1708" spans="17:18" s="560" customFormat="1">
      <c r="Q1708" s="562"/>
      <c r="R1708" s="562">
        <v>0.55000000000000004</v>
      </c>
    </row>
    <row r="1709" spans="17:18" s="560" customFormat="1">
      <c r="Q1709" s="562"/>
      <c r="R1709" s="562">
        <v>0.5</v>
      </c>
    </row>
    <row r="1710" spans="17:18" s="560" customFormat="1">
      <c r="Q1710" s="562"/>
      <c r="R1710" s="562">
        <v>0.55000000000000004</v>
      </c>
    </row>
    <row r="1711" spans="17:18" s="560" customFormat="1">
      <c r="Q1711" s="562"/>
      <c r="R1711" s="562">
        <v>0.55000000000000004</v>
      </c>
    </row>
    <row r="1712" spans="17:18" s="560" customFormat="1">
      <c r="Q1712" s="562"/>
      <c r="R1712" s="562">
        <v>0.55000000000000004</v>
      </c>
    </row>
    <row r="1713" spans="17:18" s="560" customFormat="1">
      <c r="Q1713" s="562"/>
      <c r="R1713" s="562">
        <v>0.75</v>
      </c>
    </row>
    <row r="1714" spans="17:18" s="560" customFormat="1">
      <c r="Q1714" s="562"/>
      <c r="R1714" s="562">
        <v>0.6</v>
      </c>
    </row>
    <row r="1715" spans="17:18" s="560" customFormat="1">
      <c r="Q1715" s="562"/>
      <c r="R1715" s="562">
        <v>0.57999999999999996</v>
      </c>
    </row>
    <row r="1716" spans="17:18" s="560" customFormat="1">
      <c r="Q1716" s="562" t="s">
        <v>1036</v>
      </c>
      <c r="R1716" s="562"/>
    </row>
    <row r="1717" spans="17:18" s="560" customFormat="1">
      <c r="Q1717" s="562"/>
      <c r="R1717" s="562">
        <v>0.42</v>
      </c>
    </row>
    <row r="1718" spans="17:18" s="560" customFormat="1">
      <c r="Q1718" s="562"/>
      <c r="R1718" s="562">
        <v>0.44</v>
      </c>
    </row>
    <row r="1719" spans="17:18" s="560" customFormat="1">
      <c r="Q1719" s="562"/>
      <c r="R1719" s="562">
        <v>0.7</v>
      </c>
    </row>
    <row r="1720" spans="17:18" s="560" customFormat="1">
      <c r="Q1720" s="562"/>
      <c r="R1720" s="562">
        <v>0.7</v>
      </c>
    </row>
    <row r="1721" spans="17:18" s="560" customFormat="1">
      <c r="Q1721" s="562"/>
      <c r="R1721" s="562">
        <v>0.75</v>
      </c>
    </row>
    <row r="1722" spans="17:18" s="560" customFormat="1">
      <c r="Q1722" s="562"/>
      <c r="R1722" s="562">
        <v>0.65</v>
      </c>
    </row>
    <row r="1723" spans="17:18" s="560" customFormat="1">
      <c r="Q1723" s="562"/>
      <c r="R1723" s="562">
        <v>0.6</v>
      </c>
    </row>
    <row r="1724" spans="17:18" s="560" customFormat="1">
      <c r="Q1724" s="562"/>
      <c r="R1724" s="562">
        <v>0.55000000000000004</v>
      </c>
    </row>
    <row r="1725" spans="17:18" s="560" customFormat="1">
      <c r="Q1725" s="562"/>
      <c r="R1725" s="562">
        <v>0.55000000000000004</v>
      </c>
    </row>
    <row r="1726" spans="17:18" s="560" customFormat="1">
      <c r="Q1726" s="562"/>
      <c r="R1726" s="562">
        <v>0.6</v>
      </c>
    </row>
    <row r="1727" spans="17:18" s="560" customFormat="1">
      <c r="Q1727" s="562"/>
      <c r="R1727" s="562">
        <v>0.7</v>
      </c>
    </row>
    <row r="1728" spans="17:18" s="560" customFormat="1">
      <c r="Q1728" s="562"/>
      <c r="R1728" s="562">
        <v>0.52</v>
      </c>
    </row>
    <row r="1729" spans="17:18" s="560" customFormat="1">
      <c r="Q1729" s="562"/>
      <c r="R1729" s="562">
        <v>0.4</v>
      </c>
    </row>
    <row r="1730" spans="17:18" s="560" customFormat="1">
      <c r="Q1730" s="562"/>
      <c r="R1730" s="562">
        <v>0.4</v>
      </c>
    </row>
    <row r="1731" spans="17:18" s="560" customFormat="1">
      <c r="Q1731" s="562"/>
      <c r="R1731" s="562">
        <v>0.5</v>
      </c>
    </row>
    <row r="1732" spans="17:18" s="560" customFormat="1">
      <c r="Q1732" s="562"/>
      <c r="R1732" s="562">
        <v>0.6</v>
      </c>
    </row>
    <row r="1733" spans="17:18" s="560" customFormat="1">
      <c r="Q1733" s="562" t="s">
        <v>1050</v>
      </c>
      <c r="R1733" s="562"/>
    </row>
    <row r="1734" spans="17:18" s="560" customFormat="1">
      <c r="Q1734" s="562"/>
      <c r="R1734" s="562">
        <v>0.5</v>
      </c>
    </row>
    <row r="1735" spans="17:18" s="560" customFormat="1">
      <c r="Q1735" s="562"/>
      <c r="R1735" s="562">
        <v>0.45</v>
      </c>
    </row>
    <row r="1736" spans="17:18" s="560" customFormat="1">
      <c r="Q1736" s="562"/>
      <c r="R1736" s="562">
        <v>0.55000000000000004</v>
      </c>
    </row>
    <row r="1737" spans="17:18" s="560" customFormat="1">
      <c r="Q1737" s="562"/>
      <c r="R1737" s="562">
        <v>0.7</v>
      </c>
    </row>
    <row r="1738" spans="17:18" s="560" customFormat="1">
      <c r="Q1738" s="562"/>
      <c r="R1738" s="562">
        <v>0.65</v>
      </c>
    </row>
    <row r="1739" spans="17:18" s="560" customFormat="1">
      <c r="Q1739" s="562"/>
      <c r="R1739" s="562">
        <v>0.6</v>
      </c>
    </row>
    <row r="1740" spans="17:18" s="560" customFormat="1">
      <c r="Q1740" s="562"/>
      <c r="R1740" s="562">
        <v>0.7</v>
      </c>
    </row>
    <row r="1741" spans="17:18" s="560" customFormat="1">
      <c r="Q1741" s="562"/>
      <c r="R1741" s="562">
        <v>0.9</v>
      </c>
    </row>
    <row r="1742" spans="17:18" s="560" customFormat="1">
      <c r="Q1742" s="562"/>
      <c r="R1742" s="562">
        <v>0.6</v>
      </c>
    </row>
    <row r="1743" spans="17:18" s="560" customFormat="1">
      <c r="Q1743" s="562"/>
      <c r="R1743" s="562">
        <v>0.65</v>
      </c>
    </row>
    <row r="1744" spans="17:18" s="560" customFormat="1">
      <c r="Q1744" s="562"/>
      <c r="R1744" s="562">
        <v>0.9</v>
      </c>
    </row>
    <row r="1745" spans="17:18" s="560" customFormat="1">
      <c r="Q1745" s="562"/>
      <c r="R1745" s="562">
        <v>0.4</v>
      </c>
    </row>
    <row r="1746" spans="17:18" s="560" customFormat="1">
      <c r="Q1746" s="562"/>
      <c r="R1746" s="562">
        <v>0.6</v>
      </c>
    </row>
    <row r="1747" spans="17:18" s="560" customFormat="1">
      <c r="Q1747" s="562"/>
      <c r="R1747" s="562">
        <v>0.4</v>
      </c>
    </row>
    <row r="1748" spans="17:18" s="560" customFormat="1">
      <c r="Q1748" s="562"/>
      <c r="R1748" s="562">
        <v>0.7</v>
      </c>
    </row>
    <row r="1749" spans="17:18" s="560" customFormat="1">
      <c r="Q1749" s="562"/>
      <c r="R1749" s="562">
        <v>0.45</v>
      </c>
    </row>
    <row r="1750" spans="17:18" s="560" customFormat="1">
      <c r="Q1750" s="562" t="s">
        <v>1061</v>
      </c>
      <c r="R1750" s="562"/>
    </row>
    <row r="1751" spans="17:18" s="560" customFormat="1">
      <c r="Q1751" s="562"/>
      <c r="R1751" s="562">
        <v>0.5</v>
      </c>
    </row>
    <row r="1752" spans="17:18" s="560" customFormat="1">
      <c r="Q1752" s="562"/>
      <c r="R1752" s="562">
        <v>0.75</v>
      </c>
    </row>
    <row r="1753" spans="17:18" s="560" customFormat="1">
      <c r="Q1753" s="562"/>
      <c r="R1753" s="562">
        <v>0.9</v>
      </c>
    </row>
    <row r="1754" spans="17:18" s="560" customFormat="1">
      <c r="Q1754" s="562"/>
      <c r="R1754" s="562">
        <v>1</v>
      </c>
    </row>
    <row r="1755" spans="17:18" s="560" customFormat="1">
      <c r="Q1755" s="562"/>
      <c r="R1755" s="562">
        <v>0.7</v>
      </c>
    </row>
    <row r="1756" spans="17:18" s="560" customFormat="1">
      <c r="Q1756" s="562"/>
      <c r="R1756" s="562">
        <v>0.5</v>
      </c>
    </row>
    <row r="1757" spans="17:18" s="560" customFormat="1">
      <c r="Q1757" s="562"/>
      <c r="R1757" s="562">
        <v>0.6</v>
      </c>
    </row>
    <row r="1758" spans="17:18" s="560" customFormat="1">
      <c r="Q1758" s="562"/>
      <c r="R1758" s="562">
        <v>0.6</v>
      </c>
    </row>
    <row r="1759" spans="17:18" s="560" customFormat="1">
      <c r="Q1759" s="562"/>
      <c r="R1759" s="562">
        <v>0.5</v>
      </c>
    </row>
    <row r="1760" spans="17:18" s="560" customFormat="1">
      <c r="Q1760" s="562"/>
      <c r="R1760" s="562">
        <v>0.6</v>
      </c>
    </row>
    <row r="1761" spans="16:30" s="560" customFormat="1">
      <c r="P1761" s="561"/>
      <c r="Q1761" s="562"/>
      <c r="R1761" s="562">
        <v>0.5</v>
      </c>
      <c r="S1761" s="562"/>
      <c r="T1761" s="562"/>
      <c r="U1761" s="562"/>
      <c r="V1761" s="562"/>
      <c r="W1761" s="562"/>
      <c r="X1761" s="562"/>
      <c r="Y1761" s="562"/>
      <c r="Z1761" s="562"/>
      <c r="AA1761" s="562"/>
      <c r="AB1761" s="562"/>
      <c r="AC1761" s="562"/>
      <c r="AD1761" s="563"/>
    </row>
    <row r="1762" spans="16:30" s="560" customFormat="1">
      <c r="P1762" s="561"/>
      <c r="Q1762" s="562"/>
      <c r="R1762" s="562">
        <v>0.5</v>
      </c>
      <c r="S1762" s="562"/>
      <c r="T1762" s="562"/>
      <c r="U1762" s="562"/>
      <c r="V1762" s="562"/>
      <c r="W1762" s="562"/>
      <c r="X1762" s="562"/>
      <c r="Y1762" s="562"/>
      <c r="Z1762" s="562"/>
      <c r="AA1762" s="562"/>
      <c r="AB1762" s="562"/>
      <c r="AC1762" s="562"/>
      <c r="AD1762" s="563"/>
    </row>
    <row r="1763" spans="16:30" s="560" customFormat="1">
      <c r="P1763" s="561"/>
      <c r="Q1763" s="562"/>
      <c r="R1763" s="562">
        <v>0.45</v>
      </c>
      <c r="S1763" s="562"/>
      <c r="T1763" s="562"/>
      <c r="U1763" s="562"/>
      <c r="V1763" s="562"/>
      <c r="W1763" s="562"/>
      <c r="X1763" s="562"/>
      <c r="Y1763" s="562"/>
      <c r="Z1763" s="562"/>
      <c r="AA1763" s="562"/>
      <c r="AB1763" s="562"/>
      <c r="AC1763" s="562"/>
      <c r="AD1763" s="563"/>
    </row>
    <row r="1764" spans="16:30" s="560" customFormat="1">
      <c r="P1764" s="561"/>
      <c r="Q1764" s="562"/>
      <c r="R1764" s="562">
        <v>0.45</v>
      </c>
      <c r="S1764" s="562"/>
      <c r="T1764" s="562"/>
      <c r="U1764" s="562"/>
      <c r="V1764" s="562"/>
      <c r="W1764" s="562"/>
      <c r="X1764" s="562"/>
      <c r="Y1764" s="562"/>
      <c r="Z1764" s="562"/>
      <c r="AA1764" s="562"/>
      <c r="AB1764" s="562"/>
      <c r="AC1764" s="562"/>
      <c r="AD1764" s="563"/>
    </row>
    <row r="1765" spans="16:30" s="560" customFormat="1">
      <c r="P1765" s="561"/>
      <c r="Q1765" s="562"/>
      <c r="R1765" s="562">
        <v>0.4</v>
      </c>
      <c r="S1765" s="562"/>
      <c r="T1765" s="562"/>
      <c r="U1765" s="562"/>
      <c r="V1765" s="562"/>
      <c r="W1765" s="562"/>
      <c r="X1765" s="562"/>
      <c r="Y1765" s="562"/>
      <c r="Z1765" s="562"/>
      <c r="AA1765" s="562"/>
      <c r="AB1765" s="562"/>
      <c r="AC1765" s="562"/>
      <c r="AD1765" s="563"/>
    </row>
    <row r="1766" spans="16:30" s="560" customFormat="1">
      <c r="P1766" s="561"/>
      <c r="Q1766" s="562"/>
      <c r="R1766" s="562">
        <v>0.3</v>
      </c>
      <c r="S1766" s="562"/>
      <c r="T1766" s="562"/>
      <c r="U1766" s="562"/>
      <c r="V1766" s="562"/>
      <c r="W1766" s="562"/>
      <c r="X1766" s="562"/>
      <c r="Y1766" s="562"/>
      <c r="Z1766" s="562"/>
      <c r="AA1766" s="562"/>
      <c r="AB1766" s="562"/>
      <c r="AC1766" s="562"/>
      <c r="AD1766" s="563"/>
    </row>
    <row r="1767" spans="16:30" s="560" customFormat="1">
      <c r="P1767" s="561"/>
      <c r="Q1767" s="562"/>
      <c r="R1767" s="562">
        <v>0.25</v>
      </c>
      <c r="S1767" s="562"/>
      <c r="T1767" s="562"/>
      <c r="U1767" s="562"/>
      <c r="V1767" s="562"/>
      <c r="W1767" s="562"/>
      <c r="X1767" s="562"/>
      <c r="Y1767" s="562"/>
      <c r="Z1767" s="562"/>
      <c r="AA1767" s="562"/>
      <c r="AB1767" s="562"/>
      <c r="AC1767" s="562"/>
      <c r="AD1767" s="563"/>
    </row>
    <row r="1768" spans="16:30" s="560" customFormat="1">
      <c r="P1768" s="561"/>
      <c r="Q1768" s="562"/>
      <c r="R1768" s="562">
        <f>COUNT(R1633:R1767)</f>
        <v>128</v>
      </c>
      <c r="S1768" s="562"/>
      <c r="T1768" s="562"/>
      <c r="U1768" s="562"/>
      <c r="V1768" s="562"/>
      <c r="W1768" s="562"/>
      <c r="X1768" s="562"/>
      <c r="Y1768" s="562"/>
      <c r="Z1768" s="562"/>
      <c r="AA1768" s="562"/>
      <c r="AB1768" s="562"/>
      <c r="AC1768" s="562"/>
      <c r="AD1768" s="563"/>
    </row>
    <row r="1769" spans="16:30" s="560" customFormat="1">
      <c r="P1769" s="567">
        <v>41172</v>
      </c>
      <c r="Q1769" s="568" t="s">
        <v>725</v>
      </c>
      <c r="R1769" s="568"/>
      <c r="S1769" s="568" t="s">
        <v>726</v>
      </c>
      <c r="T1769" s="569" t="s">
        <v>727</v>
      </c>
      <c r="U1769" s="569" t="s">
        <v>728</v>
      </c>
      <c r="V1769" s="569" t="s">
        <v>729</v>
      </c>
      <c r="W1769" s="569" t="s">
        <v>730</v>
      </c>
      <c r="X1769" s="569" t="s">
        <v>731</v>
      </c>
      <c r="Y1769" s="568"/>
      <c r="Z1769" s="562"/>
      <c r="AA1769" s="562"/>
      <c r="AB1769" s="562"/>
      <c r="AC1769" s="562"/>
      <c r="AD1769" s="563"/>
    </row>
    <row r="1770" spans="16:30" s="560" customFormat="1">
      <c r="P1770" s="561"/>
      <c r="Q1770" s="568"/>
      <c r="R1770" s="568"/>
      <c r="S1770" s="568"/>
      <c r="T1770" s="577" t="s">
        <v>1240</v>
      </c>
      <c r="U1770" s="577" t="s">
        <v>1241</v>
      </c>
      <c r="V1770" s="577">
        <v>32</v>
      </c>
      <c r="W1770" s="577"/>
      <c r="X1770" s="569">
        <v>2812</v>
      </c>
      <c r="Y1770" s="578" t="s">
        <v>1242</v>
      </c>
      <c r="Z1770" s="562"/>
      <c r="AA1770" s="562"/>
      <c r="AB1770" s="562"/>
      <c r="AC1770" s="562"/>
      <c r="AD1770" s="563"/>
    </row>
    <row r="1771" spans="16:30" s="560" customFormat="1">
      <c r="P1771" s="561" t="s">
        <v>615</v>
      </c>
      <c r="Q1771" s="583" t="s">
        <v>1243</v>
      </c>
      <c r="R1771" s="578"/>
      <c r="S1771" s="569"/>
      <c r="T1771" s="568"/>
      <c r="U1771" s="568"/>
      <c r="V1771" s="569"/>
      <c r="W1771" s="569"/>
      <c r="X1771" s="569"/>
      <c r="Y1771" s="569"/>
      <c r="Z1771" s="562"/>
      <c r="AA1771" s="562"/>
      <c r="AB1771" s="562"/>
      <c r="AC1771" s="562"/>
      <c r="AD1771" s="563"/>
    </row>
    <row r="1772" spans="16:30" s="560" customFormat="1">
      <c r="P1772" s="587"/>
      <c r="Q1772" s="588" t="s">
        <v>755</v>
      </c>
      <c r="R1772" s="588" t="s">
        <v>756</v>
      </c>
      <c r="S1772" s="588" t="s">
        <v>757</v>
      </c>
      <c r="T1772" s="588" t="s">
        <v>758</v>
      </c>
      <c r="U1772" s="588" t="s">
        <v>759</v>
      </c>
      <c r="V1772" s="588" t="s">
        <v>760</v>
      </c>
      <c r="W1772" s="588" t="s">
        <v>761</v>
      </c>
      <c r="X1772" s="588" t="s">
        <v>762</v>
      </c>
      <c r="Y1772" s="588" t="s">
        <v>763</v>
      </c>
      <c r="Z1772" s="562"/>
      <c r="AA1772" s="562"/>
      <c r="AB1772" s="562"/>
      <c r="AC1772" s="588" t="s">
        <v>764</v>
      </c>
      <c r="AD1772" s="589"/>
    </row>
    <row r="1773" spans="16:30" s="560" customFormat="1">
      <c r="P1773" s="561"/>
      <c r="Q1773" s="568" t="s">
        <v>873</v>
      </c>
      <c r="R1773" s="562"/>
      <c r="S1773" s="562"/>
      <c r="T1773" s="562"/>
      <c r="U1773" s="562"/>
      <c r="V1773" s="562"/>
      <c r="W1773" s="562"/>
      <c r="X1773" s="584"/>
      <c r="Y1773" s="562"/>
      <c r="Z1773" s="562"/>
      <c r="AA1773" s="562"/>
      <c r="AB1773" s="562"/>
      <c r="AC1773" s="577"/>
      <c r="AD1773" s="589"/>
    </row>
    <row r="1774" spans="16:30" s="560" customFormat="1">
      <c r="P1774" s="561"/>
      <c r="Q1774" s="568"/>
      <c r="R1774" s="562">
        <v>0.1</v>
      </c>
      <c r="S1774" s="568"/>
      <c r="T1774" s="562"/>
      <c r="U1774" s="562"/>
      <c r="V1774" s="562"/>
      <c r="W1774" s="562"/>
      <c r="X1774" s="609"/>
      <c r="Y1774" s="562"/>
      <c r="Z1774" s="562"/>
      <c r="AA1774" s="562"/>
      <c r="AB1774" s="562"/>
      <c r="AC1774" s="607" t="s">
        <v>780</v>
      </c>
      <c r="AD1774" s="608" t="s">
        <v>616</v>
      </c>
    </row>
    <row r="1775" spans="16:30" s="560" customFormat="1">
      <c r="P1775" s="561"/>
      <c r="Q1775" s="568"/>
      <c r="R1775" s="562">
        <v>0.15</v>
      </c>
      <c r="S1775" s="562"/>
      <c r="T1775" s="562"/>
      <c r="U1775" s="562"/>
      <c r="V1775" s="562"/>
      <c r="W1775" s="562"/>
      <c r="X1775" s="584"/>
      <c r="Y1775" s="562"/>
      <c r="Z1775" s="562"/>
      <c r="AA1775" s="562"/>
      <c r="AB1775" s="562"/>
      <c r="AC1775" s="607" t="s">
        <v>785</v>
      </c>
      <c r="AD1775" s="608" t="s">
        <v>542</v>
      </c>
    </row>
    <row r="1776" spans="16:30" s="560" customFormat="1">
      <c r="P1776" s="561"/>
      <c r="Q1776" s="568"/>
      <c r="R1776" s="562">
        <v>0.43</v>
      </c>
      <c r="S1776" s="562"/>
      <c r="T1776" s="562"/>
      <c r="U1776" s="562"/>
      <c r="V1776" s="562"/>
      <c r="W1776" s="562"/>
      <c r="X1776" s="584"/>
      <c r="Y1776" s="562"/>
      <c r="Z1776" s="562"/>
      <c r="AA1776" s="562"/>
      <c r="AB1776" s="562"/>
      <c r="AC1776" s="607" t="s">
        <v>789</v>
      </c>
      <c r="AD1776" s="608" t="s">
        <v>790</v>
      </c>
    </row>
    <row r="1777" spans="17:30" s="560" customFormat="1">
      <c r="Q1777" s="568"/>
      <c r="R1777" s="562">
        <v>0.4</v>
      </c>
      <c r="S1777" s="562"/>
      <c r="T1777" s="562"/>
      <c r="U1777" s="562"/>
      <c r="V1777" s="562"/>
      <c r="W1777" s="562"/>
      <c r="X1777" s="584"/>
      <c r="Y1777" s="562"/>
      <c r="Z1777" s="562"/>
      <c r="AA1777" s="562"/>
      <c r="AB1777" s="562"/>
      <c r="AC1777" s="607" t="s">
        <v>791</v>
      </c>
      <c r="AD1777" s="608" t="s">
        <v>792</v>
      </c>
    </row>
    <row r="1778" spans="17:30" s="560" customFormat="1">
      <c r="Q1778" s="568"/>
      <c r="R1778" s="562">
        <v>0.4</v>
      </c>
      <c r="S1778" s="562"/>
      <c r="T1778" s="562"/>
      <c r="U1778" s="562"/>
      <c r="V1778" s="562"/>
      <c r="W1778" s="562"/>
      <c r="X1778" s="577"/>
      <c r="Y1778" s="562"/>
      <c r="Z1778" s="562"/>
      <c r="AA1778" s="562"/>
      <c r="AB1778" s="562"/>
      <c r="AC1778" s="607" t="s">
        <v>794</v>
      </c>
      <c r="AD1778" s="608" t="s">
        <v>795</v>
      </c>
    </row>
    <row r="1779" spans="17:30" s="560" customFormat="1">
      <c r="Q1779" s="568"/>
      <c r="R1779" s="562">
        <v>0.4</v>
      </c>
      <c r="S1779" s="562"/>
      <c r="T1779" s="562"/>
      <c r="U1779" s="562"/>
      <c r="V1779" s="562"/>
      <c r="W1779" s="562"/>
      <c r="X1779" s="577"/>
      <c r="Y1779" s="562"/>
      <c r="Z1779" s="562"/>
      <c r="AA1779" s="562"/>
      <c r="AB1779" s="562"/>
      <c r="AC1779" s="607" t="s">
        <v>798</v>
      </c>
      <c r="AD1779" s="608" t="s">
        <v>546</v>
      </c>
    </row>
    <row r="1780" spans="17:30" s="560" customFormat="1">
      <c r="Q1780" s="562"/>
      <c r="R1780" s="562">
        <v>0.36</v>
      </c>
      <c r="S1780" s="562"/>
      <c r="T1780" s="562"/>
      <c r="U1780" s="562"/>
      <c r="V1780" s="562"/>
      <c r="W1780" s="562"/>
      <c r="X1780" s="577"/>
      <c r="Y1780" s="562"/>
      <c r="Z1780" s="562"/>
      <c r="AA1780" s="562"/>
      <c r="AB1780" s="562"/>
      <c r="AC1780" s="607" t="s">
        <v>800</v>
      </c>
      <c r="AD1780" s="608" t="s">
        <v>801</v>
      </c>
    </row>
    <row r="1781" spans="17:30" s="560" customFormat="1">
      <c r="Q1781" s="562"/>
      <c r="R1781" s="562">
        <v>0.43</v>
      </c>
      <c r="S1781" s="562"/>
      <c r="T1781" s="562"/>
      <c r="U1781" s="562"/>
      <c r="V1781" s="562"/>
      <c r="W1781" s="562"/>
      <c r="X1781" s="577"/>
      <c r="Y1781" s="562"/>
      <c r="Z1781" s="562"/>
      <c r="AA1781" s="562"/>
      <c r="AB1781" s="562"/>
      <c r="AC1781" s="607" t="s">
        <v>804</v>
      </c>
      <c r="AD1781" s="608" t="s">
        <v>805</v>
      </c>
    </row>
    <row r="1782" spans="17:30" s="560" customFormat="1">
      <c r="Q1782" s="562"/>
      <c r="R1782" s="562">
        <v>0.5</v>
      </c>
      <c r="S1782" s="562"/>
      <c r="T1782" s="562"/>
      <c r="U1782" s="562"/>
      <c r="V1782" s="562"/>
      <c r="W1782" s="562"/>
      <c r="X1782" s="577"/>
      <c r="Y1782" s="562"/>
      <c r="Z1782" s="562"/>
      <c r="AA1782" s="562"/>
      <c r="AB1782" s="562"/>
      <c r="AC1782" s="607" t="s">
        <v>807</v>
      </c>
      <c r="AD1782" s="608" t="s">
        <v>808</v>
      </c>
    </row>
    <row r="1783" spans="17:30" s="560" customFormat="1">
      <c r="Q1783" s="562"/>
      <c r="R1783" s="562">
        <v>0.7</v>
      </c>
      <c r="S1783" s="562"/>
      <c r="T1783" s="562"/>
      <c r="U1783" s="562"/>
      <c r="V1783" s="562"/>
      <c r="W1783" s="562"/>
      <c r="X1783" s="577"/>
      <c r="Y1783" s="562"/>
      <c r="Z1783" s="562"/>
      <c r="AA1783" s="562"/>
      <c r="AB1783" s="562"/>
      <c r="AC1783" s="607" t="s">
        <v>810</v>
      </c>
      <c r="AD1783" s="608" t="s">
        <v>550</v>
      </c>
    </row>
    <row r="1784" spans="17:30" s="560" customFormat="1">
      <c r="Q1784" s="562"/>
      <c r="R1784" s="562">
        <v>0.7</v>
      </c>
      <c r="S1784" s="562"/>
      <c r="T1784" s="562"/>
      <c r="U1784" s="562"/>
      <c r="V1784" s="562"/>
      <c r="W1784" s="562"/>
      <c r="X1784" s="577"/>
      <c r="Y1784" s="562"/>
      <c r="Z1784" s="562"/>
      <c r="AA1784" s="562"/>
      <c r="AB1784" s="562"/>
      <c r="AC1784" s="607" t="s">
        <v>813</v>
      </c>
      <c r="AD1784" s="608" t="s">
        <v>552</v>
      </c>
    </row>
    <row r="1785" spans="17:30" s="560" customFormat="1">
      <c r="Q1785" s="562"/>
      <c r="R1785" s="562">
        <v>0.5</v>
      </c>
      <c r="S1785" s="562"/>
      <c r="T1785" s="562"/>
      <c r="U1785" s="562"/>
      <c r="V1785" s="562"/>
      <c r="W1785" s="562"/>
      <c r="X1785" s="577"/>
      <c r="Y1785" s="562"/>
      <c r="Z1785" s="562"/>
      <c r="AA1785" s="562"/>
      <c r="AB1785" s="562"/>
      <c r="AC1785" s="607" t="s">
        <v>815</v>
      </c>
      <c r="AD1785" s="608" t="s">
        <v>816</v>
      </c>
    </row>
    <row r="1786" spans="17:30" s="560" customFormat="1">
      <c r="Q1786" s="562"/>
      <c r="R1786" s="562">
        <v>0.55000000000000004</v>
      </c>
      <c r="S1786" s="562"/>
      <c r="T1786" s="562"/>
      <c r="U1786" s="562"/>
      <c r="V1786" s="562"/>
      <c r="W1786" s="562"/>
      <c r="X1786" s="562"/>
      <c r="Y1786" s="562"/>
      <c r="Z1786" s="562"/>
      <c r="AA1786" s="562"/>
      <c r="AB1786" s="562"/>
      <c r="AC1786" s="562"/>
      <c r="AD1786" s="563"/>
    </row>
    <row r="1787" spans="17:30" s="560" customFormat="1">
      <c r="Q1787" s="562" t="s">
        <v>775</v>
      </c>
      <c r="R1787" s="562"/>
      <c r="S1787" s="562"/>
      <c r="T1787" s="562"/>
      <c r="U1787" s="562"/>
      <c r="V1787" s="562"/>
      <c r="W1787" s="562"/>
      <c r="X1787" s="562"/>
      <c r="Y1787" s="562"/>
      <c r="Z1787" s="562"/>
      <c r="AA1787" s="562"/>
      <c r="AB1787" s="562"/>
      <c r="AC1787" s="562"/>
      <c r="AD1787" s="563"/>
    </row>
    <row r="1788" spans="17:30" s="560" customFormat="1">
      <c r="Q1788" s="562"/>
      <c r="R1788" s="562">
        <v>0.4</v>
      </c>
      <c r="S1788" s="562"/>
      <c r="T1788" s="562"/>
      <c r="U1788" s="562"/>
      <c r="V1788" s="562"/>
      <c r="W1788" s="562"/>
      <c r="X1788" s="562"/>
      <c r="Y1788" s="562"/>
      <c r="Z1788" s="562"/>
      <c r="AA1788" s="562"/>
      <c r="AB1788" s="562"/>
      <c r="AC1788" s="562"/>
      <c r="AD1788" s="563"/>
    </row>
    <row r="1789" spans="17:30" s="560" customFormat="1">
      <c r="Q1789" s="562"/>
      <c r="R1789" s="562">
        <v>0.6</v>
      </c>
      <c r="S1789" s="562"/>
      <c r="T1789" s="562"/>
      <c r="U1789" s="562"/>
      <c r="V1789" s="562"/>
      <c r="W1789" s="562"/>
      <c r="X1789" s="562"/>
      <c r="Y1789" s="562"/>
      <c r="Z1789" s="562"/>
      <c r="AA1789" s="562"/>
      <c r="AB1789" s="562"/>
      <c r="AC1789" s="562"/>
      <c r="AD1789" s="563"/>
    </row>
    <row r="1790" spans="17:30" s="560" customFormat="1">
      <c r="Q1790" s="562"/>
      <c r="R1790" s="562">
        <v>0.7</v>
      </c>
      <c r="S1790" s="562"/>
      <c r="T1790" s="562"/>
      <c r="U1790" s="562"/>
      <c r="V1790" s="562"/>
      <c r="W1790" s="562"/>
      <c r="X1790" s="562"/>
      <c r="Y1790" s="562"/>
      <c r="Z1790" s="562"/>
      <c r="AA1790" s="562"/>
      <c r="AB1790" s="562"/>
      <c r="AC1790" s="562"/>
      <c r="AD1790" s="563"/>
    </row>
    <row r="1791" spans="17:30" s="560" customFormat="1">
      <c r="Q1791" s="562"/>
      <c r="R1791" s="562">
        <v>0.73</v>
      </c>
      <c r="S1791" s="562"/>
      <c r="T1791" s="562"/>
      <c r="U1791" s="562"/>
      <c r="V1791" s="562"/>
      <c r="W1791" s="562"/>
      <c r="X1791" s="562"/>
      <c r="Y1791" s="562"/>
      <c r="Z1791" s="562"/>
      <c r="AA1791" s="562"/>
      <c r="AB1791" s="562"/>
      <c r="AC1791" s="562"/>
      <c r="AD1791" s="563"/>
    </row>
    <row r="1792" spans="17:30" s="560" customFormat="1">
      <c r="Q1792" s="562"/>
      <c r="R1792" s="562">
        <v>0.55000000000000004</v>
      </c>
      <c r="S1792" s="562"/>
      <c r="T1792" s="562"/>
      <c r="U1792" s="562"/>
      <c r="V1792" s="562"/>
      <c r="W1792" s="562"/>
      <c r="X1792" s="562"/>
      <c r="Y1792" s="562"/>
      <c r="Z1792" s="562"/>
      <c r="AA1792" s="562"/>
      <c r="AB1792" s="562"/>
      <c r="AC1792" s="562"/>
      <c r="AD1792" s="563"/>
    </row>
    <row r="1793" spans="17:18" s="560" customFormat="1">
      <c r="Q1793" s="562"/>
      <c r="R1793" s="562">
        <v>0.9</v>
      </c>
    </row>
    <row r="1794" spans="17:18" s="560" customFormat="1">
      <c r="Q1794" s="562"/>
      <c r="R1794" s="562">
        <v>0.4</v>
      </c>
    </row>
    <row r="1795" spans="17:18" s="560" customFormat="1">
      <c r="Q1795" s="562"/>
      <c r="R1795" s="562">
        <v>0.6</v>
      </c>
    </row>
    <row r="1796" spans="17:18" s="560" customFormat="1">
      <c r="Q1796" s="562"/>
      <c r="R1796" s="562">
        <v>0.9</v>
      </c>
    </row>
    <row r="1797" spans="17:18" s="560" customFormat="1">
      <c r="Q1797" s="562"/>
      <c r="R1797" s="562">
        <v>0.55000000000000004</v>
      </c>
    </row>
    <row r="1798" spans="17:18" s="560" customFormat="1">
      <c r="Q1798" s="562"/>
      <c r="R1798" s="562">
        <v>0.55000000000000004</v>
      </c>
    </row>
    <row r="1799" spans="17:18" s="560" customFormat="1">
      <c r="Q1799" s="562"/>
      <c r="R1799" s="562">
        <v>0.55000000000000004</v>
      </c>
    </row>
    <row r="1800" spans="17:18" s="560" customFormat="1">
      <c r="Q1800" s="562"/>
      <c r="R1800" s="562">
        <v>0.7</v>
      </c>
    </row>
    <row r="1801" spans="17:18" s="560" customFormat="1">
      <c r="Q1801" s="562"/>
      <c r="R1801" s="562">
        <v>0.55000000000000004</v>
      </c>
    </row>
    <row r="1802" spans="17:18" s="560" customFormat="1">
      <c r="Q1802" s="562"/>
      <c r="R1802" s="562">
        <v>0.7</v>
      </c>
    </row>
    <row r="1803" spans="17:18" s="560" customFormat="1">
      <c r="Q1803" s="562"/>
      <c r="R1803" s="562">
        <v>0.6</v>
      </c>
    </row>
    <row r="1804" spans="17:18" s="560" customFormat="1">
      <c r="Q1804" s="562" t="s">
        <v>821</v>
      </c>
      <c r="R1804" s="562"/>
    </row>
    <row r="1805" spans="17:18" s="560" customFormat="1">
      <c r="Q1805" s="562"/>
      <c r="R1805" s="562">
        <v>0.68</v>
      </c>
    </row>
    <row r="1806" spans="17:18" s="560" customFormat="1">
      <c r="Q1806" s="562"/>
      <c r="R1806" s="562">
        <v>0.73</v>
      </c>
    </row>
    <row r="1807" spans="17:18" s="560" customFormat="1">
      <c r="Q1807" s="562"/>
      <c r="R1807" s="562">
        <v>0.45</v>
      </c>
    </row>
    <row r="1808" spans="17:18" s="560" customFormat="1">
      <c r="Q1808" s="562"/>
      <c r="R1808" s="562">
        <v>0.55000000000000004</v>
      </c>
    </row>
    <row r="1809" spans="17:18" s="560" customFormat="1">
      <c r="Q1809" s="562"/>
      <c r="R1809" s="562">
        <v>0.6</v>
      </c>
    </row>
    <row r="1810" spans="17:18" s="560" customFormat="1">
      <c r="Q1810" s="562"/>
      <c r="R1810" s="562">
        <v>0.65</v>
      </c>
    </row>
    <row r="1811" spans="17:18" s="560" customFormat="1">
      <c r="Q1811" s="562"/>
      <c r="R1811" s="562">
        <v>0.55000000000000004</v>
      </c>
    </row>
    <row r="1812" spans="17:18" s="560" customFormat="1">
      <c r="Q1812" s="562"/>
      <c r="R1812" s="562">
        <v>0.65</v>
      </c>
    </row>
    <row r="1813" spans="17:18" s="560" customFormat="1">
      <c r="Q1813" s="562"/>
      <c r="R1813" s="562">
        <v>0.5</v>
      </c>
    </row>
    <row r="1814" spans="17:18" s="560" customFormat="1">
      <c r="Q1814" s="562"/>
      <c r="R1814" s="562">
        <v>0.7</v>
      </c>
    </row>
    <row r="1815" spans="17:18" s="560" customFormat="1">
      <c r="Q1815" s="562"/>
      <c r="R1815" s="562">
        <v>0.56999999999999995</v>
      </c>
    </row>
    <row r="1816" spans="17:18" s="560" customFormat="1">
      <c r="Q1816" s="562"/>
      <c r="R1816" s="562">
        <v>0.6</v>
      </c>
    </row>
    <row r="1817" spans="17:18" s="560" customFormat="1">
      <c r="Q1817" s="562"/>
      <c r="R1817" s="562">
        <v>0.7</v>
      </c>
    </row>
    <row r="1818" spans="17:18" s="560" customFormat="1">
      <c r="Q1818" s="562"/>
      <c r="R1818" s="562">
        <v>0.6</v>
      </c>
    </row>
    <row r="1819" spans="17:18" s="560" customFormat="1">
      <c r="Q1819" s="562"/>
      <c r="R1819" s="562">
        <v>0.6</v>
      </c>
    </row>
    <row r="1820" spans="17:18" s="560" customFormat="1">
      <c r="Q1820" s="562" t="s">
        <v>799</v>
      </c>
      <c r="R1820" s="562"/>
    </row>
    <row r="1821" spans="17:18" s="560" customFormat="1">
      <c r="Q1821" s="562"/>
      <c r="R1821" s="562">
        <v>0.52</v>
      </c>
    </row>
    <row r="1822" spans="17:18" s="560" customFormat="1">
      <c r="Q1822" s="562"/>
      <c r="R1822" s="562">
        <v>0.6</v>
      </c>
    </row>
    <row r="1823" spans="17:18" s="560" customFormat="1">
      <c r="Q1823" s="562"/>
      <c r="R1823" s="562">
        <v>0.95</v>
      </c>
    </row>
    <row r="1824" spans="17:18" s="560" customFormat="1">
      <c r="Q1824" s="562"/>
      <c r="R1824" s="562">
        <v>0.5</v>
      </c>
    </row>
    <row r="1825" spans="17:18" s="560" customFormat="1">
      <c r="Q1825" s="562"/>
      <c r="R1825" s="562">
        <v>0.55000000000000004</v>
      </c>
    </row>
    <row r="1826" spans="17:18" s="560" customFormat="1">
      <c r="Q1826" s="562"/>
      <c r="R1826" s="562">
        <v>0.55000000000000004</v>
      </c>
    </row>
    <row r="1827" spans="17:18" s="560" customFormat="1">
      <c r="Q1827" s="562"/>
      <c r="R1827" s="562">
        <v>0.55000000000000004</v>
      </c>
    </row>
    <row r="1828" spans="17:18" s="560" customFormat="1">
      <c r="Q1828" s="562"/>
      <c r="R1828" s="562">
        <v>65</v>
      </c>
    </row>
    <row r="1829" spans="17:18" s="560" customFormat="1">
      <c r="Q1829" s="562"/>
      <c r="R1829" s="562">
        <v>0.6</v>
      </c>
    </row>
    <row r="1830" spans="17:18" s="560" customFormat="1">
      <c r="Q1830" s="562"/>
      <c r="R1830" s="562">
        <v>0.6</v>
      </c>
    </row>
    <row r="1831" spans="17:18" s="560" customFormat="1">
      <c r="Q1831" s="562"/>
      <c r="R1831" s="562">
        <v>0.6</v>
      </c>
    </row>
    <row r="1832" spans="17:18" s="560" customFormat="1">
      <c r="Q1832" s="562"/>
      <c r="R1832" s="562">
        <v>0.6</v>
      </c>
    </row>
    <row r="1833" spans="17:18" s="560" customFormat="1">
      <c r="Q1833" s="562"/>
      <c r="R1833" s="562">
        <v>0.65</v>
      </c>
    </row>
    <row r="1834" spans="17:18" s="560" customFormat="1">
      <c r="Q1834" s="562"/>
      <c r="R1834" s="562">
        <v>0.75</v>
      </c>
    </row>
    <row r="1835" spans="17:18" s="560" customFormat="1">
      <c r="Q1835" s="562"/>
      <c r="R1835" s="562">
        <v>0.63</v>
      </c>
    </row>
    <row r="1836" spans="17:18" s="560" customFormat="1">
      <c r="Q1836" s="562"/>
      <c r="R1836" s="562">
        <v>0.55000000000000004</v>
      </c>
    </row>
    <row r="1837" spans="17:18" s="560" customFormat="1">
      <c r="Q1837" s="562" t="s">
        <v>1019</v>
      </c>
      <c r="R1837" s="562"/>
    </row>
    <row r="1838" spans="17:18" s="560" customFormat="1">
      <c r="Q1838" s="562"/>
      <c r="R1838" s="562">
        <v>0.5</v>
      </c>
    </row>
    <row r="1839" spans="17:18" s="560" customFormat="1">
      <c r="Q1839" s="562"/>
      <c r="R1839" s="562">
        <v>0.55000000000000004</v>
      </c>
    </row>
    <row r="1840" spans="17:18" s="560" customFormat="1">
      <c r="Q1840" s="562"/>
      <c r="R1840" s="562">
        <v>0.6</v>
      </c>
    </row>
    <row r="1841" spans="17:18" s="560" customFormat="1">
      <c r="Q1841" s="562"/>
      <c r="R1841" s="562">
        <v>0.65</v>
      </c>
    </row>
    <row r="1842" spans="17:18" s="560" customFormat="1">
      <c r="Q1842" s="562"/>
      <c r="R1842" s="562">
        <v>0.55000000000000004</v>
      </c>
    </row>
    <row r="1843" spans="17:18" s="560" customFormat="1">
      <c r="Q1843" s="562"/>
      <c r="R1843" s="562">
        <v>0.61</v>
      </c>
    </row>
    <row r="1844" spans="17:18" s="560" customFormat="1">
      <c r="Q1844" s="562"/>
      <c r="R1844" s="562">
        <v>0.7</v>
      </c>
    </row>
    <row r="1845" spans="17:18" s="560" customFormat="1">
      <c r="Q1845" s="562"/>
      <c r="R1845" s="562">
        <v>0.6</v>
      </c>
    </row>
    <row r="1846" spans="17:18" s="560" customFormat="1">
      <c r="Q1846" s="562"/>
      <c r="R1846" s="562">
        <v>0.55000000000000004</v>
      </c>
    </row>
    <row r="1847" spans="17:18" s="560" customFormat="1">
      <c r="Q1847" s="562"/>
      <c r="R1847" s="562">
        <v>0.55000000000000004</v>
      </c>
    </row>
    <row r="1848" spans="17:18" s="560" customFormat="1">
      <c r="Q1848" s="562"/>
      <c r="R1848" s="562">
        <v>0.5</v>
      </c>
    </row>
    <row r="1849" spans="17:18" s="560" customFormat="1">
      <c r="Q1849" s="562"/>
      <c r="R1849" s="562">
        <v>0.6</v>
      </c>
    </row>
    <row r="1850" spans="17:18" s="560" customFormat="1">
      <c r="Q1850" s="562"/>
      <c r="R1850" s="562">
        <v>0.5</v>
      </c>
    </row>
    <row r="1851" spans="17:18" s="560" customFormat="1">
      <c r="Q1851" s="562"/>
      <c r="R1851" s="562">
        <v>0.9</v>
      </c>
    </row>
    <row r="1852" spans="17:18" s="560" customFormat="1">
      <c r="Q1852" s="562"/>
      <c r="R1852" s="562">
        <v>0.7</v>
      </c>
    </row>
    <row r="1853" spans="17:18" s="560" customFormat="1">
      <c r="Q1853" s="562"/>
      <c r="R1853" s="562">
        <v>6</v>
      </c>
    </row>
    <row r="1854" spans="17:18" s="560" customFormat="1">
      <c r="Q1854" s="562" t="s">
        <v>1026</v>
      </c>
      <c r="R1854" s="562"/>
    </row>
    <row r="1855" spans="17:18" s="560" customFormat="1">
      <c r="Q1855" s="562"/>
      <c r="R1855" s="562">
        <v>0.6</v>
      </c>
    </row>
    <row r="1856" spans="17:18" s="560" customFormat="1">
      <c r="Q1856" s="562"/>
      <c r="R1856" s="562">
        <v>0.6</v>
      </c>
    </row>
    <row r="1857" spans="17:18" s="560" customFormat="1">
      <c r="Q1857" s="562"/>
      <c r="R1857" s="562">
        <v>0.75</v>
      </c>
    </row>
    <row r="1858" spans="17:18" s="560" customFormat="1">
      <c r="Q1858" s="562"/>
      <c r="R1858" s="562">
        <v>0.63</v>
      </c>
    </row>
    <row r="1859" spans="17:18" s="560" customFormat="1">
      <c r="Q1859" s="562"/>
      <c r="R1859" s="562">
        <v>0.7</v>
      </c>
    </row>
    <row r="1860" spans="17:18" s="560" customFormat="1">
      <c r="Q1860" s="562"/>
      <c r="R1860" s="562">
        <v>0.65</v>
      </c>
    </row>
    <row r="1861" spans="17:18" s="560" customFormat="1">
      <c r="Q1861" s="562"/>
      <c r="R1861" s="562">
        <v>0.8</v>
      </c>
    </row>
    <row r="1862" spans="17:18" s="560" customFormat="1">
      <c r="Q1862" s="562"/>
      <c r="R1862" s="562">
        <v>0.85</v>
      </c>
    </row>
    <row r="1863" spans="17:18" s="560" customFormat="1">
      <c r="Q1863" s="562"/>
      <c r="R1863" s="562">
        <v>0.8</v>
      </c>
    </row>
    <row r="1864" spans="17:18" s="560" customFormat="1">
      <c r="Q1864" s="562"/>
      <c r="R1864" s="562">
        <v>0.6</v>
      </c>
    </row>
    <row r="1865" spans="17:18" s="560" customFormat="1">
      <c r="Q1865" s="562"/>
      <c r="R1865" s="562">
        <v>0.6</v>
      </c>
    </row>
    <row r="1866" spans="17:18" s="560" customFormat="1">
      <c r="Q1866" s="562"/>
      <c r="R1866" s="562">
        <v>0.65</v>
      </c>
    </row>
    <row r="1867" spans="17:18" s="560" customFormat="1">
      <c r="Q1867" s="562"/>
      <c r="R1867" s="562">
        <v>0.5</v>
      </c>
    </row>
    <row r="1868" spans="17:18" s="560" customFormat="1">
      <c r="Q1868" s="562"/>
      <c r="R1868" s="562">
        <v>0.65</v>
      </c>
    </row>
    <row r="1869" spans="17:18" s="560" customFormat="1">
      <c r="Q1869" s="562"/>
      <c r="R1869" s="562">
        <v>0.6</v>
      </c>
    </row>
    <row r="1870" spans="17:18" s="560" customFormat="1">
      <c r="Q1870" s="562" t="s">
        <v>1036</v>
      </c>
      <c r="R1870" s="562"/>
    </row>
    <row r="1871" spans="17:18" s="560" customFormat="1">
      <c r="Q1871" s="562"/>
      <c r="R1871" s="562">
        <v>0.5</v>
      </c>
    </row>
    <row r="1872" spans="17:18" s="560" customFormat="1">
      <c r="Q1872" s="562"/>
      <c r="R1872" s="562">
        <v>0.45</v>
      </c>
    </row>
    <row r="1873" spans="17:18" s="560" customFormat="1">
      <c r="Q1873" s="562"/>
      <c r="R1873" s="562">
        <v>0.9</v>
      </c>
    </row>
    <row r="1874" spans="17:18" s="560" customFormat="1">
      <c r="Q1874" s="562"/>
      <c r="R1874" s="562">
        <v>1</v>
      </c>
    </row>
    <row r="1875" spans="17:18" s="560" customFormat="1">
      <c r="Q1875" s="562"/>
      <c r="R1875" s="562">
        <v>0.75</v>
      </c>
    </row>
    <row r="1876" spans="17:18" s="560" customFormat="1">
      <c r="Q1876" s="562"/>
      <c r="R1876" s="562">
        <v>0.55000000000000004</v>
      </c>
    </row>
    <row r="1877" spans="17:18" s="560" customFormat="1">
      <c r="Q1877" s="562"/>
      <c r="R1877" s="562">
        <v>0.65</v>
      </c>
    </row>
    <row r="1878" spans="17:18" s="560" customFormat="1">
      <c r="Q1878" s="562"/>
      <c r="R1878" s="562">
        <v>0.9</v>
      </c>
    </row>
    <row r="1879" spans="17:18" s="560" customFormat="1">
      <c r="Q1879" s="562"/>
      <c r="R1879" s="562">
        <v>0.6</v>
      </c>
    </row>
    <row r="1880" spans="17:18" s="560" customFormat="1">
      <c r="Q1880" s="562"/>
      <c r="R1880" s="562">
        <v>0.9</v>
      </c>
    </row>
    <row r="1881" spans="17:18" s="560" customFormat="1">
      <c r="Q1881" s="562"/>
      <c r="R1881" s="562">
        <v>0.6</v>
      </c>
    </row>
    <row r="1882" spans="17:18" s="560" customFormat="1">
      <c r="Q1882" s="562"/>
      <c r="R1882" s="562">
        <v>1</v>
      </c>
    </row>
    <row r="1883" spans="17:18" s="560" customFormat="1">
      <c r="Q1883" s="562"/>
      <c r="R1883" s="562">
        <v>0.6</v>
      </c>
    </row>
    <row r="1884" spans="17:18" s="560" customFormat="1">
      <c r="Q1884" s="562"/>
      <c r="R1884" s="562">
        <v>0.8</v>
      </c>
    </row>
    <row r="1885" spans="17:18" s="560" customFormat="1">
      <c r="Q1885" s="562"/>
      <c r="R1885" s="562">
        <v>0.5</v>
      </c>
    </row>
    <row r="1886" spans="17:18" s="560" customFormat="1">
      <c r="Q1886" s="562"/>
      <c r="R1886" s="562">
        <v>0.6</v>
      </c>
    </row>
    <row r="1887" spans="17:18" s="560" customFormat="1">
      <c r="Q1887" s="562" t="s">
        <v>1050</v>
      </c>
      <c r="R1887" s="562"/>
    </row>
    <row r="1888" spans="17:18" s="560" customFormat="1">
      <c r="Q1888" s="562"/>
      <c r="R1888" s="562">
        <v>0.6</v>
      </c>
    </row>
    <row r="1889" spans="16:25" s="560" customFormat="1">
      <c r="P1889" s="561"/>
      <c r="Q1889" s="562"/>
      <c r="R1889" s="562">
        <v>0.53</v>
      </c>
      <c r="S1889" s="562"/>
      <c r="T1889" s="562"/>
      <c r="U1889" s="562"/>
      <c r="V1889" s="562"/>
      <c r="W1889" s="562"/>
      <c r="X1889" s="562"/>
      <c r="Y1889" s="562"/>
    </row>
    <row r="1890" spans="16:25" s="560" customFormat="1">
      <c r="P1890" s="561"/>
      <c r="Q1890" s="562"/>
      <c r="R1890" s="562">
        <v>0.6</v>
      </c>
      <c r="S1890" s="562"/>
      <c r="T1890" s="562"/>
      <c r="U1890" s="562"/>
      <c r="V1890" s="562"/>
      <c r="W1890" s="562"/>
      <c r="X1890" s="562"/>
      <c r="Y1890" s="562"/>
    </row>
    <row r="1891" spans="16:25" s="560" customFormat="1">
      <c r="P1891" s="561"/>
      <c r="Q1891" s="562"/>
      <c r="R1891" s="562">
        <v>0.9</v>
      </c>
      <c r="S1891" s="562"/>
      <c r="T1891" s="562"/>
      <c r="U1891" s="562"/>
      <c r="V1891" s="562"/>
      <c r="W1891" s="562"/>
      <c r="X1891" s="562"/>
      <c r="Y1891" s="562"/>
    </row>
    <row r="1892" spans="16:25" s="560" customFormat="1">
      <c r="P1892" s="561"/>
      <c r="Q1892" s="562"/>
      <c r="R1892" s="562">
        <v>1</v>
      </c>
      <c r="S1892" s="562"/>
      <c r="T1892" s="562"/>
      <c r="U1892" s="562"/>
      <c r="V1892" s="562"/>
      <c r="W1892" s="562"/>
      <c r="X1892" s="562"/>
      <c r="Y1892" s="562"/>
    </row>
    <row r="1893" spans="16:25" s="560" customFormat="1">
      <c r="P1893" s="561"/>
      <c r="Q1893" s="562"/>
      <c r="R1893" s="562">
        <v>0.7</v>
      </c>
      <c r="S1893" s="562"/>
      <c r="T1893" s="562"/>
      <c r="U1893" s="562"/>
      <c r="V1893" s="562"/>
      <c r="W1893" s="562"/>
      <c r="X1893" s="562"/>
      <c r="Y1893" s="562"/>
    </row>
    <row r="1894" spans="16:25" s="560" customFormat="1">
      <c r="P1894" s="561"/>
      <c r="Q1894" s="562"/>
      <c r="R1894" s="562">
        <v>0.6</v>
      </c>
      <c r="S1894" s="562"/>
      <c r="T1894" s="562"/>
      <c r="U1894" s="562"/>
      <c r="V1894" s="562"/>
      <c r="W1894" s="562"/>
      <c r="X1894" s="562"/>
      <c r="Y1894" s="562"/>
    </row>
    <row r="1895" spans="16:25" s="560" customFormat="1">
      <c r="P1895" s="561"/>
      <c r="Q1895" s="562"/>
      <c r="R1895" s="562">
        <v>0.55000000000000004</v>
      </c>
      <c r="S1895" s="562"/>
      <c r="T1895" s="562"/>
      <c r="U1895" s="562"/>
      <c r="V1895" s="562"/>
      <c r="W1895" s="562"/>
      <c r="X1895" s="562"/>
      <c r="Y1895" s="562"/>
    </row>
    <row r="1896" spans="16:25" s="560" customFormat="1">
      <c r="P1896" s="561"/>
      <c r="Q1896" s="562"/>
      <c r="R1896" s="562">
        <v>0.6</v>
      </c>
      <c r="S1896" s="562"/>
      <c r="T1896" s="562"/>
      <c r="U1896" s="562"/>
      <c r="V1896" s="562"/>
      <c r="W1896" s="562"/>
      <c r="X1896" s="562"/>
      <c r="Y1896" s="562"/>
    </row>
    <row r="1897" spans="16:25" s="560" customFormat="1">
      <c r="P1897" s="561"/>
      <c r="Q1897" s="562"/>
      <c r="R1897" s="562">
        <v>0.6</v>
      </c>
      <c r="S1897" s="562"/>
      <c r="T1897" s="562"/>
      <c r="U1897" s="562"/>
      <c r="V1897" s="562"/>
      <c r="W1897" s="562"/>
      <c r="X1897" s="562"/>
      <c r="Y1897" s="562"/>
    </row>
    <row r="1898" spans="16:25" s="560" customFormat="1">
      <c r="P1898" s="561"/>
      <c r="Q1898" s="562"/>
      <c r="R1898" s="562">
        <v>0.5</v>
      </c>
      <c r="S1898" s="562"/>
      <c r="T1898" s="562"/>
      <c r="U1898" s="562"/>
      <c r="V1898" s="562"/>
      <c r="W1898" s="562"/>
      <c r="X1898" s="562"/>
      <c r="Y1898" s="562"/>
    </row>
    <row r="1899" spans="16:25" s="560" customFormat="1">
      <c r="P1899" s="561"/>
      <c r="Q1899" s="562"/>
      <c r="R1899" s="562">
        <v>0.55000000000000004</v>
      </c>
      <c r="S1899" s="562"/>
      <c r="T1899" s="562"/>
      <c r="U1899" s="562"/>
      <c r="V1899" s="562"/>
      <c r="W1899" s="562"/>
      <c r="X1899" s="562"/>
      <c r="Y1899" s="562"/>
    </row>
    <row r="1900" spans="16:25" s="560" customFormat="1">
      <c r="P1900" s="561"/>
      <c r="Q1900" s="562"/>
      <c r="R1900" s="562">
        <v>0.5</v>
      </c>
      <c r="S1900" s="562"/>
      <c r="T1900" s="562"/>
      <c r="U1900" s="562"/>
      <c r="V1900" s="562"/>
      <c r="W1900" s="562"/>
      <c r="X1900" s="562"/>
      <c r="Y1900" s="562"/>
    </row>
    <row r="1901" spans="16:25" s="560" customFormat="1">
      <c r="P1901" s="561"/>
      <c r="Q1901" s="562"/>
      <c r="R1901" s="562">
        <v>0.44</v>
      </c>
      <c r="S1901" s="562"/>
      <c r="T1901" s="562"/>
      <c r="U1901" s="562"/>
      <c r="V1901" s="562"/>
      <c r="W1901" s="562"/>
      <c r="X1901" s="562"/>
      <c r="Y1901" s="562"/>
    </row>
    <row r="1902" spans="16:25" s="560" customFormat="1">
      <c r="P1902" s="561"/>
      <c r="Q1902" s="562"/>
      <c r="R1902" s="562">
        <v>0.6</v>
      </c>
      <c r="S1902" s="562"/>
      <c r="T1902" s="562"/>
      <c r="U1902" s="562"/>
      <c r="V1902" s="562"/>
      <c r="W1902" s="562"/>
      <c r="X1902" s="562"/>
      <c r="Y1902" s="562"/>
    </row>
    <row r="1903" spans="16:25" s="560" customFormat="1">
      <c r="P1903" s="561"/>
      <c r="Q1903" s="562"/>
      <c r="R1903" s="562">
        <f>COUNT(R1774:R1902)</f>
        <v>122</v>
      </c>
      <c r="S1903" s="562"/>
      <c r="T1903" s="562"/>
      <c r="U1903" s="562"/>
      <c r="V1903" s="562"/>
      <c r="W1903" s="562"/>
      <c r="X1903" s="562"/>
      <c r="Y1903" s="562"/>
    </row>
    <row r="1904" spans="16:25" s="560" customFormat="1">
      <c r="P1904" s="567">
        <v>41173</v>
      </c>
      <c r="Q1904" s="568" t="s">
        <v>725</v>
      </c>
      <c r="R1904" s="568"/>
      <c r="S1904" s="568" t="s">
        <v>726</v>
      </c>
      <c r="T1904" s="569" t="s">
        <v>727</v>
      </c>
      <c r="U1904" s="569" t="s">
        <v>728</v>
      </c>
      <c r="V1904" s="569" t="s">
        <v>729</v>
      </c>
      <c r="W1904" s="569" t="s">
        <v>730</v>
      </c>
      <c r="X1904" s="569" t="s">
        <v>731</v>
      </c>
      <c r="Y1904" s="568"/>
    </row>
    <row r="1905" spans="16:30" s="560" customFormat="1">
      <c r="P1905" s="561"/>
      <c r="Q1905" s="568"/>
      <c r="R1905" s="568"/>
      <c r="S1905" s="568"/>
      <c r="T1905" s="577" t="s">
        <v>1244</v>
      </c>
      <c r="U1905" s="577" t="s">
        <v>1245</v>
      </c>
      <c r="V1905" s="577"/>
      <c r="W1905" s="577"/>
      <c r="X1905" s="569">
        <v>2883</v>
      </c>
      <c r="Y1905" s="578" t="s">
        <v>1246</v>
      </c>
      <c r="Z1905" s="562"/>
      <c r="AA1905" s="562"/>
      <c r="AB1905" s="562"/>
      <c r="AC1905" s="562"/>
      <c r="AD1905" s="563"/>
    </row>
    <row r="1906" spans="16:30" s="560" customFormat="1">
      <c r="P1906" s="561" t="s">
        <v>617</v>
      </c>
      <c r="Q1906" s="583" t="s">
        <v>1247</v>
      </c>
      <c r="R1906" s="578"/>
      <c r="S1906" s="569"/>
      <c r="T1906" s="568"/>
      <c r="U1906" s="568"/>
      <c r="V1906" s="569"/>
      <c r="W1906" s="569"/>
      <c r="X1906" s="569"/>
      <c r="Y1906" s="569"/>
      <c r="Z1906" s="562"/>
      <c r="AA1906" s="562"/>
      <c r="AB1906" s="562"/>
      <c r="AC1906" s="562"/>
      <c r="AD1906" s="563"/>
    </row>
    <row r="1907" spans="16:30" s="560" customFormat="1">
      <c r="P1907" s="587"/>
      <c r="Q1907" s="588" t="s">
        <v>755</v>
      </c>
      <c r="R1907" s="588" t="s">
        <v>756</v>
      </c>
      <c r="S1907" s="588" t="s">
        <v>757</v>
      </c>
      <c r="T1907" s="588" t="s">
        <v>758</v>
      </c>
      <c r="U1907" s="588" t="s">
        <v>759</v>
      </c>
      <c r="V1907" s="588" t="s">
        <v>760</v>
      </c>
      <c r="W1907" s="588" t="s">
        <v>761</v>
      </c>
      <c r="X1907" s="588" t="s">
        <v>762</v>
      </c>
      <c r="Y1907" s="588" t="s">
        <v>763</v>
      </c>
      <c r="Z1907" s="562"/>
      <c r="AA1907" s="562"/>
      <c r="AB1907" s="562"/>
      <c r="AC1907" s="588" t="s">
        <v>764</v>
      </c>
      <c r="AD1907" s="589"/>
    </row>
    <row r="1908" spans="16:30" s="560" customFormat="1">
      <c r="P1908" s="561"/>
      <c r="Q1908" s="562" t="s">
        <v>775</v>
      </c>
      <c r="R1908" s="562"/>
      <c r="S1908" s="562"/>
      <c r="T1908" s="562"/>
      <c r="U1908" s="562"/>
      <c r="V1908" s="562"/>
      <c r="W1908" s="562"/>
      <c r="X1908" s="584"/>
      <c r="Y1908" s="562"/>
      <c r="Z1908" s="562"/>
      <c r="AA1908" s="562"/>
      <c r="AB1908" s="562"/>
      <c r="AC1908" s="577"/>
      <c r="AD1908" s="589"/>
    </row>
    <row r="1909" spans="16:30" s="560" customFormat="1">
      <c r="P1909" s="561"/>
      <c r="Q1909" s="568"/>
      <c r="R1909" s="562">
        <v>0.45</v>
      </c>
      <c r="S1909" s="568"/>
      <c r="T1909" s="562"/>
      <c r="U1909" s="562"/>
      <c r="V1909" s="562"/>
      <c r="W1909" s="562"/>
      <c r="X1909" s="609"/>
      <c r="Y1909" s="562"/>
      <c r="Z1909" s="562"/>
      <c r="AA1909" s="562"/>
      <c r="AB1909" s="562"/>
      <c r="AC1909" s="607" t="s">
        <v>780</v>
      </c>
      <c r="AD1909" s="608" t="s">
        <v>616</v>
      </c>
    </row>
    <row r="1910" spans="16:30" s="560" customFormat="1">
      <c r="P1910" s="561"/>
      <c r="Q1910" s="568"/>
      <c r="R1910" s="562">
        <v>0.55000000000000004</v>
      </c>
      <c r="S1910" s="562"/>
      <c r="T1910" s="562"/>
      <c r="U1910" s="562"/>
      <c r="V1910" s="562"/>
      <c r="W1910" s="562"/>
      <c r="X1910" s="584"/>
      <c r="Y1910" s="562"/>
      <c r="Z1910" s="562"/>
      <c r="AA1910" s="562"/>
      <c r="AB1910" s="562"/>
      <c r="AC1910" s="607" t="s">
        <v>785</v>
      </c>
      <c r="AD1910" s="608" t="s">
        <v>542</v>
      </c>
    </row>
    <row r="1911" spans="16:30" s="560" customFormat="1">
      <c r="P1911" s="561"/>
      <c r="Q1911" s="568"/>
      <c r="R1911" s="562">
        <v>0.55000000000000004</v>
      </c>
      <c r="S1911" s="562"/>
      <c r="T1911" s="562"/>
      <c r="U1911" s="562"/>
      <c r="V1911" s="562"/>
      <c r="W1911" s="562"/>
      <c r="X1911" s="584"/>
      <c r="Y1911" s="562"/>
      <c r="Z1911" s="562"/>
      <c r="AA1911" s="562"/>
      <c r="AB1911" s="562"/>
      <c r="AC1911" s="607" t="s">
        <v>789</v>
      </c>
      <c r="AD1911" s="608" t="s">
        <v>790</v>
      </c>
    </row>
    <row r="1912" spans="16:30" s="560" customFormat="1">
      <c r="P1912" s="561"/>
      <c r="Q1912" s="568"/>
      <c r="R1912" s="562">
        <v>0.55000000000000004</v>
      </c>
      <c r="S1912" s="562"/>
      <c r="T1912" s="562"/>
      <c r="U1912" s="562"/>
      <c r="V1912" s="562"/>
      <c r="W1912" s="562"/>
      <c r="X1912" s="584"/>
      <c r="Y1912" s="562"/>
      <c r="Z1912" s="562"/>
      <c r="AA1912" s="562"/>
      <c r="AB1912" s="562"/>
      <c r="AC1912" s="607" t="s">
        <v>791</v>
      </c>
      <c r="AD1912" s="608" t="s">
        <v>792</v>
      </c>
    </row>
    <row r="1913" spans="16:30" s="560" customFormat="1">
      <c r="P1913" s="561"/>
      <c r="Q1913" s="568"/>
      <c r="R1913" s="562">
        <v>0.65</v>
      </c>
      <c r="S1913" s="562"/>
      <c r="T1913" s="562"/>
      <c r="U1913" s="562"/>
      <c r="V1913" s="562"/>
      <c r="W1913" s="562"/>
      <c r="X1913" s="577"/>
      <c r="Y1913" s="562"/>
      <c r="Z1913" s="562"/>
      <c r="AA1913" s="562"/>
      <c r="AB1913" s="562"/>
      <c r="AC1913" s="607" t="s">
        <v>794</v>
      </c>
      <c r="AD1913" s="608" t="s">
        <v>795</v>
      </c>
    </row>
    <row r="1914" spans="16:30" s="560" customFormat="1">
      <c r="P1914" s="561"/>
      <c r="Q1914" s="568"/>
      <c r="R1914" s="562">
        <v>0.55000000000000004</v>
      </c>
      <c r="S1914" s="562"/>
      <c r="T1914" s="562"/>
      <c r="U1914" s="562"/>
      <c r="V1914" s="562"/>
      <c r="W1914" s="562"/>
      <c r="X1914" s="577"/>
      <c r="Y1914" s="562"/>
      <c r="Z1914" s="562"/>
      <c r="AA1914" s="562"/>
      <c r="AB1914" s="562"/>
      <c r="AC1914" s="607" t="s">
        <v>798</v>
      </c>
      <c r="AD1914" s="608" t="s">
        <v>546</v>
      </c>
    </row>
    <row r="1915" spans="16:30" s="560" customFormat="1">
      <c r="P1915" s="561"/>
      <c r="Q1915" s="562"/>
      <c r="R1915" s="562">
        <v>0.5</v>
      </c>
      <c r="S1915" s="562"/>
      <c r="T1915" s="562"/>
      <c r="U1915" s="562"/>
      <c r="V1915" s="562"/>
      <c r="W1915" s="562"/>
      <c r="X1915" s="577"/>
      <c r="Y1915" s="562"/>
      <c r="Z1915" s="562"/>
      <c r="AA1915" s="562"/>
      <c r="AB1915" s="562"/>
      <c r="AC1915" s="607" t="s">
        <v>800</v>
      </c>
      <c r="AD1915" s="608" t="s">
        <v>801</v>
      </c>
    </row>
    <row r="1916" spans="16:30" s="560" customFormat="1">
      <c r="P1916" s="561"/>
      <c r="Q1916" s="562"/>
      <c r="R1916" s="562">
        <v>0.6</v>
      </c>
      <c r="S1916" s="562"/>
      <c r="T1916" s="562"/>
      <c r="U1916" s="562"/>
      <c r="V1916" s="562"/>
      <c r="W1916" s="562"/>
      <c r="X1916" s="577"/>
      <c r="Y1916" s="562"/>
      <c r="Z1916" s="562"/>
      <c r="AA1916" s="562"/>
      <c r="AB1916" s="562"/>
      <c r="AC1916" s="607" t="s">
        <v>804</v>
      </c>
      <c r="AD1916" s="608" t="s">
        <v>805</v>
      </c>
    </row>
    <row r="1917" spans="16:30" s="560" customFormat="1">
      <c r="P1917" s="561"/>
      <c r="Q1917" s="562"/>
      <c r="R1917" s="562">
        <v>0.6</v>
      </c>
      <c r="S1917" s="562"/>
      <c r="T1917" s="562"/>
      <c r="U1917" s="562"/>
      <c r="V1917" s="562"/>
      <c r="W1917" s="562"/>
      <c r="X1917" s="577"/>
      <c r="Y1917" s="562"/>
      <c r="Z1917" s="562"/>
      <c r="AA1917" s="562"/>
      <c r="AB1917" s="562"/>
      <c r="AC1917" s="607" t="s">
        <v>807</v>
      </c>
      <c r="AD1917" s="608" t="s">
        <v>808</v>
      </c>
    </row>
    <row r="1918" spans="16:30" s="560" customFormat="1">
      <c r="P1918" s="561"/>
      <c r="Q1918" s="562"/>
      <c r="R1918" s="562">
        <v>0.5</v>
      </c>
      <c r="S1918" s="562"/>
      <c r="T1918" s="562"/>
      <c r="U1918" s="562"/>
      <c r="V1918" s="562"/>
      <c r="W1918" s="562"/>
      <c r="X1918" s="577"/>
      <c r="Y1918" s="562"/>
      <c r="Z1918" s="562"/>
      <c r="AA1918" s="562"/>
      <c r="AB1918" s="562"/>
      <c r="AC1918" s="607" t="s">
        <v>810</v>
      </c>
      <c r="AD1918" s="608" t="s">
        <v>550</v>
      </c>
    </row>
    <row r="1919" spans="16:30" s="560" customFormat="1">
      <c r="P1919" s="561"/>
      <c r="Q1919" s="562"/>
      <c r="R1919" s="562">
        <v>0.55000000000000004</v>
      </c>
      <c r="S1919" s="562"/>
      <c r="T1919" s="562"/>
      <c r="U1919" s="562"/>
      <c r="V1919" s="562"/>
      <c r="W1919" s="562"/>
      <c r="X1919" s="577"/>
      <c r="Y1919" s="562"/>
      <c r="Z1919" s="562"/>
      <c r="AA1919" s="562"/>
      <c r="AB1919" s="562"/>
      <c r="AC1919" s="607" t="s">
        <v>813</v>
      </c>
      <c r="AD1919" s="608" t="s">
        <v>552</v>
      </c>
    </row>
    <row r="1920" spans="16:30" s="560" customFormat="1">
      <c r="P1920" s="561"/>
      <c r="Q1920" s="562"/>
      <c r="R1920" s="562">
        <v>0.7</v>
      </c>
      <c r="S1920" s="562"/>
      <c r="T1920" s="562"/>
      <c r="U1920" s="562"/>
      <c r="V1920" s="562"/>
      <c r="W1920" s="562"/>
      <c r="X1920" s="577"/>
      <c r="Y1920" s="562"/>
      <c r="Z1920" s="562"/>
      <c r="AA1920" s="562"/>
      <c r="AB1920" s="562"/>
      <c r="AC1920" s="607" t="s">
        <v>815</v>
      </c>
      <c r="AD1920" s="608" t="s">
        <v>816</v>
      </c>
    </row>
    <row r="1921" spans="17:18" s="560" customFormat="1">
      <c r="Q1921" s="562"/>
      <c r="R1921" s="562">
        <v>0.55000000000000004</v>
      </c>
    </row>
    <row r="1922" spans="17:18" s="560" customFormat="1">
      <c r="Q1922" s="562"/>
      <c r="R1922" s="562" t="s">
        <v>115</v>
      </c>
    </row>
    <row r="1923" spans="17:18" s="560" customFormat="1">
      <c r="Q1923" s="562"/>
      <c r="R1923" s="562">
        <v>0.6</v>
      </c>
    </row>
    <row r="1924" spans="17:18" s="560" customFormat="1">
      <c r="Q1924" s="562"/>
      <c r="R1924" s="562">
        <v>0.55000000000000004</v>
      </c>
    </row>
    <row r="1925" spans="17:18" s="560" customFormat="1">
      <c r="Q1925" s="562"/>
      <c r="R1925" s="562">
        <v>0.5</v>
      </c>
    </row>
    <row r="1926" spans="17:18" s="560" customFormat="1">
      <c r="Q1926" s="562"/>
      <c r="R1926" s="562">
        <v>0.6</v>
      </c>
    </row>
    <row r="1927" spans="17:18" s="560" customFormat="1">
      <c r="Q1927" s="562"/>
      <c r="R1927" s="562">
        <v>0.55000000000000004</v>
      </c>
    </row>
    <row r="1928" spans="17:18" s="560" customFormat="1">
      <c r="Q1928" s="562"/>
      <c r="R1928" s="562">
        <v>0.52</v>
      </c>
    </row>
    <row r="1929" spans="17:18" s="560" customFormat="1">
      <c r="Q1929" s="562" t="s">
        <v>821</v>
      </c>
      <c r="R1929" s="562"/>
    </row>
    <row r="1930" spans="17:18" s="560" customFormat="1">
      <c r="Q1930" s="562"/>
      <c r="R1930" s="562">
        <v>0.5</v>
      </c>
    </row>
    <row r="1931" spans="17:18" s="560" customFormat="1">
      <c r="Q1931" s="562"/>
      <c r="R1931" s="562">
        <v>0.5</v>
      </c>
    </row>
    <row r="1932" spans="17:18" s="560" customFormat="1">
      <c r="Q1932" s="562"/>
      <c r="R1932" s="562">
        <v>0.3</v>
      </c>
    </row>
    <row r="1933" spans="17:18" s="560" customFormat="1">
      <c r="Q1933" s="562"/>
      <c r="R1933" s="562">
        <v>0.5</v>
      </c>
    </row>
    <row r="1934" spans="17:18" s="560" customFormat="1">
      <c r="Q1934" s="562"/>
      <c r="R1934" s="562">
        <v>0.65</v>
      </c>
    </row>
    <row r="1935" spans="17:18" s="560" customFormat="1">
      <c r="Q1935" s="562"/>
      <c r="R1935" s="562">
        <v>0.6</v>
      </c>
    </row>
    <row r="1936" spans="17:18" s="560" customFormat="1">
      <c r="Q1936" s="562"/>
      <c r="R1936" s="562">
        <v>0.55000000000000004</v>
      </c>
    </row>
    <row r="1937" spans="17:18" s="560" customFormat="1">
      <c r="Q1937" s="562"/>
      <c r="R1937" s="562">
        <v>0.6</v>
      </c>
    </row>
    <row r="1938" spans="17:18" s="560" customFormat="1">
      <c r="Q1938" s="562"/>
      <c r="R1938" s="562">
        <v>0.65</v>
      </c>
    </row>
    <row r="1939" spans="17:18" s="560" customFormat="1">
      <c r="Q1939" s="562"/>
      <c r="R1939" s="562">
        <v>0.6</v>
      </c>
    </row>
    <row r="1940" spans="17:18" s="560" customFormat="1">
      <c r="Q1940" s="562"/>
      <c r="R1940" s="562">
        <v>0.65</v>
      </c>
    </row>
    <row r="1941" spans="17:18" s="560" customFormat="1">
      <c r="Q1941" s="562"/>
      <c r="R1941" s="562">
        <v>0.65</v>
      </c>
    </row>
    <row r="1942" spans="17:18" s="560" customFormat="1">
      <c r="Q1942" s="562"/>
      <c r="R1942" s="562">
        <v>0.55000000000000004</v>
      </c>
    </row>
    <row r="1943" spans="17:18" s="560" customFormat="1">
      <c r="Q1943" s="562"/>
      <c r="R1943" s="562">
        <v>0.56000000000000005</v>
      </c>
    </row>
    <row r="1944" spans="17:18" s="560" customFormat="1">
      <c r="Q1944" s="562"/>
      <c r="R1944" s="562">
        <v>0.5</v>
      </c>
    </row>
    <row r="1945" spans="17:18" s="560" customFormat="1">
      <c r="Q1945" s="562"/>
      <c r="R1945" s="562">
        <v>0.55000000000000004</v>
      </c>
    </row>
    <row r="1946" spans="17:18" s="560" customFormat="1">
      <c r="Q1946" s="562"/>
      <c r="R1946" s="562">
        <v>0.55000000000000004</v>
      </c>
    </row>
    <row r="1947" spans="17:18" s="560" customFormat="1">
      <c r="Q1947" s="562"/>
      <c r="R1947" s="562">
        <v>0.6</v>
      </c>
    </row>
    <row r="1948" spans="17:18" s="560" customFormat="1">
      <c r="Q1948" s="562"/>
      <c r="R1948" s="562">
        <v>0.55000000000000004</v>
      </c>
    </row>
    <row r="1949" spans="17:18" s="560" customFormat="1">
      <c r="Q1949" s="562"/>
      <c r="R1949" s="562">
        <v>0.6</v>
      </c>
    </row>
    <row r="1950" spans="17:18" s="560" customFormat="1">
      <c r="Q1950" s="562"/>
      <c r="R1950" s="562">
        <v>0.65</v>
      </c>
    </row>
    <row r="1951" spans="17:18" s="560" customFormat="1">
      <c r="Q1951" s="562" t="s">
        <v>799</v>
      </c>
      <c r="R1951" s="562"/>
    </row>
    <row r="1952" spans="17:18" s="560" customFormat="1">
      <c r="Q1952" s="562"/>
      <c r="R1952" s="562">
        <v>0.6</v>
      </c>
    </row>
    <row r="1953" spans="16:25" s="560" customFormat="1">
      <c r="P1953" s="561"/>
      <c r="Q1953" s="562"/>
      <c r="R1953" s="562">
        <v>0.65</v>
      </c>
      <c r="S1953" s="562"/>
      <c r="T1953" s="562"/>
      <c r="U1953" s="562"/>
      <c r="V1953" s="562"/>
      <c r="W1953" s="562"/>
      <c r="X1953" s="562"/>
      <c r="Y1953" s="562"/>
    </row>
    <row r="1954" spans="16:25" s="560" customFormat="1">
      <c r="P1954" s="561"/>
      <c r="Q1954" s="562"/>
      <c r="R1954" s="562">
        <v>0.44</v>
      </c>
      <c r="S1954" s="562"/>
      <c r="T1954" s="562"/>
      <c r="U1954" s="562"/>
      <c r="V1954" s="562"/>
      <c r="W1954" s="562"/>
      <c r="X1954" s="562"/>
      <c r="Y1954" s="562"/>
    </row>
    <row r="1955" spans="16:25" s="560" customFormat="1">
      <c r="P1955" s="561"/>
      <c r="Q1955" s="562"/>
      <c r="R1955" s="562">
        <v>0.65</v>
      </c>
      <c r="S1955" s="562"/>
      <c r="T1955" s="562"/>
      <c r="U1955" s="562"/>
      <c r="V1955" s="562"/>
      <c r="W1955" s="562"/>
      <c r="X1955" s="562"/>
      <c r="Y1955" s="562"/>
    </row>
    <row r="1956" spans="16:25" s="560" customFormat="1">
      <c r="P1956" s="561"/>
      <c r="Q1956" s="562"/>
      <c r="R1956" s="562">
        <v>0.6</v>
      </c>
      <c r="S1956" s="562"/>
      <c r="T1956" s="562"/>
      <c r="U1956" s="562"/>
      <c r="V1956" s="562"/>
      <c r="W1956" s="562"/>
      <c r="X1956" s="562"/>
      <c r="Y1956" s="562"/>
    </row>
    <row r="1957" spans="16:25" s="560" customFormat="1">
      <c r="P1957" s="561"/>
      <c r="Q1957" s="562"/>
      <c r="R1957" s="562">
        <v>0.65</v>
      </c>
      <c r="S1957" s="562"/>
      <c r="T1957" s="562"/>
      <c r="U1957" s="562"/>
      <c r="V1957" s="562"/>
      <c r="W1957" s="562"/>
      <c r="X1957" s="562"/>
      <c r="Y1957" s="562"/>
    </row>
    <row r="1958" spans="16:25" s="560" customFormat="1">
      <c r="P1958" s="561"/>
      <c r="Q1958" s="562"/>
      <c r="R1958" s="562">
        <v>0.6</v>
      </c>
      <c r="S1958" s="562"/>
      <c r="T1958" s="562"/>
      <c r="U1958" s="562"/>
      <c r="V1958" s="562"/>
      <c r="W1958" s="562"/>
      <c r="X1958" s="562"/>
      <c r="Y1958" s="562"/>
    </row>
    <row r="1959" spans="16:25" s="560" customFormat="1">
      <c r="P1959" s="561"/>
      <c r="Q1959" s="562"/>
      <c r="R1959" s="562">
        <v>0.6</v>
      </c>
      <c r="S1959" s="562"/>
      <c r="T1959" s="562"/>
      <c r="U1959" s="562"/>
      <c r="V1959" s="562"/>
      <c r="W1959" s="562"/>
      <c r="X1959" s="562"/>
      <c r="Y1959" s="562"/>
    </row>
    <row r="1960" spans="16:25" s="560" customFormat="1">
      <c r="P1960" s="561"/>
      <c r="Q1960" s="562"/>
      <c r="R1960" s="562">
        <v>0.6</v>
      </c>
      <c r="S1960" s="562"/>
      <c r="T1960" s="562"/>
      <c r="U1960" s="562"/>
      <c r="V1960" s="562"/>
      <c r="W1960" s="562"/>
      <c r="X1960" s="562"/>
      <c r="Y1960" s="562"/>
    </row>
    <row r="1961" spans="16:25" s="560" customFormat="1">
      <c r="P1961" s="561"/>
      <c r="Q1961" s="562"/>
      <c r="R1961" s="562">
        <v>0.4</v>
      </c>
      <c r="S1961" s="562"/>
      <c r="T1961" s="562"/>
      <c r="U1961" s="562"/>
      <c r="V1961" s="562"/>
      <c r="W1961" s="562"/>
      <c r="X1961" s="562"/>
      <c r="Y1961" s="562"/>
    </row>
    <row r="1962" spans="16:25" s="560" customFormat="1">
      <c r="P1962" s="561"/>
      <c r="Q1962" s="562"/>
      <c r="R1962" s="562">
        <v>0.4</v>
      </c>
      <c r="S1962" s="562"/>
      <c r="T1962" s="562"/>
      <c r="U1962" s="562"/>
      <c r="V1962" s="562"/>
      <c r="W1962" s="562"/>
      <c r="X1962" s="562"/>
      <c r="Y1962" s="562"/>
    </row>
    <row r="1963" spans="16:25" s="560" customFormat="1">
      <c r="P1963" s="561"/>
      <c r="Q1963" s="562"/>
      <c r="R1963" s="562">
        <v>0.4</v>
      </c>
      <c r="S1963" s="562"/>
      <c r="T1963" s="562"/>
      <c r="U1963" s="562"/>
      <c r="V1963" s="562"/>
      <c r="W1963" s="562"/>
      <c r="X1963" s="562"/>
      <c r="Y1963" s="562"/>
    </row>
    <row r="1964" spans="16:25" s="560" customFormat="1">
      <c r="P1964" s="561"/>
      <c r="Q1964" s="562"/>
      <c r="R1964" s="562">
        <v>0.4</v>
      </c>
      <c r="S1964" s="562"/>
      <c r="T1964" s="562"/>
      <c r="U1964" s="562"/>
      <c r="V1964" s="562"/>
      <c r="W1964" s="562"/>
      <c r="X1964" s="562"/>
      <c r="Y1964" s="562"/>
    </row>
    <row r="1965" spans="16:25" s="560" customFormat="1">
      <c r="P1965" s="561"/>
      <c r="Q1965" s="562"/>
      <c r="R1965" s="562">
        <v>0.15</v>
      </c>
      <c r="S1965" s="562"/>
      <c r="T1965" s="562"/>
      <c r="U1965" s="562"/>
      <c r="V1965" s="562"/>
      <c r="W1965" s="562"/>
      <c r="X1965" s="562"/>
      <c r="Y1965" s="562"/>
    </row>
    <row r="1966" spans="16:25" s="560" customFormat="1">
      <c r="P1966" s="561"/>
      <c r="Q1966" s="562"/>
      <c r="R1966" s="562">
        <v>0.15</v>
      </c>
      <c r="S1966" s="562"/>
      <c r="T1966" s="562"/>
      <c r="U1966" s="562"/>
      <c r="V1966" s="562"/>
      <c r="W1966" s="562"/>
      <c r="X1966" s="562"/>
      <c r="Y1966" s="562"/>
    </row>
    <row r="1967" spans="16:25" s="560" customFormat="1">
      <c r="P1967" s="561"/>
      <c r="Q1967" s="562"/>
      <c r="R1967" s="562">
        <f>COUNT(R1909:R1966)</f>
        <v>55</v>
      </c>
      <c r="S1967" s="562"/>
      <c r="T1967" s="562"/>
      <c r="U1967" s="562"/>
      <c r="V1967" s="562"/>
      <c r="W1967" s="562"/>
      <c r="X1967" s="562"/>
      <c r="Y1967" s="562"/>
    </row>
    <row r="1968" spans="16:25" s="560" customFormat="1">
      <c r="P1968" s="567">
        <v>41173</v>
      </c>
      <c r="Q1968" s="568" t="s">
        <v>725</v>
      </c>
      <c r="R1968" s="568"/>
      <c r="S1968" s="568" t="s">
        <v>726</v>
      </c>
      <c r="T1968" s="569" t="s">
        <v>727</v>
      </c>
      <c r="U1968" s="569" t="s">
        <v>728</v>
      </c>
      <c r="V1968" s="569" t="s">
        <v>729</v>
      </c>
      <c r="W1968" s="569" t="s">
        <v>730</v>
      </c>
      <c r="X1968" s="569" t="s">
        <v>731</v>
      </c>
      <c r="Y1968" s="568"/>
    </row>
    <row r="1969" spans="16:30" s="560" customFormat="1">
      <c r="P1969" s="561"/>
      <c r="Q1969" s="568"/>
      <c r="R1969" s="568"/>
      <c r="S1969" s="568"/>
      <c r="T1969" s="577" t="s">
        <v>1248</v>
      </c>
      <c r="U1969" s="577" t="s">
        <v>1249</v>
      </c>
      <c r="V1969" s="577"/>
      <c r="W1969" s="577"/>
      <c r="X1969" s="577" t="s">
        <v>1250</v>
      </c>
      <c r="Y1969" s="578" t="s">
        <v>1251</v>
      </c>
      <c r="Z1969" s="562"/>
      <c r="AA1969" s="562"/>
      <c r="AB1969" s="562"/>
      <c r="AC1969" s="562"/>
      <c r="AD1969" s="563"/>
    </row>
    <row r="1970" spans="16:30" s="560" customFormat="1">
      <c r="P1970" s="561" t="s">
        <v>619</v>
      </c>
      <c r="Q1970" s="583" t="s">
        <v>1252</v>
      </c>
      <c r="R1970" s="578"/>
      <c r="S1970" s="569"/>
      <c r="T1970" s="568"/>
      <c r="U1970" s="568"/>
      <c r="V1970" s="569"/>
      <c r="W1970" s="569"/>
      <c r="X1970" s="569"/>
      <c r="Y1970" s="569"/>
      <c r="Z1970" s="562"/>
      <c r="AA1970" s="562"/>
      <c r="AB1970" s="562"/>
      <c r="AC1970" s="562"/>
      <c r="AD1970" s="563"/>
    </row>
    <row r="1971" spans="16:30" s="560" customFormat="1">
      <c r="P1971" s="587"/>
      <c r="Q1971" s="588" t="s">
        <v>755</v>
      </c>
      <c r="R1971" s="588" t="s">
        <v>756</v>
      </c>
      <c r="S1971" s="588" t="s">
        <v>757</v>
      </c>
      <c r="T1971" s="588" t="s">
        <v>758</v>
      </c>
      <c r="U1971" s="588" t="s">
        <v>759</v>
      </c>
      <c r="V1971" s="588" t="s">
        <v>760</v>
      </c>
      <c r="W1971" s="588" t="s">
        <v>761</v>
      </c>
      <c r="X1971" s="588" t="s">
        <v>762</v>
      </c>
      <c r="Y1971" s="588" t="s">
        <v>763</v>
      </c>
      <c r="Z1971" s="562"/>
      <c r="AA1971" s="562"/>
      <c r="AB1971" s="562"/>
      <c r="AC1971" s="588" t="s">
        <v>764</v>
      </c>
      <c r="AD1971" s="589"/>
    </row>
    <row r="1972" spans="16:30" s="560" customFormat="1">
      <c r="P1972" s="561"/>
      <c r="Q1972" s="562" t="s">
        <v>775</v>
      </c>
      <c r="R1972" s="562"/>
      <c r="S1972" s="562"/>
      <c r="T1972" s="562"/>
      <c r="U1972" s="562"/>
      <c r="V1972" s="562"/>
      <c r="W1972" s="562"/>
      <c r="X1972" s="584"/>
      <c r="Y1972" s="562"/>
      <c r="Z1972" s="562"/>
      <c r="AA1972" s="562"/>
      <c r="AB1972" s="562"/>
      <c r="AC1972" s="577"/>
      <c r="AD1972" s="589"/>
    </row>
    <row r="1973" spans="16:30" s="560" customFormat="1">
      <c r="P1973" s="561"/>
      <c r="Q1973" s="568"/>
      <c r="R1973" s="562">
        <v>0.36</v>
      </c>
      <c r="S1973" s="562"/>
      <c r="T1973" s="562"/>
      <c r="U1973" s="562"/>
      <c r="V1973" s="562"/>
      <c r="W1973" s="562"/>
      <c r="X1973" s="609"/>
      <c r="Y1973" s="562"/>
      <c r="Z1973" s="562"/>
      <c r="AA1973" s="562"/>
      <c r="AB1973" s="562"/>
      <c r="AC1973" s="607" t="s">
        <v>780</v>
      </c>
      <c r="AD1973" s="608" t="s">
        <v>616</v>
      </c>
    </row>
    <row r="1974" spans="16:30" s="560" customFormat="1">
      <c r="P1974" s="561"/>
      <c r="Q1974" s="568"/>
      <c r="R1974" s="562">
        <v>0.4</v>
      </c>
      <c r="S1974" s="562"/>
      <c r="T1974" s="562"/>
      <c r="U1974" s="562"/>
      <c r="V1974" s="562"/>
      <c r="W1974" s="562"/>
      <c r="X1974" s="584"/>
      <c r="Y1974" s="562"/>
      <c r="Z1974" s="562"/>
      <c r="AA1974" s="562"/>
      <c r="AB1974" s="562"/>
      <c r="AC1974" s="607" t="s">
        <v>785</v>
      </c>
      <c r="AD1974" s="608" t="s">
        <v>542</v>
      </c>
    </row>
    <row r="1975" spans="16:30" s="560" customFormat="1">
      <c r="P1975" s="561"/>
      <c r="Q1975" s="568"/>
      <c r="R1975" s="562">
        <v>0.26</v>
      </c>
      <c r="S1975" s="562"/>
      <c r="T1975" s="562"/>
      <c r="U1975" s="562"/>
      <c r="V1975" s="562"/>
      <c r="W1975" s="562"/>
      <c r="X1975" s="584"/>
      <c r="Y1975" s="562"/>
      <c r="Z1975" s="562"/>
      <c r="AA1975" s="562"/>
      <c r="AB1975" s="562"/>
      <c r="AC1975" s="607" t="s">
        <v>789</v>
      </c>
      <c r="AD1975" s="608" t="s">
        <v>790</v>
      </c>
    </row>
    <row r="1976" spans="16:30" s="560" customFormat="1">
      <c r="P1976" s="561"/>
      <c r="Q1976" s="568"/>
      <c r="R1976" s="562">
        <v>0.38</v>
      </c>
      <c r="S1976" s="562"/>
      <c r="T1976" s="562"/>
      <c r="U1976" s="562"/>
      <c r="V1976" s="562"/>
      <c r="W1976" s="562"/>
      <c r="X1976" s="584"/>
      <c r="Y1976" s="562"/>
      <c r="Z1976" s="562"/>
      <c r="AA1976" s="562"/>
      <c r="AB1976" s="562"/>
      <c r="AC1976" s="607" t="s">
        <v>791</v>
      </c>
      <c r="AD1976" s="608" t="s">
        <v>792</v>
      </c>
    </row>
    <row r="1977" spans="16:30" s="560" customFormat="1">
      <c r="P1977" s="561"/>
      <c r="Q1977" s="568"/>
      <c r="R1977" s="562">
        <v>0.4</v>
      </c>
      <c r="S1977" s="562"/>
      <c r="T1977" s="562"/>
      <c r="U1977" s="562"/>
      <c r="V1977" s="562"/>
      <c r="W1977" s="562"/>
      <c r="X1977" s="577"/>
      <c r="Y1977" s="562"/>
      <c r="Z1977" s="562"/>
      <c r="AA1977" s="562"/>
      <c r="AB1977" s="562"/>
      <c r="AC1977" s="607" t="s">
        <v>794</v>
      </c>
      <c r="AD1977" s="608" t="s">
        <v>795</v>
      </c>
    </row>
    <row r="1978" spans="16:30" s="560" customFormat="1">
      <c r="P1978" s="561"/>
      <c r="Q1978" s="568"/>
      <c r="R1978" s="562">
        <v>0.35</v>
      </c>
      <c r="S1978" s="562"/>
      <c r="T1978" s="562"/>
      <c r="U1978" s="562"/>
      <c r="V1978" s="562"/>
      <c r="W1978" s="562"/>
      <c r="X1978" s="577"/>
      <c r="Y1978" s="562"/>
      <c r="Z1978" s="562"/>
      <c r="AA1978" s="562"/>
      <c r="AB1978" s="562"/>
      <c r="AC1978" s="607" t="s">
        <v>798</v>
      </c>
      <c r="AD1978" s="608" t="s">
        <v>546</v>
      </c>
    </row>
    <row r="1979" spans="16:30" s="560" customFormat="1">
      <c r="P1979" s="561"/>
      <c r="Q1979" s="562"/>
      <c r="R1979" s="562">
        <v>0.4</v>
      </c>
      <c r="S1979" s="562"/>
      <c r="T1979" s="562"/>
      <c r="U1979" s="562"/>
      <c r="V1979" s="562"/>
      <c r="W1979" s="562"/>
      <c r="X1979" s="577"/>
      <c r="Y1979" s="562"/>
      <c r="Z1979" s="562"/>
      <c r="AA1979" s="562"/>
      <c r="AB1979" s="562"/>
      <c r="AC1979" s="607" t="s">
        <v>800</v>
      </c>
      <c r="AD1979" s="608" t="s">
        <v>801</v>
      </c>
    </row>
    <row r="1980" spans="16:30" s="560" customFormat="1">
      <c r="P1980" s="561"/>
      <c r="Q1980" s="562"/>
      <c r="R1980" s="562">
        <v>0.42</v>
      </c>
      <c r="S1980" s="562"/>
      <c r="T1980" s="562"/>
      <c r="U1980" s="562"/>
      <c r="V1980" s="562"/>
      <c r="W1980" s="562"/>
      <c r="X1980" s="577"/>
      <c r="Y1980" s="562"/>
      <c r="Z1980" s="562"/>
      <c r="AA1980" s="562"/>
      <c r="AB1980" s="562"/>
      <c r="AC1980" s="607" t="s">
        <v>804</v>
      </c>
      <c r="AD1980" s="608" t="s">
        <v>805</v>
      </c>
    </row>
    <row r="1981" spans="16:30" s="560" customFormat="1">
      <c r="P1981" s="561"/>
      <c r="Q1981" s="562"/>
      <c r="R1981" s="562">
        <v>0.4</v>
      </c>
      <c r="S1981" s="562"/>
      <c r="T1981" s="562"/>
      <c r="U1981" s="562"/>
      <c r="V1981" s="562"/>
      <c r="W1981" s="562"/>
      <c r="X1981" s="577"/>
      <c r="Y1981" s="562"/>
      <c r="Z1981" s="562"/>
      <c r="AA1981" s="562"/>
      <c r="AB1981" s="562"/>
      <c r="AC1981" s="607" t="s">
        <v>807</v>
      </c>
      <c r="AD1981" s="608" t="s">
        <v>808</v>
      </c>
    </row>
    <row r="1982" spans="16:30" s="560" customFormat="1">
      <c r="P1982" s="561"/>
      <c r="Q1982" s="562"/>
      <c r="R1982" s="562">
        <v>0.35</v>
      </c>
      <c r="S1982" s="562"/>
      <c r="T1982" s="562"/>
      <c r="U1982" s="562"/>
      <c r="V1982" s="562"/>
      <c r="W1982" s="562"/>
      <c r="X1982" s="577"/>
      <c r="Y1982" s="562"/>
      <c r="Z1982" s="562"/>
      <c r="AA1982" s="562"/>
      <c r="AB1982" s="562"/>
      <c r="AC1982" s="607" t="s">
        <v>810</v>
      </c>
      <c r="AD1982" s="608" t="s">
        <v>550</v>
      </c>
    </row>
    <row r="1983" spans="16:30" s="560" customFormat="1">
      <c r="P1983" s="561"/>
      <c r="Q1983" s="562"/>
      <c r="R1983" s="562">
        <v>0.4</v>
      </c>
      <c r="S1983" s="562"/>
      <c r="T1983" s="562"/>
      <c r="U1983" s="562"/>
      <c r="V1983" s="562"/>
      <c r="W1983" s="562"/>
      <c r="X1983" s="577"/>
      <c r="Y1983" s="562"/>
      <c r="Z1983" s="562"/>
      <c r="AA1983" s="562"/>
      <c r="AB1983" s="562"/>
      <c r="AC1983" s="607" t="s">
        <v>813</v>
      </c>
      <c r="AD1983" s="608" t="s">
        <v>552</v>
      </c>
    </row>
    <row r="1984" spans="16:30" s="560" customFormat="1">
      <c r="P1984" s="561"/>
      <c r="Q1984" s="562"/>
      <c r="R1984" s="562">
        <v>0.35</v>
      </c>
      <c r="S1984" s="562"/>
      <c r="T1984" s="562"/>
      <c r="U1984" s="562"/>
      <c r="V1984" s="562"/>
      <c r="W1984" s="562"/>
      <c r="X1984" s="577"/>
      <c r="Y1984" s="562"/>
      <c r="Z1984" s="562"/>
      <c r="AA1984" s="562"/>
      <c r="AB1984" s="562"/>
      <c r="AC1984" s="607" t="s">
        <v>815</v>
      </c>
      <c r="AD1984" s="608" t="s">
        <v>816</v>
      </c>
    </row>
    <row r="1985" spans="17:19" s="560" customFormat="1">
      <c r="Q1985" s="562"/>
      <c r="R1985" s="562">
        <v>0.36</v>
      </c>
      <c r="S1985" s="562"/>
    </row>
    <row r="1986" spans="17:19" s="560" customFormat="1">
      <c r="Q1986" s="562"/>
      <c r="R1986" s="562">
        <v>0.4</v>
      </c>
      <c r="S1986" s="562"/>
    </row>
    <row r="1987" spans="17:19" s="560" customFormat="1">
      <c r="Q1987" s="562"/>
      <c r="R1987" s="562">
        <v>0.4</v>
      </c>
      <c r="S1987" s="562"/>
    </row>
    <row r="1988" spans="17:19" s="560" customFormat="1">
      <c r="Q1988" s="562"/>
      <c r="R1988" s="562">
        <v>0.4</v>
      </c>
      <c r="S1988" s="562"/>
    </row>
    <row r="1989" spans="17:19" s="560" customFormat="1">
      <c r="Q1989" s="562"/>
      <c r="R1989" s="562">
        <v>0.4</v>
      </c>
      <c r="S1989" s="562"/>
    </row>
    <row r="1990" spans="17:19" s="560" customFormat="1">
      <c r="Q1990" s="562"/>
      <c r="R1990" s="562">
        <v>0.3</v>
      </c>
      <c r="S1990" s="562"/>
    </row>
    <row r="1991" spans="17:19" s="560" customFormat="1">
      <c r="Q1991" s="562" t="s">
        <v>821</v>
      </c>
      <c r="R1991" s="562"/>
      <c r="S1991" s="562"/>
    </row>
    <row r="1992" spans="17:19" s="560" customFormat="1">
      <c r="Q1992" s="562"/>
      <c r="R1992" s="562">
        <v>0.3</v>
      </c>
      <c r="S1992" s="568"/>
    </row>
    <row r="1993" spans="17:19" s="560" customFormat="1">
      <c r="Q1993" s="562"/>
      <c r="R1993" s="562">
        <v>0.7</v>
      </c>
      <c r="S1993" s="562"/>
    </row>
    <row r="1994" spans="17:19" s="560" customFormat="1">
      <c r="Q1994" s="562"/>
      <c r="R1994" s="562">
        <v>0.36</v>
      </c>
      <c r="S1994" s="562"/>
    </row>
    <row r="1995" spans="17:19" s="560" customFormat="1">
      <c r="Q1995" s="562"/>
      <c r="R1995" s="562">
        <v>0.33</v>
      </c>
      <c r="S1995" s="562"/>
    </row>
    <row r="1996" spans="17:19" s="560" customFormat="1">
      <c r="Q1996" s="562"/>
      <c r="R1996" s="562">
        <v>0.35</v>
      </c>
      <c r="S1996" s="562"/>
    </row>
    <row r="1997" spans="17:19" s="560" customFormat="1">
      <c r="Q1997" s="562"/>
      <c r="R1997" s="562">
        <v>0.35</v>
      </c>
      <c r="S1997" s="562"/>
    </row>
    <row r="1998" spans="17:19" s="560" customFormat="1">
      <c r="Q1998" s="562"/>
      <c r="R1998" s="562">
        <v>0.35</v>
      </c>
      <c r="S1998" s="562"/>
    </row>
    <row r="1999" spans="17:19" s="560" customFormat="1">
      <c r="Q1999" s="562"/>
      <c r="R1999" s="562">
        <v>0.4</v>
      </c>
      <c r="S1999" s="562"/>
    </row>
    <row r="2000" spans="17:19" s="560" customFormat="1">
      <c r="Q2000" s="562"/>
      <c r="R2000" s="562">
        <v>0.4</v>
      </c>
      <c r="S2000" s="562"/>
    </row>
    <row r="2001" spans="17:18" s="560" customFormat="1">
      <c r="Q2001" s="562"/>
      <c r="R2001" s="562">
        <v>0.4</v>
      </c>
    </row>
    <row r="2002" spans="17:18" s="560" customFormat="1">
      <c r="Q2002" s="562"/>
      <c r="R2002" s="562">
        <v>0.45</v>
      </c>
    </row>
    <row r="2003" spans="17:18" s="560" customFormat="1">
      <c r="Q2003" s="562"/>
      <c r="R2003" s="562">
        <v>0.38</v>
      </c>
    </row>
    <row r="2004" spans="17:18" s="560" customFormat="1">
      <c r="Q2004" s="562"/>
      <c r="R2004" s="562">
        <v>0.4</v>
      </c>
    </row>
    <row r="2005" spans="17:18" s="560" customFormat="1">
      <c r="Q2005" s="562"/>
      <c r="R2005" s="562">
        <v>0.4</v>
      </c>
    </row>
    <row r="2006" spans="17:18" s="560" customFormat="1">
      <c r="Q2006" s="562"/>
      <c r="R2006" s="562">
        <v>0.41</v>
      </c>
    </row>
    <row r="2007" spans="17:18" s="560" customFormat="1">
      <c r="Q2007" s="562" t="s">
        <v>799</v>
      </c>
      <c r="R2007" s="562"/>
    </row>
    <row r="2008" spans="17:18" s="560" customFormat="1">
      <c r="Q2008" s="562"/>
      <c r="R2008" s="562">
        <v>0.38</v>
      </c>
    </row>
    <row r="2009" spans="17:18" s="560" customFormat="1">
      <c r="Q2009" s="562"/>
      <c r="R2009" s="562">
        <v>0.4</v>
      </c>
    </row>
    <row r="2010" spans="17:18" s="560" customFormat="1">
      <c r="Q2010" s="562"/>
      <c r="R2010" s="562">
        <v>0.4</v>
      </c>
    </row>
    <row r="2011" spans="17:18" s="560" customFormat="1">
      <c r="Q2011" s="562"/>
      <c r="R2011" s="562">
        <v>0.32</v>
      </c>
    </row>
    <row r="2012" spans="17:18" s="560" customFormat="1">
      <c r="Q2012" s="562"/>
      <c r="R2012" s="562">
        <v>0.35</v>
      </c>
    </row>
    <row r="2013" spans="17:18" s="560" customFormat="1">
      <c r="Q2013" s="562"/>
      <c r="R2013" s="562">
        <v>0.39</v>
      </c>
    </row>
    <row r="2014" spans="17:18" s="560" customFormat="1">
      <c r="Q2014" s="562"/>
      <c r="R2014" s="562">
        <v>0.4</v>
      </c>
    </row>
    <row r="2015" spans="17:18" s="560" customFormat="1">
      <c r="Q2015" s="562"/>
      <c r="R2015" s="562">
        <v>0.4</v>
      </c>
    </row>
    <row r="2016" spans="17:18" s="560" customFormat="1">
      <c r="Q2016" s="562"/>
      <c r="R2016" s="562">
        <v>0.4</v>
      </c>
    </row>
    <row r="2017" spans="17:18" s="560" customFormat="1">
      <c r="Q2017" s="562"/>
      <c r="R2017" s="562">
        <v>0.4</v>
      </c>
    </row>
    <row r="2018" spans="17:18" s="560" customFormat="1">
      <c r="Q2018" s="562"/>
      <c r="R2018" s="562">
        <v>0.38</v>
      </c>
    </row>
    <row r="2019" spans="17:18" s="560" customFormat="1">
      <c r="Q2019" s="562"/>
      <c r="R2019" s="562">
        <v>0.35</v>
      </c>
    </row>
    <row r="2020" spans="17:18" s="560" customFormat="1">
      <c r="Q2020" s="562"/>
      <c r="R2020" s="562">
        <v>0.35</v>
      </c>
    </row>
    <row r="2021" spans="17:18" s="560" customFormat="1">
      <c r="Q2021" s="562"/>
      <c r="R2021" s="562">
        <v>0.3</v>
      </c>
    </row>
    <row r="2022" spans="17:18" s="560" customFormat="1">
      <c r="Q2022" s="562"/>
      <c r="R2022" s="562">
        <v>0.3</v>
      </c>
    </row>
    <row r="2023" spans="17:18" s="560" customFormat="1">
      <c r="Q2023" s="562"/>
      <c r="R2023" s="562">
        <f>+(R2022+R2024)/2</f>
        <v>0.35</v>
      </c>
    </row>
    <row r="2024" spans="17:18" s="560" customFormat="1">
      <c r="Q2024" s="562"/>
      <c r="R2024" s="562">
        <v>0.4</v>
      </c>
    </row>
    <row r="2025" spans="17:18" s="560" customFormat="1">
      <c r="Q2025" s="562" t="s">
        <v>1019</v>
      </c>
      <c r="R2025" s="562"/>
    </row>
    <row r="2026" spans="17:18" s="560" customFormat="1">
      <c r="Q2026" s="562"/>
      <c r="R2026" s="562">
        <v>0.4</v>
      </c>
    </row>
    <row r="2027" spans="17:18" s="560" customFormat="1">
      <c r="Q2027" s="562"/>
      <c r="R2027" s="562">
        <v>0.4</v>
      </c>
    </row>
    <row r="2028" spans="17:18" s="560" customFormat="1">
      <c r="Q2028" s="562"/>
      <c r="R2028" s="562">
        <v>0.4</v>
      </c>
    </row>
    <row r="2029" spans="17:18" s="560" customFormat="1">
      <c r="Q2029" s="562"/>
      <c r="R2029" s="562">
        <v>0.5</v>
      </c>
    </row>
    <row r="2030" spans="17:18" s="560" customFormat="1">
      <c r="Q2030" s="562"/>
      <c r="R2030" s="562">
        <v>0.45</v>
      </c>
    </row>
    <row r="2031" spans="17:18" s="560" customFormat="1">
      <c r="Q2031" s="562"/>
      <c r="R2031" s="562">
        <v>0.5</v>
      </c>
    </row>
    <row r="2032" spans="17:18" s="560" customFormat="1">
      <c r="Q2032" s="562"/>
      <c r="R2032" s="562">
        <v>0.4</v>
      </c>
    </row>
    <row r="2033" spans="16:30" s="560" customFormat="1">
      <c r="P2033" s="561"/>
      <c r="Q2033" s="562"/>
      <c r="R2033" s="562">
        <v>0.3</v>
      </c>
      <c r="S2033" s="562"/>
      <c r="T2033" s="562"/>
      <c r="U2033" s="562"/>
      <c r="V2033" s="562"/>
      <c r="W2033" s="562"/>
      <c r="X2033" s="562"/>
      <c r="Y2033" s="562"/>
      <c r="Z2033" s="562"/>
      <c r="AA2033" s="562"/>
      <c r="AB2033" s="562"/>
      <c r="AC2033" s="562"/>
      <c r="AD2033" s="563"/>
    </row>
    <row r="2034" spans="16:30" s="560" customFormat="1">
      <c r="P2034" s="561"/>
      <c r="Q2034" s="562"/>
      <c r="R2034" s="562">
        <v>0.3</v>
      </c>
      <c r="S2034" s="562"/>
      <c r="T2034" s="562"/>
      <c r="U2034" s="562"/>
      <c r="V2034" s="562"/>
      <c r="W2034" s="562"/>
      <c r="X2034" s="562"/>
      <c r="Y2034" s="562"/>
      <c r="Z2034" s="562"/>
      <c r="AA2034" s="562"/>
      <c r="AB2034" s="562"/>
      <c r="AC2034" s="562"/>
      <c r="AD2034" s="563"/>
    </row>
    <row r="2035" spans="16:30" s="560" customFormat="1">
      <c r="P2035" s="561"/>
      <c r="Q2035" s="562"/>
      <c r="R2035" s="562">
        <v>0.3</v>
      </c>
      <c r="S2035" s="562"/>
      <c r="T2035" s="562"/>
      <c r="U2035" s="562"/>
      <c r="V2035" s="562"/>
      <c r="W2035" s="562"/>
      <c r="X2035" s="562"/>
      <c r="Y2035" s="562"/>
      <c r="Z2035" s="562"/>
      <c r="AA2035" s="562"/>
      <c r="AB2035" s="562"/>
      <c r="AC2035" s="562"/>
      <c r="AD2035" s="563"/>
    </row>
    <row r="2036" spans="16:30" s="560" customFormat="1">
      <c r="P2036" s="561"/>
      <c r="Q2036" s="562"/>
      <c r="R2036" s="562">
        <v>0.25</v>
      </c>
      <c r="S2036" s="562"/>
      <c r="T2036" s="562"/>
      <c r="U2036" s="562"/>
      <c r="V2036" s="562"/>
      <c r="W2036" s="562"/>
      <c r="X2036" s="562"/>
      <c r="Y2036" s="562"/>
      <c r="Z2036" s="562"/>
      <c r="AA2036" s="562"/>
      <c r="AB2036" s="562"/>
      <c r="AC2036" s="562"/>
      <c r="AD2036" s="563"/>
    </row>
    <row r="2037" spans="16:30" s="560" customFormat="1">
      <c r="P2037" s="561"/>
      <c r="Q2037" s="562"/>
      <c r="R2037" s="562">
        <v>0.25</v>
      </c>
      <c r="S2037" s="562"/>
      <c r="T2037" s="562"/>
      <c r="U2037" s="562"/>
      <c r="V2037" s="562"/>
      <c r="W2037" s="562"/>
      <c r="X2037" s="562"/>
      <c r="Y2037" s="562"/>
      <c r="Z2037" s="562"/>
      <c r="AA2037" s="562"/>
      <c r="AB2037" s="562"/>
      <c r="AC2037" s="562"/>
      <c r="AD2037" s="563"/>
    </row>
    <row r="2038" spans="16:30" s="560" customFormat="1">
      <c r="P2038" s="561"/>
      <c r="Q2038" s="562"/>
      <c r="R2038" s="562">
        <f>COUNT(R1973:R2037)</f>
        <v>62</v>
      </c>
      <c r="S2038" s="562"/>
      <c r="T2038" s="562"/>
      <c r="U2038" s="562"/>
      <c r="V2038" s="562"/>
      <c r="W2038" s="562"/>
      <c r="X2038" s="562"/>
      <c r="Y2038" s="562"/>
      <c r="Z2038" s="562"/>
      <c r="AA2038" s="562"/>
      <c r="AB2038" s="562"/>
      <c r="AC2038" s="562"/>
      <c r="AD2038" s="563"/>
    </row>
    <row r="2039" spans="16:30" s="560" customFormat="1">
      <c r="P2039" s="567">
        <v>41178</v>
      </c>
      <c r="Q2039" s="568" t="s">
        <v>725</v>
      </c>
      <c r="R2039" s="568"/>
      <c r="S2039" s="568" t="s">
        <v>726</v>
      </c>
      <c r="T2039" s="569" t="s">
        <v>727</v>
      </c>
      <c r="U2039" s="569" t="s">
        <v>728</v>
      </c>
      <c r="V2039" s="569" t="s">
        <v>729</v>
      </c>
      <c r="W2039" s="569" t="s">
        <v>730</v>
      </c>
      <c r="X2039" s="569" t="s">
        <v>731</v>
      </c>
      <c r="Y2039" s="568"/>
      <c r="Z2039" s="562"/>
      <c r="AA2039" s="562"/>
      <c r="AB2039" s="562"/>
      <c r="AC2039" s="562"/>
      <c r="AD2039" s="563"/>
    </row>
    <row r="2040" spans="16:30" s="560" customFormat="1">
      <c r="P2040" s="561"/>
      <c r="Q2040" s="568"/>
      <c r="R2040" s="568"/>
      <c r="S2040" s="568"/>
      <c r="T2040" s="577" t="s">
        <v>1253</v>
      </c>
      <c r="U2040" s="577" t="s">
        <v>1254</v>
      </c>
      <c r="V2040" s="577"/>
      <c r="W2040" s="577"/>
      <c r="X2040" s="577" t="s">
        <v>1255</v>
      </c>
      <c r="Y2040" s="578" t="s">
        <v>1256</v>
      </c>
      <c r="Z2040" s="562"/>
      <c r="AA2040" s="562"/>
      <c r="AB2040" s="562"/>
      <c r="AC2040" s="562"/>
      <c r="AD2040" s="563"/>
    </row>
    <row r="2041" spans="16:30" s="560" customFormat="1">
      <c r="P2041" s="561" t="s">
        <v>621</v>
      </c>
      <c r="Q2041" s="583" t="s">
        <v>1257</v>
      </c>
      <c r="R2041" s="578"/>
      <c r="S2041" s="569"/>
      <c r="T2041" s="568"/>
      <c r="U2041" s="568"/>
      <c r="V2041" s="569"/>
      <c r="W2041" s="569"/>
      <c r="X2041" s="569"/>
      <c r="Y2041" s="569"/>
      <c r="Z2041" s="562"/>
      <c r="AA2041" s="562"/>
      <c r="AB2041" s="562"/>
      <c r="AC2041" s="562"/>
      <c r="AD2041" s="563"/>
    </row>
    <row r="2042" spans="16:30" s="560" customFormat="1">
      <c r="P2042" s="587"/>
      <c r="Q2042" s="588" t="s">
        <v>755</v>
      </c>
      <c r="R2042" s="588" t="s">
        <v>756</v>
      </c>
      <c r="S2042" s="588" t="s">
        <v>757</v>
      </c>
      <c r="T2042" s="588" t="s">
        <v>758</v>
      </c>
      <c r="U2042" s="588" t="s">
        <v>759</v>
      </c>
      <c r="V2042" s="588" t="s">
        <v>760</v>
      </c>
      <c r="W2042" s="588" t="s">
        <v>761</v>
      </c>
      <c r="X2042" s="588" t="s">
        <v>762</v>
      </c>
      <c r="Y2042" s="588" t="s">
        <v>763</v>
      </c>
      <c r="Z2042" s="562"/>
      <c r="AA2042" s="562"/>
      <c r="AB2042" s="562"/>
      <c r="AC2042" s="588" t="s">
        <v>764</v>
      </c>
      <c r="AD2042" s="589"/>
    </row>
    <row r="2043" spans="16:30" s="560" customFormat="1">
      <c r="P2043" s="561"/>
      <c r="Q2043" s="562" t="s">
        <v>775</v>
      </c>
      <c r="R2043" s="562"/>
      <c r="S2043" s="562"/>
      <c r="T2043" s="562"/>
      <c r="U2043" s="562"/>
      <c r="V2043" s="562"/>
      <c r="W2043" s="562"/>
      <c r="X2043" s="584"/>
      <c r="Y2043" s="562"/>
      <c r="Z2043" s="562"/>
      <c r="AA2043" s="562"/>
      <c r="AB2043" s="562"/>
      <c r="AC2043" s="577"/>
      <c r="AD2043" s="589"/>
    </row>
    <row r="2044" spans="16:30" s="560" customFormat="1">
      <c r="P2044" s="561"/>
      <c r="Q2044" s="568"/>
      <c r="R2044" s="562">
        <v>0.65</v>
      </c>
      <c r="S2044" s="562"/>
      <c r="T2044" s="562"/>
      <c r="U2044" s="562"/>
      <c r="V2044" s="562"/>
      <c r="W2044" s="562"/>
      <c r="X2044" s="609"/>
      <c r="Y2044" s="562"/>
      <c r="Z2044" s="562"/>
      <c r="AA2044" s="562"/>
      <c r="AB2044" s="562"/>
      <c r="AC2044" s="607" t="s">
        <v>780</v>
      </c>
      <c r="AD2044" s="608" t="s">
        <v>616</v>
      </c>
    </row>
    <row r="2045" spans="16:30" s="560" customFormat="1">
      <c r="P2045" s="561"/>
      <c r="Q2045" s="568"/>
      <c r="R2045" s="562">
        <v>0.55000000000000004</v>
      </c>
      <c r="S2045" s="562"/>
      <c r="T2045" s="562"/>
      <c r="U2045" s="562"/>
      <c r="V2045" s="562"/>
      <c r="W2045" s="562"/>
      <c r="X2045" s="584"/>
      <c r="Y2045" s="562"/>
      <c r="Z2045" s="562"/>
      <c r="AA2045" s="562"/>
      <c r="AB2045" s="562"/>
      <c r="AC2045" s="607" t="s">
        <v>785</v>
      </c>
      <c r="AD2045" s="608" t="s">
        <v>542</v>
      </c>
    </row>
    <row r="2046" spans="16:30" s="560" customFormat="1">
      <c r="P2046" s="561"/>
      <c r="Q2046" s="568"/>
      <c r="R2046" s="562">
        <f>+(R2045+R2047)/2</f>
        <v>0.57499999999999996</v>
      </c>
      <c r="S2046" s="562"/>
      <c r="T2046" s="562"/>
      <c r="U2046" s="562"/>
      <c r="V2046" s="562"/>
      <c r="W2046" s="562"/>
      <c r="X2046" s="584"/>
      <c r="Y2046" s="562"/>
      <c r="Z2046" s="562"/>
      <c r="AA2046" s="562"/>
      <c r="AB2046" s="562"/>
      <c r="AC2046" s="607" t="s">
        <v>789</v>
      </c>
      <c r="AD2046" s="608" t="s">
        <v>790</v>
      </c>
    </row>
    <row r="2047" spans="16:30" s="560" customFormat="1">
      <c r="P2047" s="561"/>
      <c r="Q2047" s="568"/>
      <c r="R2047" s="562">
        <v>0.6</v>
      </c>
      <c r="S2047" s="562"/>
      <c r="T2047" s="562"/>
      <c r="U2047" s="562"/>
      <c r="V2047" s="562"/>
      <c r="W2047" s="562"/>
      <c r="X2047" s="584"/>
      <c r="Y2047" s="562"/>
      <c r="Z2047" s="562"/>
      <c r="AA2047" s="562"/>
      <c r="AB2047" s="562"/>
      <c r="AC2047" s="607" t="s">
        <v>791</v>
      </c>
      <c r="AD2047" s="608" t="s">
        <v>792</v>
      </c>
    </row>
    <row r="2048" spans="16:30" s="560" customFormat="1">
      <c r="P2048" s="561"/>
      <c r="Q2048" s="568"/>
      <c r="R2048" s="562">
        <v>0.65</v>
      </c>
      <c r="S2048" s="562"/>
      <c r="T2048" s="562"/>
      <c r="U2048" s="562"/>
      <c r="V2048" s="562"/>
      <c r="W2048" s="562"/>
      <c r="X2048" s="577"/>
      <c r="Y2048" s="562"/>
      <c r="Z2048" s="562"/>
      <c r="AA2048" s="562"/>
      <c r="AB2048" s="562"/>
      <c r="AC2048" s="607" t="s">
        <v>794</v>
      </c>
      <c r="AD2048" s="608" t="s">
        <v>795</v>
      </c>
    </row>
    <row r="2049" spans="17:30" s="560" customFormat="1">
      <c r="Q2049" s="568"/>
      <c r="R2049" s="562">
        <v>0.6</v>
      </c>
      <c r="S2049" s="562"/>
      <c r="T2049" s="562"/>
      <c r="U2049" s="562"/>
      <c r="V2049" s="562"/>
      <c r="W2049" s="562"/>
      <c r="X2049" s="577"/>
      <c r="Y2049" s="562"/>
      <c r="Z2049" s="562"/>
      <c r="AA2049" s="562"/>
      <c r="AB2049" s="562"/>
      <c r="AC2049" s="607" t="s">
        <v>798</v>
      </c>
      <c r="AD2049" s="608" t="s">
        <v>546</v>
      </c>
    </row>
    <row r="2050" spans="17:30" s="560" customFormat="1">
      <c r="Q2050" s="562"/>
      <c r="R2050" s="562">
        <v>0.7</v>
      </c>
      <c r="S2050" s="562"/>
      <c r="T2050" s="562"/>
      <c r="U2050" s="562"/>
      <c r="V2050" s="562"/>
      <c r="W2050" s="562"/>
      <c r="X2050" s="577"/>
      <c r="Y2050" s="562"/>
      <c r="Z2050" s="562"/>
      <c r="AA2050" s="562"/>
      <c r="AB2050" s="562"/>
      <c r="AC2050" s="607" t="s">
        <v>800</v>
      </c>
      <c r="AD2050" s="608" t="s">
        <v>801</v>
      </c>
    </row>
    <row r="2051" spans="17:30" s="560" customFormat="1">
      <c r="Q2051" s="562"/>
      <c r="R2051" s="562">
        <f>+(R2050+R2052)/2</f>
        <v>0.64999999999999991</v>
      </c>
      <c r="S2051" s="562"/>
      <c r="T2051" s="562"/>
      <c r="U2051" s="562"/>
      <c r="V2051" s="562"/>
      <c r="W2051" s="562"/>
      <c r="X2051" s="577"/>
      <c r="Y2051" s="562"/>
      <c r="Z2051" s="562"/>
      <c r="AA2051" s="562"/>
      <c r="AB2051" s="562"/>
      <c r="AC2051" s="607" t="s">
        <v>804</v>
      </c>
      <c r="AD2051" s="608" t="s">
        <v>805</v>
      </c>
    </row>
    <row r="2052" spans="17:30" s="560" customFormat="1">
      <c r="Q2052" s="562"/>
      <c r="R2052" s="562">
        <v>0.6</v>
      </c>
      <c r="S2052" s="562"/>
      <c r="T2052" s="562"/>
      <c r="U2052" s="562"/>
      <c r="V2052" s="562"/>
      <c r="W2052" s="562"/>
      <c r="X2052" s="577"/>
      <c r="Y2052" s="562"/>
      <c r="Z2052" s="562"/>
      <c r="AA2052" s="562"/>
      <c r="AB2052" s="562"/>
      <c r="AC2052" s="607" t="s">
        <v>807</v>
      </c>
      <c r="AD2052" s="608" t="s">
        <v>808</v>
      </c>
    </row>
    <row r="2053" spans="17:30" s="560" customFormat="1">
      <c r="Q2053" s="562"/>
      <c r="R2053" s="562">
        <v>0.7</v>
      </c>
      <c r="S2053" s="562"/>
      <c r="T2053" s="562"/>
      <c r="U2053" s="562"/>
      <c r="V2053" s="562"/>
      <c r="W2053" s="562"/>
      <c r="X2053" s="577"/>
      <c r="Y2053" s="562"/>
      <c r="Z2053" s="562"/>
      <c r="AA2053" s="562"/>
      <c r="AB2053" s="562"/>
      <c r="AC2053" s="607" t="s">
        <v>810</v>
      </c>
      <c r="AD2053" s="608" t="s">
        <v>550</v>
      </c>
    </row>
    <row r="2054" spans="17:30" s="560" customFormat="1">
      <c r="Q2054" s="562"/>
      <c r="R2054" s="562">
        <v>0.65</v>
      </c>
      <c r="S2054" s="562"/>
      <c r="T2054" s="562"/>
      <c r="U2054" s="562"/>
      <c r="V2054" s="562"/>
      <c r="W2054" s="562"/>
      <c r="X2054" s="577"/>
      <c r="Y2054" s="562"/>
      <c r="Z2054" s="562"/>
      <c r="AA2054" s="562"/>
      <c r="AB2054" s="562"/>
      <c r="AC2054" s="607" t="s">
        <v>813</v>
      </c>
      <c r="AD2054" s="608" t="s">
        <v>552</v>
      </c>
    </row>
    <row r="2055" spans="17:30" s="560" customFormat="1">
      <c r="Q2055" s="562"/>
      <c r="R2055" s="562">
        <v>0.65</v>
      </c>
      <c r="S2055" s="562"/>
      <c r="T2055" s="562"/>
      <c r="U2055" s="562"/>
      <c r="V2055" s="562"/>
      <c r="W2055" s="562"/>
      <c r="X2055" s="577"/>
      <c r="Y2055" s="562"/>
      <c r="Z2055" s="562"/>
      <c r="AA2055" s="562"/>
      <c r="AB2055" s="562"/>
      <c r="AC2055" s="607" t="s">
        <v>815</v>
      </c>
      <c r="AD2055" s="608" t="s">
        <v>816</v>
      </c>
    </row>
    <row r="2056" spans="17:30" s="560" customFormat="1">
      <c r="Q2056" s="562"/>
      <c r="R2056" s="562">
        <v>0.65</v>
      </c>
      <c r="S2056" s="562"/>
      <c r="T2056" s="562"/>
      <c r="U2056" s="562"/>
      <c r="V2056" s="562"/>
      <c r="W2056" s="562"/>
      <c r="X2056" s="562"/>
      <c r="Y2056" s="562"/>
      <c r="Z2056" s="562"/>
      <c r="AA2056" s="562"/>
      <c r="AB2056" s="562"/>
      <c r="AC2056" s="562"/>
      <c r="AD2056" s="563"/>
    </row>
    <row r="2057" spans="17:30" s="560" customFormat="1">
      <c r="Q2057" s="562"/>
      <c r="R2057" s="562">
        <v>0.6</v>
      </c>
      <c r="S2057" s="562"/>
      <c r="T2057" s="562"/>
      <c r="U2057" s="562"/>
      <c r="V2057" s="562"/>
      <c r="W2057" s="562"/>
      <c r="X2057" s="562"/>
      <c r="Y2057" s="562"/>
      <c r="Z2057" s="562"/>
      <c r="AA2057" s="562"/>
      <c r="AB2057" s="562"/>
      <c r="AC2057" s="562"/>
      <c r="AD2057" s="563"/>
    </row>
    <row r="2058" spans="17:30" s="560" customFormat="1">
      <c r="Q2058" s="562"/>
      <c r="R2058" s="562">
        <v>0.6</v>
      </c>
      <c r="S2058" s="562"/>
      <c r="T2058" s="562"/>
      <c r="U2058" s="562"/>
      <c r="V2058" s="562"/>
      <c r="W2058" s="562"/>
      <c r="X2058" s="562"/>
      <c r="Y2058" s="562"/>
      <c r="Z2058" s="562"/>
      <c r="AA2058" s="562"/>
      <c r="AB2058" s="562"/>
      <c r="AC2058" s="562"/>
      <c r="AD2058" s="563"/>
    </row>
    <row r="2059" spans="17:30" s="560" customFormat="1">
      <c r="Q2059" s="562"/>
      <c r="R2059" s="562">
        <v>0.65</v>
      </c>
      <c r="S2059" s="562"/>
      <c r="T2059" s="562"/>
      <c r="U2059" s="562"/>
      <c r="V2059" s="562"/>
      <c r="W2059" s="562"/>
      <c r="X2059" s="562"/>
      <c r="Y2059" s="562"/>
      <c r="Z2059" s="562"/>
      <c r="AA2059" s="562"/>
      <c r="AB2059" s="562"/>
      <c r="AC2059" s="562"/>
      <c r="AD2059" s="563"/>
    </row>
    <row r="2060" spans="17:30" s="560" customFormat="1">
      <c r="Q2060" s="562"/>
      <c r="R2060" s="562">
        <v>0.65</v>
      </c>
      <c r="S2060" s="562"/>
      <c r="T2060" s="562"/>
      <c r="U2060" s="562"/>
      <c r="V2060" s="562"/>
      <c r="W2060" s="562"/>
      <c r="X2060" s="562"/>
      <c r="Y2060" s="562"/>
      <c r="Z2060" s="562"/>
      <c r="AA2060" s="562"/>
      <c r="AB2060" s="562"/>
      <c r="AC2060" s="562"/>
      <c r="AD2060" s="563"/>
    </row>
    <row r="2061" spans="17:30" s="560" customFormat="1">
      <c r="Q2061" s="562"/>
      <c r="R2061" s="562">
        <v>0.7</v>
      </c>
      <c r="S2061" s="562"/>
      <c r="T2061" s="562"/>
      <c r="U2061" s="562"/>
      <c r="V2061" s="562"/>
      <c r="W2061" s="562"/>
      <c r="X2061" s="562"/>
      <c r="Y2061" s="562"/>
      <c r="Z2061" s="562"/>
      <c r="AA2061" s="562"/>
      <c r="AB2061" s="562"/>
      <c r="AC2061" s="562"/>
      <c r="AD2061" s="563"/>
    </row>
    <row r="2062" spans="17:30" s="560" customFormat="1">
      <c r="Q2062" s="562"/>
      <c r="R2062" s="562">
        <v>0.65</v>
      </c>
      <c r="S2062" s="562"/>
      <c r="T2062" s="562"/>
      <c r="U2062" s="562"/>
      <c r="V2062" s="562"/>
      <c r="W2062" s="562"/>
      <c r="X2062" s="562"/>
      <c r="Y2062" s="562"/>
      <c r="Z2062" s="562"/>
      <c r="AA2062" s="562"/>
      <c r="AB2062" s="562"/>
      <c r="AC2062" s="562"/>
      <c r="AD2062" s="563"/>
    </row>
    <row r="2063" spans="17:30" s="560" customFormat="1">
      <c r="Q2063" s="562"/>
      <c r="R2063" s="562">
        <v>0.6</v>
      </c>
      <c r="S2063" s="562"/>
      <c r="T2063" s="562"/>
      <c r="U2063" s="562"/>
      <c r="V2063" s="562"/>
      <c r="W2063" s="562"/>
      <c r="X2063" s="562"/>
      <c r="Y2063" s="562"/>
      <c r="Z2063" s="562"/>
      <c r="AA2063" s="562"/>
      <c r="AB2063" s="562"/>
      <c r="AC2063" s="562"/>
      <c r="AD2063" s="563"/>
    </row>
    <row r="2064" spans="17:30" s="560" customFormat="1">
      <c r="Q2064" s="562" t="s">
        <v>821</v>
      </c>
      <c r="R2064" s="562"/>
      <c r="S2064" s="562"/>
      <c r="T2064" s="562"/>
      <c r="U2064" s="562"/>
      <c r="V2064" s="562"/>
      <c r="W2064" s="562"/>
      <c r="X2064" s="562"/>
      <c r="Y2064" s="562"/>
      <c r="Z2064" s="562"/>
      <c r="AA2064" s="562"/>
      <c r="AB2064" s="562"/>
      <c r="AC2064" s="562"/>
      <c r="AD2064" s="563"/>
    </row>
    <row r="2065" spans="18:18" s="560" customFormat="1">
      <c r="R2065" s="562">
        <v>0.6</v>
      </c>
    </row>
    <row r="2066" spans="18:18" s="560" customFormat="1">
      <c r="R2066" s="562">
        <v>0.65</v>
      </c>
    </row>
    <row r="2067" spans="18:18" s="560" customFormat="1">
      <c r="R2067" s="562">
        <v>0.65</v>
      </c>
    </row>
    <row r="2068" spans="18:18" s="560" customFormat="1">
      <c r="R2068" s="562">
        <v>0.7</v>
      </c>
    </row>
    <row r="2069" spans="18:18" s="560" customFormat="1">
      <c r="R2069" s="562">
        <v>0.65</v>
      </c>
    </row>
    <row r="2070" spans="18:18" s="560" customFormat="1">
      <c r="R2070" s="562">
        <v>0.6</v>
      </c>
    </row>
    <row r="2071" spans="18:18" s="560" customFormat="1">
      <c r="R2071" s="562">
        <v>0.7</v>
      </c>
    </row>
    <row r="2072" spans="18:18" s="560" customFormat="1">
      <c r="R2072" s="562">
        <v>0.65</v>
      </c>
    </row>
    <row r="2073" spans="18:18" s="560" customFormat="1">
      <c r="R2073" s="562">
        <v>0.63</v>
      </c>
    </row>
    <row r="2074" spans="18:18" s="560" customFormat="1">
      <c r="R2074" s="562">
        <v>0.7</v>
      </c>
    </row>
    <row r="2075" spans="18:18" s="560" customFormat="1">
      <c r="R2075" s="562">
        <v>0.7</v>
      </c>
    </row>
    <row r="2076" spans="18:18" s="560" customFormat="1">
      <c r="R2076" s="562">
        <v>0.7</v>
      </c>
    </row>
    <row r="2077" spans="18:18" s="560" customFormat="1">
      <c r="R2077" s="562">
        <v>0.7</v>
      </c>
    </row>
    <row r="2078" spans="18:18" s="560" customFormat="1">
      <c r="R2078" s="562">
        <v>0.7</v>
      </c>
    </row>
    <row r="2079" spans="18:18" s="560" customFormat="1">
      <c r="R2079" s="562">
        <v>0.68</v>
      </c>
    </row>
    <row r="2080" spans="18:18" s="560" customFormat="1">
      <c r="R2080" s="562">
        <v>0.6</v>
      </c>
    </row>
    <row r="2081" spans="16:30" s="560" customFormat="1">
      <c r="P2081" s="561"/>
      <c r="Q2081" s="562"/>
      <c r="R2081" s="562">
        <v>0.65</v>
      </c>
      <c r="S2081" s="562"/>
      <c r="T2081" s="562"/>
      <c r="U2081" s="562"/>
      <c r="V2081" s="562"/>
      <c r="W2081" s="562"/>
      <c r="X2081" s="562"/>
      <c r="Y2081" s="562"/>
      <c r="Z2081" s="562"/>
      <c r="AA2081" s="562"/>
      <c r="AB2081" s="562"/>
      <c r="AC2081" s="562"/>
      <c r="AD2081" s="563"/>
    </row>
    <row r="2082" spans="16:30" s="560" customFormat="1">
      <c r="P2082" s="561"/>
      <c r="Q2082" s="562"/>
      <c r="R2082" s="562">
        <v>0.65</v>
      </c>
      <c r="S2082" s="562"/>
      <c r="T2082" s="562"/>
      <c r="U2082" s="562"/>
      <c r="V2082" s="562"/>
      <c r="W2082" s="562"/>
      <c r="X2082" s="562"/>
      <c r="Y2082" s="562"/>
      <c r="Z2082" s="562"/>
      <c r="AA2082" s="562"/>
      <c r="AB2082" s="562"/>
      <c r="AC2082" s="562"/>
      <c r="AD2082" s="563"/>
    </row>
    <row r="2083" spans="16:30" s="560" customFormat="1">
      <c r="P2083" s="561"/>
      <c r="Q2083" s="562"/>
      <c r="R2083" s="562">
        <v>0.6</v>
      </c>
      <c r="S2083" s="562"/>
      <c r="T2083" s="562"/>
      <c r="U2083" s="562"/>
      <c r="V2083" s="562"/>
      <c r="W2083" s="562"/>
      <c r="X2083" s="562"/>
      <c r="Y2083" s="562"/>
      <c r="Z2083" s="562"/>
      <c r="AA2083" s="562"/>
      <c r="AB2083" s="562"/>
      <c r="AC2083" s="562"/>
      <c r="AD2083" s="563"/>
    </row>
    <row r="2084" spans="16:30" s="560" customFormat="1">
      <c r="P2084" s="561"/>
      <c r="Q2084" s="562"/>
      <c r="R2084" s="562">
        <v>0.6</v>
      </c>
      <c r="S2084" s="562"/>
      <c r="T2084" s="562"/>
      <c r="U2084" s="562"/>
      <c r="V2084" s="562"/>
      <c r="W2084" s="562"/>
      <c r="X2084" s="562"/>
      <c r="Y2084" s="562"/>
      <c r="Z2084" s="562"/>
      <c r="AA2084" s="562"/>
      <c r="AB2084" s="562"/>
      <c r="AC2084" s="562"/>
      <c r="AD2084" s="563"/>
    </row>
    <row r="2085" spans="16:30" s="560" customFormat="1">
      <c r="P2085" s="561"/>
      <c r="Q2085" s="562" t="s">
        <v>799</v>
      </c>
      <c r="R2085" s="562"/>
      <c r="S2085" s="562"/>
      <c r="T2085" s="562"/>
      <c r="U2085" s="562"/>
      <c r="V2085" s="562"/>
      <c r="W2085" s="562"/>
      <c r="X2085" s="562"/>
      <c r="Y2085" s="562"/>
      <c r="Z2085" s="562"/>
      <c r="AA2085" s="562"/>
      <c r="AB2085" s="562"/>
      <c r="AC2085" s="562"/>
      <c r="AD2085" s="563"/>
    </row>
    <row r="2086" spans="16:30" s="560" customFormat="1">
      <c r="P2086" s="561"/>
      <c r="Q2086" s="562"/>
      <c r="R2086" s="562">
        <v>0.55000000000000004</v>
      </c>
      <c r="S2086" s="562"/>
      <c r="T2086" s="562"/>
      <c r="U2086" s="562"/>
      <c r="V2086" s="562"/>
      <c r="W2086" s="562"/>
      <c r="X2086" s="562"/>
      <c r="Y2086" s="562"/>
      <c r="Z2086" s="562"/>
      <c r="AA2086" s="562"/>
      <c r="AB2086" s="562"/>
      <c r="AC2086" s="562"/>
      <c r="AD2086" s="563"/>
    </row>
    <row r="2087" spans="16:30" s="560" customFormat="1">
      <c r="P2087" s="561"/>
      <c r="Q2087" s="562"/>
      <c r="R2087" s="562">
        <v>0.55000000000000004</v>
      </c>
      <c r="S2087" s="562"/>
      <c r="T2087" s="562"/>
      <c r="U2087" s="562"/>
      <c r="V2087" s="562"/>
      <c r="W2087" s="562"/>
      <c r="X2087" s="562"/>
      <c r="Y2087" s="562"/>
      <c r="Z2087" s="562"/>
      <c r="AA2087" s="562"/>
      <c r="AB2087" s="562"/>
      <c r="AC2087" s="562"/>
      <c r="AD2087" s="563"/>
    </row>
    <row r="2088" spans="16:30" s="560" customFormat="1">
      <c r="P2088" s="561"/>
      <c r="Q2088" s="562"/>
      <c r="R2088" s="562">
        <v>0.65</v>
      </c>
      <c r="S2088" s="562"/>
      <c r="T2088" s="562"/>
      <c r="U2088" s="562"/>
      <c r="V2088" s="562"/>
      <c r="W2088" s="562"/>
      <c r="X2088" s="562"/>
      <c r="Y2088" s="562"/>
      <c r="Z2088" s="562"/>
      <c r="AA2088" s="562"/>
      <c r="AB2088" s="562"/>
      <c r="AC2088" s="562"/>
      <c r="AD2088" s="563"/>
    </row>
    <row r="2089" spans="16:30" s="560" customFormat="1">
      <c r="P2089" s="561"/>
      <c r="Q2089" s="562"/>
      <c r="R2089" s="562">
        <v>0.52</v>
      </c>
      <c r="S2089" s="562"/>
      <c r="T2089" s="562"/>
      <c r="U2089" s="562"/>
      <c r="V2089" s="562"/>
      <c r="W2089" s="562"/>
      <c r="X2089" s="562"/>
      <c r="Y2089" s="562"/>
      <c r="Z2089" s="562"/>
      <c r="AA2089" s="562"/>
      <c r="AB2089" s="562"/>
      <c r="AC2089" s="562"/>
      <c r="AD2089" s="563"/>
    </row>
    <row r="2090" spans="16:30" s="560" customFormat="1">
      <c r="P2090" s="561"/>
      <c r="Q2090" s="562"/>
      <c r="R2090" s="562">
        <f>COUNT(R2044:R2089)</f>
        <v>44</v>
      </c>
      <c r="S2090" s="562"/>
      <c r="T2090" s="562"/>
      <c r="U2090" s="562"/>
      <c r="V2090" s="562"/>
      <c r="W2090" s="562"/>
      <c r="X2090" s="562"/>
      <c r="Y2090" s="562"/>
      <c r="Z2090" s="562"/>
      <c r="AA2090" s="562"/>
      <c r="AB2090" s="562"/>
      <c r="AC2090" s="562"/>
      <c r="AD2090" s="563"/>
    </row>
    <row r="2091" spans="16:30" s="560" customFormat="1">
      <c r="P2091" s="567">
        <v>41178</v>
      </c>
      <c r="Q2091" s="568" t="s">
        <v>725</v>
      </c>
      <c r="R2091" s="568"/>
      <c r="S2091" s="568" t="s">
        <v>726</v>
      </c>
      <c r="T2091" s="569" t="s">
        <v>727</v>
      </c>
      <c r="U2091" s="569" t="s">
        <v>728</v>
      </c>
      <c r="V2091" s="569" t="s">
        <v>729</v>
      </c>
      <c r="W2091" s="569" t="s">
        <v>730</v>
      </c>
      <c r="X2091" s="569" t="s">
        <v>731</v>
      </c>
      <c r="Y2091" s="568"/>
      <c r="Z2091" s="562"/>
      <c r="AA2091" s="562"/>
      <c r="AB2091" s="562"/>
      <c r="AC2091" s="562"/>
      <c r="AD2091" s="563"/>
    </row>
    <row r="2092" spans="16:30" s="560" customFormat="1">
      <c r="P2092" s="561"/>
      <c r="Q2092" s="568"/>
      <c r="R2092" s="568"/>
      <c r="S2092" s="568"/>
      <c r="T2092" s="577" t="s">
        <v>1253</v>
      </c>
      <c r="U2092" s="577" t="s">
        <v>1258</v>
      </c>
      <c r="V2092" s="577"/>
      <c r="W2092" s="577"/>
      <c r="X2092" s="577" t="s">
        <v>1259</v>
      </c>
      <c r="Y2092" s="578" t="s">
        <v>1260</v>
      </c>
      <c r="Z2092" s="562"/>
      <c r="AA2092" s="562"/>
      <c r="AB2092" s="562"/>
      <c r="AC2092" s="562"/>
      <c r="AD2092" s="563"/>
    </row>
    <row r="2093" spans="16:30" s="560" customFormat="1">
      <c r="P2093" s="561" t="s">
        <v>623</v>
      </c>
      <c r="Q2093" s="583" t="s">
        <v>1261</v>
      </c>
      <c r="R2093" s="578"/>
      <c r="S2093" s="569"/>
      <c r="T2093" s="568"/>
      <c r="U2093" s="568"/>
      <c r="V2093" s="569"/>
      <c r="W2093" s="569"/>
      <c r="X2093" s="569"/>
      <c r="Y2093" s="569"/>
      <c r="Z2093" s="562"/>
      <c r="AA2093" s="562"/>
      <c r="AB2093" s="562"/>
      <c r="AC2093" s="562"/>
      <c r="AD2093" s="563"/>
    </row>
    <row r="2094" spans="16:30" s="560" customFormat="1">
      <c r="P2094" s="587"/>
      <c r="Q2094" s="588" t="s">
        <v>755</v>
      </c>
      <c r="R2094" s="588" t="s">
        <v>756</v>
      </c>
      <c r="S2094" s="588" t="s">
        <v>757</v>
      </c>
      <c r="T2094" s="588" t="s">
        <v>758</v>
      </c>
      <c r="U2094" s="588" t="s">
        <v>759</v>
      </c>
      <c r="V2094" s="588" t="s">
        <v>760</v>
      </c>
      <c r="W2094" s="588" t="s">
        <v>761</v>
      </c>
      <c r="X2094" s="588" t="s">
        <v>762</v>
      </c>
      <c r="Y2094" s="588" t="s">
        <v>763</v>
      </c>
      <c r="Z2094" s="562"/>
      <c r="AA2094" s="562"/>
      <c r="AB2094" s="562"/>
      <c r="AC2094" s="588" t="s">
        <v>764</v>
      </c>
      <c r="AD2094" s="589"/>
    </row>
    <row r="2095" spans="16:30" s="560" customFormat="1">
      <c r="P2095" s="561"/>
      <c r="Q2095" s="562" t="s">
        <v>775</v>
      </c>
      <c r="R2095" s="562"/>
      <c r="S2095" s="562"/>
      <c r="T2095" s="562"/>
      <c r="U2095" s="562"/>
      <c r="V2095" s="562"/>
      <c r="W2095" s="562"/>
      <c r="X2095" s="584"/>
      <c r="Y2095" s="562"/>
      <c r="Z2095" s="562"/>
      <c r="AA2095" s="562"/>
      <c r="AB2095" s="562"/>
      <c r="AC2095" s="577"/>
      <c r="AD2095" s="589"/>
    </row>
    <row r="2096" spans="16:30" s="560" customFormat="1">
      <c r="P2096" s="561"/>
      <c r="Q2096" s="568"/>
      <c r="R2096" s="568">
        <v>0.55000000000000004</v>
      </c>
      <c r="S2096" s="562"/>
      <c r="T2096" s="562"/>
      <c r="U2096" s="562"/>
      <c r="V2096" s="562"/>
      <c r="W2096" s="562"/>
      <c r="X2096" s="609"/>
      <c r="Y2096" s="562"/>
      <c r="Z2096" s="562"/>
      <c r="AA2096" s="562"/>
      <c r="AB2096" s="562"/>
      <c r="AC2096" s="607" t="s">
        <v>780</v>
      </c>
      <c r="AD2096" s="608" t="s">
        <v>616</v>
      </c>
    </row>
    <row r="2097" spans="17:30" s="560" customFormat="1">
      <c r="Q2097" s="568"/>
      <c r="R2097" s="562">
        <v>0.65</v>
      </c>
      <c r="S2097" s="562"/>
      <c r="T2097" s="562"/>
      <c r="U2097" s="562"/>
      <c r="V2097" s="562"/>
      <c r="W2097" s="562"/>
      <c r="X2097" s="584"/>
      <c r="Y2097" s="562"/>
      <c r="Z2097" s="562"/>
      <c r="AA2097" s="562"/>
      <c r="AB2097" s="562"/>
      <c r="AC2097" s="607" t="s">
        <v>785</v>
      </c>
      <c r="AD2097" s="608" t="s">
        <v>542</v>
      </c>
    </row>
    <row r="2098" spans="17:30" s="560" customFormat="1">
      <c r="Q2098" s="568"/>
      <c r="R2098" s="562">
        <v>0.7</v>
      </c>
      <c r="S2098" s="562"/>
      <c r="T2098" s="562"/>
      <c r="U2098" s="562"/>
      <c r="V2098" s="562"/>
      <c r="W2098" s="562"/>
      <c r="X2098" s="584"/>
      <c r="Y2098" s="562"/>
      <c r="Z2098" s="562"/>
      <c r="AA2098" s="562"/>
      <c r="AB2098" s="562"/>
      <c r="AC2098" s="607" t="s">
        <v>789</v>
      </c>
      <c r="AD2098" s="608" t="s">
        <v>790</v>
      </c>
    </row>
    <row r="2099" spans="17:30" s="560" customFormat="1">
      <c r="Q2099" s="568"/>
      <c r="R2099" s="562">
        <v>0.65</v>
      </c>
      <c r="S2099" s="562"/>
      <c r="T2099" s="562"/>
      <c r="U2099" s="562"/>
      <c r="V2099" s="562"/>
      <c r="W2099" s="562"/>
      <c r="X2099" s="584"/>
      <c r="Y2099" s="562"/>
      <c r="Z2099" s="562"/>
      <c r="AA2099" s="562"/>
      <c r="AB2099" s="562"/>
      <c r="AC2099" s="607" t="s">
        <v>791</v>
      </c>
      <c r="AD2099" s="608" t="s">
        <v>792</v>
      </c>
    </row>
    <row r="2100" spans="17:30" s="560" customFormat="1">
      <c r="Q2100" s="568"/>
      <c r="R2100" s="562">
        <v>0.6</v>
      </c>
      <c r="S2100" s="562"/>
      <c r="T2100" s="562"/>
      <c r="U2100" s="562"/>
      <c r="V2100" s="562"/>
      <c r="W2100" s="562"/>
      <c r="X2100" s="577"/>
      <c r="Y2100" s="562"/>
      <c r="Z2100" s="562"/>
      <c r="AA2100" s="562"/>
      <c r="AB2100" s="562"/>
      <c r="AC2100" s="607" t="s">
        <v>794</v>
      </c>
      <c r="AD2100" s="608" t="s">
        <v>795</v>
      </c>
    </row>
    <row r="2101" spans="17:30" s="560" customFormat="1">
      <c r="Q2101" s="568"/>
      <c r="R2101" s="562">
        <v>0.65</v>
      </c>
      <c r="S2101" s="562"/>
      <c r="T2101" s="562"/>
      <c r="U2101" s="562"/>
      <c r="V2101" s="562"/>
      <c r="W2101" s="562"/>
      <c r="X2101" s="577"/>
      <c r="Y2101" s="562"/>
      <c r="Z2101" s="562"/>
      <c r="AA2101" s="562"/>
      <c r="AB2101" s="562"/>
      <c r="AC2101" s="607" t="s">
        <v>798</v>
      </c>
      <c r="AD2101" s="608" t="s">
        <v>546</v>
      </c>
    </row>
    <row r="2102" spans="17:30" s="560" customFormat="1">
      <c r="Q2102" s="562"/>
      <c r="R2102" s="562">
        <v>0.65</v>
      </c>
      <c r="S2102" s="562"/>
      <c r="T2102" s="562"/>
      <c r="U2102" s="562"/>
      <c r="V2102" s="562"/>
      <c r="W2102" s="562"/>
      <c r="X2102" s="577"/>
      <c r="Y2102" s="562"/>
      <c r="Z2102" s="562"/>
      <c r="AA2102" s="562"/>
      <c r="AB2102" s="562"/>
      <c r="AC2102" s="607" t="s">
        <v>800</v>
      </c>
      <c r="AD2102" s="608" t="s">
        <v>801</v>
      </c>
    </row>
    <row r="2103" spans="17:30" s="560" customFormat="1">
      <c r="Q2103" s="562"/>
      <c r="R2103" s="562">
        <v>0.6</v>
      </c>
      <c r="S2103" s="562"/>
      <c r="T2103" s="562"/>
      <c r="U2103" s="562"/>
      <c r="V2103" s="562"/>
      <c r="W2103" s="562"/>
      <c r="X2103" s="577"/>
      <c r="Y2103" s="562"/>
      <c r="Z2103" s="562"/>
      <c r="AA2103" s="562"/>
      <c r="AB2103" s="562"/>
      <c r="AC2103" s="607" t="s">
        <v>804</v>
      </c>
      <c r="AD2103" s="608" t="s">
        <v>805</v>
      </c>
    </row>
    <row r="2104" spans="17:30" s="560" customFormat="1">
      <c r="Q2104" s="562"/>
      <c r="R2104" s="562">
        <v>0.45</v>
      </c>
      <c r="S2104" s="562"/>
      <c r="T2104" s="562"/>
      <c r="U2104" s="562"/>
      <c r="V2104" s="562"/>
      <c r="W2104" s="562"/>
      <c r="X2104" s="577"/>
      <c r="Y2104" s="562"/>
      <c r="Z2104" s="562"/>
      <c r="AA2104" s="562"/>
      <c r="AB2104" s="562"/>
      <c r="AC2104" s="607" t="s">
        <v>807</v>
      </c>
      <c r="AD2104" s="608" t="s">
        <v>808</v>
      </c>
    </row>
    <row r="2105" spans="17:30" s="560" customFormat="1">
      <c r="Q2105" s="562"/>
      <c r="R2105" s="562">
        <v>0.75</v>
      </c>
      <c r="S2105" s="562"/>
      <c r="T2105" s="562"/>
      <c r="U2105" s="562"/>
      <c r="V2105" s="562"/>
      <c r="W2105" s="562"/>
      <c r="X2105" s="577"/>
      <c r="Y2105" s="562"/>
      <c r="Z2105" s="562"/>
      <c r="AA2105" s="562"/>
      <c r="AB2105" s="562"/>
      <c r="AC2105" s="607" t="s">
        <v>810</v>
      </c>
      <c r="AD2105" s="608" t="s">
        <v>550</v>
      </c>
    </row>
    <row r="2106" spans="17:30" s="560" customFormat="1">
      <c r="Q2106" s="562"/>
      <c r="R2106" s="562">
        <v>0.95</v>
      </c>
      <c r="S2106" s="562"/>
      <c r="T2106" s="562"/>
      <c r="U2106" s="562"/>
      <c r="V2106" s="562"/>
      <c r="W2106" s="562"/>
      <c r="X2106" s="577"/>
      <c r="Y2106" s="562"/>
      <c r="Z2106" s="562"/>
      <c r="AA2106" s="562"/>
      <c r="AB2106" s="562"/>
      <c r="AC2106" s="607" t="s">
        <v>813</v>
      </c>
      <c r="AD2106" s="608" t="s">
        <v>552</v>
      </c>
    </row>
    <row r="2107" spans="17:30" s="560" customFormat="1">
      <c r="Q2107" s="562"/>
      <c r="R2107" s="562">
        <v>0.7</v>
      </c>
      <c r="S2107" s="562"/>
      <c r="T2107" s="562"/>
      <c r="U2107" s="562"/>
      <c r="V2107" s="562"/>
      <c r="W2107" s="562"/>
      <c r="X2107" s="577"/>
      <c r="Y2107" s="562"/>
      <c r="Z2107" s="562"/>
      <c r="AA2107" s="562"/>
      <c r="AB2107" s="562"/>
      <c r="AC2107" s="607" t="s">
        <v>815</v>
      </c>
      <c r="AD2107" s="608" t="s">
        <v>816</v>
      </c>
    </row>
    <row r="2108" spans="17:30" s="560" customFormat="1">
      <c r="Q2108" s="562"/>
      <c r="R2108" s="562">
        <v>0.65</v>
      </c>
      <c r="S2108" s="562"/>
      <c r="T2108" s="562"/>
      <c r="U2108" s="562"/>
      <c r="V2108" s="562"/>
      <c r="W2108" s="562"/>
      <c r="X2108" s="562"/>
      <c r="Y2108" s="562"/>
      <c r="Z2108" s="562"/>
      <c r="AA2108" s="562"/>
      <c r="AB2108" s="562"/>
      <c r="AC2108" s="562"/>
      <c r="AD2108" s="563"/>
    </row>
    <row r="2109" spans="17:30" s="560" customFormat="1">
      <c r="Q2109" s="562"/>
      <c r="R2109" s="562">
        <v>0.55000000000000004</v>
      </c>
      <c r="S2109" s="562"/>
      <c r="T2109" s="562"/>
      <c r="U2109" s="562"/>
      <c r="V2109" s="562"/>
      <c r="W2109" s="562"/>
      <c r="X2109" s="562"/>
      <c r="Y2109" s="562"/>
      <c r="Z2109" s="562"/>
      <c r="AA2109" s="562"/>
      <c r="AB2109" s="562"/>
      <c r="AC2109" s="562"/>
      <c r="AD2109" s="563"/>
    </row>
    <row r="2110" spans="17:30" s="560" customFormat="1">
      <c r="Q2110" s="562"/>
      <c r="R2110" s="562">
        <v>0.65</v>
      </c>
      <c r="S2110" s="562"/>
      <c r="T2110" s="562"/>
      <c r="U2110" s="562"/>
      <c r="V2110" s="562"/>
      <c r="W2110" s="562"/>
      <c r="X2110" s="562"/>
      <c r="Y2110" s="562"/>
      <c r="Z2110" s="562"/>
      <c r="AA2110" s="562"/>
      <c r="AB2110" s="562"/>
      <c r="AC2110" s="562"/>
      <c r="AD2110" s="563"/>
    </row>
    <row r="2111" spans="17:30" s="560" customFormat="1">
      <c r="Q2111" s="562"/>
      <c r="R2111" s="562">
        <v>0.65</v>
      </c>
      <c r="S2111" s="562"/>
      <c r="T2111" s="562"/>
      <c r="U2111" s="562"/>
      <c r="V2111" s="562"/>
      <c r="W2111" s="562"/>
      <c r="X2111" s="562"/>
      <c r="Y2111" s="562"/>
      <c r="Z2111" s="562"/>
      <c r="AA2111" s="562"/>
      <c r="AB2111" s="562"/>
      <c r="AC2111" s="562"/>
      <c r="AD2111" s="563"/>
    </row>
    <row r="2112" spans="17:30" s="560" customFormat="1">
      <c r="Q2112" s="562"/>
      <c r="R2112" s="562">
        <v>0.63</v>
      </c>
      <c r="S2112" s="562"/>
      <c r="T2112" s="562"/>
      <c r="U2112" s="562"/>
      <c r="V2112" s="562"/>
      <c r="W2112" s="562"/>
      <c r="X2112" s="562"/>
      <c r="Y2112" s="562"/>
      <c r="Z2112" s="562"/>
      <c r="AA2112" s="562"/>
      <c r="AB2112" s="562"/>
      <c r="AC2112" s="562"/>
      <c r="AD2112" s="563"/>
    </row>
    <row r="2113" spans="17:18" s="560" customFormat="1">
      <c r="Q2113" s="562"/>
      <c r="R2113" s="562">
        <v>0.6</v>
      </c>
    </row>
    <row r="2114" spans="17:18" s="560" customFormat="1">
      <c r="Q2114" s="562"/>
      <c r="R2114" s="562">
        <v>0.7</v>
      </c>
    </row>
    <row r="2115" spans="17:18" s="560" customFormat="1">
      <c r="Q2115" s="562"/>
      <c r="R2115" s="562">
        <v>0.9</v>
      </c>
    </row>
    <row r="2116" spans="17:18" s="560" customFormat="1">
      <c r="Q2116" s="562" t="s">
        <v>821</v>
      </c>
      <c r="R2116" s="562"/>
    </row>
    <row r="2117" spans="17:18" s="560" customFormat="1">
      <c r="Q2117" s="562"/>
      <c r="R2117" s="562">
        <v>0.7</v>
      </c>
    </row>
    <row r="2118" spans="17:18" s="560" customFormat="1">
      <c r="Q2118" s="562"/>
      <c r="R2118" s="562">
        <v>0.65</v>
      </c>
    </row>
    <row r="2119" spans="17:18" s="560" customFormat="1">
      <c r="Q2119" s="562"/>
      <c r="R2119" s="562">
        <v>0.65</v>
      </c>
    </row>
    <row r="2120" spans="17:18" s="560" customFormat="1">
      <c r="Q2120" s="562"/>
      <c r="R2120" s="562">
        <v>0.6</v>
      </c>
    </row>
    <row r="2121" spans="17:18" s="560" customFormat="1">
      <c r="Q2121" s="562"/>
      <c r="R2121" s="562">
        <v>0.55000000000000004</v>
      </c>
    </row>
    <row r="2122" spans="17:18" s="560" customFormat="1">
      <c r="Q2122" s="562"/>
      <c r="R2122" s="562">
        <v>0.55000000000000004</v>
      </c>
    </row>
    <row r="2123" spans="17:18" s="560" customFormat="1">
      <c r="Q2123" s="562"/>
      <c r="R2123" s="562">
        <v>0.45</v>
      </c>
    </row>
    <row r="2124" spans="17:18" s="560" customFormat="1">
      <c r="Q2124" s="562"/>
      <c r="R2124" s="562">
        <v>0.1</v>
      </c>
    </row>
    <row r="2125" spans="17:18" s="560" customFormat="1">
      <c r="Q2125" s="562"/>
      <c r="R2125" s="562">
        <v>0.8</v>
      </c>
    </row>
    <row r="2126" spans="17:18" s="560" customFormat="1">
      <c r="Q2126" s="562"/>
      <c r="R2126" s="562">
        <v>0.6</v>
      </c>
    </row>
    <row r="2127" spans="17:18" s="560" customFormat="1">
      <c r="Q2127" s="562"/>
      <c r="R2127" s="562">
        <v>0.65</v>
      </c>
    </row>
    <row r="2128" spans="17:18" s="560" customFormat="1">
      <c r="Q2128" s="562"/>
      <c r="R2128" s="562">
        <v>0.6</v>
      </c>
    </row>
    <row r="2129" spans="16:25" s="560" customFormat="1">
      <c r="P2129" s="561"/>
      <c r="Q2129" s="562"/>
      <c r="R2129" s="562">
        <v>0.6</v>
      </c>
      <c r="S2129" s="562"/>
      <c r="T2129" s="562"/>
      <c r="U2129" s="562"/>
      <c r="V2129" s="562"/>
      <c r="W2129" s="562"/>
      <c r="X2129" s="562"/>
      <c r="Y2129" s="562"/>
    </row>
    <row r="2130" spans="16:25" s="560" customFormat="1">
      <c r="P2130" s="561"/>
      <c r="Q2130" s="562"/>
      <c r="R2130" s="562">
        <v>0.6</v>
      </c>
      <c r="S2130" s="562"/>
      <c r="T2130" s="562"/>
      <c r="U2130" s="562"/>
      <c r="V2130" s="562"/>
      <c r="W2130" s="562"/>
      <c r="X2130" s="562"/>
      <c r="Y2130" s="562"/>
    </row>
    <row r="2131" spans="16:25" s="560" customFormat="1">
      <c r="P2131" s="561"/>
      <c r="Q2131" s="562"/>
      <c r="R2131" s="562">
        <v>0.6</v>
      </c>
      <c r="S2131" s="562"/>
      <c r="T2131" s="562"/>
      <c r="U2131" s="562"/>
      <c r="V2131" s="562"/>
      <c r="W2131" s="562"/>
      <c r="X2131" s="562"/>
      <c r="Y2131" s="562"/>
    </row>
    <row r="2132" spans="16:25" s="560" customFormat="1">
      <c r="P2132" s="561"/>
      <c r="Q2132" s="562"/>
      <c r="R2132" s="562">
        <v>0.55000000000000004</v>
      </c>
      <c r="S2132" s="562"/>
      <c r="T2132" s="562"/>
      <c r="U2132" s="562"/>
      <c r="V2132" s="562"/>
      <c r="W2132" s="562"/>
      <c r="X2132" s="562"/>
      <c r="Y2132" s="562"/>
    </row>
    <row r="2133" spans="16:25" s="560" customFormat="1">
      <c r="P2133" s="561"/>
      <c r="Q2133" s="562"/>
      <c r="R2133" s="562">
        <v>0.6</v>
      </c>
      <c r="S2133" s="562"/>
      <c r="T2133" s="562"/>
      <c r="U2133" s="562"/>
      <c r="V2133" s="562"/>
      <c r="W2133" s="562"/>
      <c r="X2133" s="562"/>
      <c r="Y2133" s="562"/>
    </row>
    <row r="2134" spans="16:25" s="560" customFormat="1">
      <c r="P2134" s="561"/>
      <c r="Q2134" s="562"/>
      <c r="R2134" s="562">
        <v>0.65</v>
      </c>
      <c r="S2134" s="562"/>
      <c r="T2134" s="562"/>
      <c r="U2134" s="562"/>
      <c r="V2134" s="562"/>
      <c r="W2134" s="562"/>
      <c r="X2134" s="562"/>
      <c r="Y2134" s="562"/>
    </row>
    <row r="2135" spans="16:25" s="560" customFormat="1">
      <c r="P2135" s="561"/>
      <c r="Q2135" s="562"/>
      <c r="R2135" s="562">
        <v>0.63</v>
      </c>
      <c r="S2135" s="562"/>
      <c r="T2135" s="562"/>
      <c r="U2135" s="562"/>
      <c r="V2135" s="562"/>
      <c r="W2135" s="562"/>
      <c r="X2135" s="562"/>
      <c r="Y2135" s="562"/>
    </row>
    <row r="2136" spans="16:25" s="560" customFormat="1">
      <c r="P2136" s="561"/>
      <c r="Q2136" s="562"/>
      <c r="R2136" s="562">
        <v>0.6</v>
      </c>
      <c r="S2136" s="562"/>
      <c r="T2136" s="562"/>
      <c r="U2136" s="562"/>
      <c r="V2136" s="562"/>
      <c r="W2136" s="562"/>
      <c r="X2136" s="562"/>
      <c r="Y2136" s="562"/>
    </row>
    <row r="2137" spans="16:25" s="560" customFormat="1">
      <c r="P2137" s="561"/>
      <c r="Q2137" s="562" t="s">
        <v>799</v>
      </c>
      <c r="R2137" s="562"/>
      <c r="S2137" s="562"/>
      <c r="T2137" s="562"/>
      <c r="U2137" s="562"/>
      <c r="V2137" s="562"/>
      <c r="W2137" s="562"/>
      <c r="X2137" s="562"/>
      <c r="Y2137" s="562"/>
    </row>
    <row r="2138" spans="16:25" s="560" customFormat="1">
      <c r="P2138" s="561"/>
      <c r="Q2138" s="562"/>
      <c r="R2138" s="562">
        <v>0.55000000000000004</v>
      </c>
      <c r="S2138" s="562"/>
      <c r="T2138" s="562"/>
      <c r="U2138" s="562"/>
      <c r="V2138" s="562"/>
      <c r="W2138" s="562"/>
      <c r="X2138" s="562"/>
      <c r="Y2138" s="562"/>
    </row>
    <row r="2139" spans="16:25" s="560" customFormat="1">
      <c r="P2139" s="561"/>
      <c r="Q2139" s="562"/>
      <c r="R2139" s="562">
        <v>0.65</v>
      </c>
      <c r="S2139" s="562"/>
      <c r="T2139" s="562"/>
      <c r="U2139" s="562"/>
      <c r="V2139" s="562"/>
      <c r="W2139" s="562"/>
      <c r="X2139" s="562"/>
      <c r="Y2139" s="562"/>
    </row>
    <row r="2140" spans="16:25" s="560" customFormat="1">
      <c r="P2140" s="561"/>
      <c r="Q2140" s="562"/>
      <c r="R2140" s="562">
        <v>0.95</v>
      </c>
      <c r="S2140" s="562"/>
      <c r="T2140" s="562"/>
      <c r="U2140" s="562"/>
      <c r="V2140" s="562"/>
      <c r="W2140" s="562"/>
      <c r="X2140" s="562"/>
      <c r="Y2140" s="562"/>
    </row>
    <row r="2141" spans="16:25" s="560" customFormat="1">
      <c r="P2141" s="561"/>
      <c r="Q2141" s="562"/>
      <c r="R2141" s="562">
        <v>0.95</v>
      </c>
      <c r="S2141" s="562"/>
      <c r="T2141" s="562"/>
      <c r="U2141" s="562"/>
      <c r="V2141" s="562"/>
      <c r="W2141" s="562"/>
      <c r="X2141" s="562"/>
      <c r="Y2141" s="562"/>
    </row>
    <row r="2142" spans="16:25" s="560" customFormat="1">
      <c r="P2142" s="561"/>
      <c r="Q2142" s="562"/>
      <c r="R2142" s="562">
        <f>COUNT(R2096:R2141)</f>
        <v>44</v>
      </c>
      <c r="S2142" s="562"/>
      <c r="T2142" s="562"/>
      <c r="U2142" s="562"/>
      <c r="V2142" s="562"/>
      <c r="W2142" s="562"/>
      <c r="X2142" s="562"/>
      <c r="Y2142" s="562"/>
    </row>
    <row r="2143" spans="16:25" s="560" customFormat="1">
      <c r="P2143" s="567">
        <v>41179</v>
      </c>
      <c r="Q2143" s="568" t="s">
        <v>725</v>
      </c>
      <c r="R2143" s="568"/>
      <c r="S2143" s="568" t="s">
        <v>726</v>
      </c>
      <c r="T2143" s="569" t="s">
        <v>727</v>
      </c>
      <c r="U2143" s="569" t="s">
        <v>728</v>
      </c>
      <c r="V2143" s="569" t="s">
        <v>729</v>
      </c>
      <c r="W2143" s="569" t="s">
        <v>730</v>
      </c>
      <c r="X2143" s="569" t="s">
        <v>731</v>
      </c>
      <c r="Y2143" s="568"/>
    </row>
    <row r="2144" spans="16:25" s="560" customFormat="1">
      <c r="P2144" s="561"/>
      <c r="Q2144" s="568"/>
      <c r="R2144" s="568"/>
      <c r="S2144" s="568"/>
      <c r="T2144" s="577" t="s">
        <v>1262</v>
      </c>
      <c r="U2144" s="577" t="s">
        <v>1263</v>
      </c>
      <c r="V2144" s="577"/>
      <c r="W2144" s="577"/>
      <c r="X2144" s="577" t="s">
        <v>1264</v>
      </c>
      <c r="Y2144" s="578" t="s">
        <v>1265</v>
      </c>
    </row>
    <row r="2145" spans="16:30" s="560" customFormat="1">
      <c r="P2145" s="561" t="s">
        <v>625</v>
      </c>
      <c r="Q2145" s="583" t="s">
        <v>1266</v>
      </c>
      <c r="R2145" s="578"/>
      <c r="S2145" s="569"/>
      <c r="T2145" s="568"/>
      <c r="U2145" s="568"/>
      <c r="V2145" s="569"/>
      <c r="W2145" s="569"/>
      <c r="X2145" s="569">
        <v>2957</v>
      </c>
      <c r="Y2145" s="569"/>
      <c r="Z2145" s="562"/>
      <c r="AA2145" s="562"/>
      <c r="AB2145" s="562"/>
      <c r="AC2145" s="562"/>
      <c r="AD2145" s="563"/>
    </row>
    <row r="2146" spans="16:30" s="560" customFormat="1">
      <c r="P2146" s="587"/>
      <c r="Q2146" s="588" t="s">
        <v>755</v>
      </c>
      <c r="R2146" s="588" t="s">
        <v>756</v>
      </c>
      <c r="S2146" s="588" t="s">
        <v>757</v>
      </c>
      <c r="T2146" s="588" t="s">
        <v>758</v>
      </c>
      <c r="U2146" s="588" t="s">
        <v>759</v>
      </c>
      <c r="V2146" s="588" t="s">
        <v>760</v>
      </c>
      <c r="W2146" s="588" t="s">
        <v>761</v>
      </c>
      <c r="X2146" s="588" t="s">
        <v>762</v>
      </c>
      <c r="Y2146" s="588" t="s">
        <v>763</v>
      </c>
      <c r="Z2146" s="562"/>
      <c r="AA2146" s="562"/>
      <c r="AB2146" s="562"/>
      <c r="AC2146" s="588" t="s">
        <v>764</v>
      </c>
      <c r="AD2146" s="589"/>
    </row>
    <row r="2147" spans="16:30" s="560" customFormat="1">
      <c r="P2147" s="561"/>
      <c r="Q2147" s="562" t="s">
        <v>775</v>
      </c>
      <c r="R2147" s="562"/>
      <c r="S2147" s="562"/>
      <c r="T2147" s="562"/>
      <c r="U2147" s="562"/>
      <c r="V2147" s="562"/>
      <c r="W2147" s="562"/>
      <c r="X2147" s="584"/>
      <c r="Y2147" s="562"/>
      <c r="Z2147" s="562"/>
      <c r="AA2147" s="562"/>
      <c r="AB2147" s="562"/>
      <c r="AC2147" s="577"/>
      <c r="AD2147" s="589"/>
    </row>
    <row r="2148" spans="16:30" s="560" customFormat="1">
      <c r="P2148" s="561"/>
      <c r="Q2148" s="568"/>
      <c r="R2148" s="568">
        <v>0.6</v>
      </c>
      <c r="S2148" s="562"/>
      <c r="T2148" s="562"/>
      <c r="U2148" s="562"/>
      <c r="V2148" s="562"/>
      <c r="W2148" s="562"/>
      <c r="X2148" s="609"/>
      <c r="Y2148" s="562"/>
      <c r="Z2148" s="562"/>
      <c r="AA2148" s="562"/>
      <c r="AB2148" s="562"/>
      <c r="AC2148" s="607" t="s">
        <v>780</v>
      </c>
      <c r="AD2148" s="608" t="s">
        <v>616</v>
      </c>
    </row>
    <row r="2149" spans="16:30" s="560" customFormat="1">
      <c r="P2149" s="561"/>
      <c r="Q2149" s="568"/>
      <c r="R2149" s="562">
        <v>0.38</v>
      </c>
      <c r="S2149" s="562"/>
      <c r="T2149" s="562"/>
      <c r="U2149" s="562"/>
      <c r="V2149" s="562"/>
      <c r="W2149" s="562"/>
      <c r="X2149" s="584"/>
      <c r="Y2149" s="562"/>
      <c r="Z2149" s="562"/>
      <c r="AA2149" s="562"/>
      <c r="AB2149" s="562"/>
      <c r="AC2149" s="607" t="s">
        <v>785</v>
      </c>
      <c r="AD2149" s="608" t="s">
        <v>542</v>
      </c>
    </row>
    <row r="2150" spans="16:30" s="560" customFormat="1">
      <c r="P2150" s="561"/>
      <c r="Q2150" s="568"/>
      <c r="R2150" s="562">
        <v>0.46</v>
      </c>
      <c r="S2150" s="562"/>
      <c r="T2150" s="562"/>
      <c r="U2150" s="562"/>
      <c r="V2150" s="562"/>
      <c r="W2150" s="562"/>
      <c r="X2150" s="584"/>
      <c r="Y2150" s="562"/>
      <c r="Z2150" s="562"/>
      <c r="AA2150" s="562"/>
      <c r="AB2150" s="562"/>
      <c r="AC2150" s="607" t="s">
        <v>789</v>
      </c>
      <c r="AD2150" s="608" t="s">
        <v>790</v>
      </c>
    </row>
    <row r="2151" spans="16:30" s="560" customFormat="1">
      <c r="P2151" s="561"/>
      <c r="Q2151" s="568"/>
      <c r="R2151" s="562">
        <v>0.5</v>
      </c>
      <c r="S2151" s="562"/>
      <c r="T2151" s="562"/>
      <c r="U2151" s="562"/>
      <c r="V2151" s="562"/>
      <c r="W2151" s="562"/>
      <c r="X2151" s="584"/>
      <c r="Y2151" s="562"/>
      <c r="Z2151" s="562"/>
      <c r="AA2151" s="562"/>
      <c r="AB2151" s="562"/>
      <c r="AC2151" s="607" t="s">
        <v>791</v>
      </c>
      <c r="AD2151" s="608" t="s">
        <v>792</v>
      </c>
    </row>
    <row r="2152" spans="16:30" s="560" customFormat="1">
      <c r="P2152" s="561"/>
      <c r="Q2152" s="568"/>
      <c r="R2152" s="562">
        <v>0.49</v>
      </c>
      <c r="S2152" s="562"/>
      <c r="T2152" s="562"/>
      <c r="U2152" s="562"/>
      <c r="V2152" s="562"/>
      <c r="W2152" s="562"/>
      <c r="X2152" s="577"/>
      <c r="Y2152" s="562"/>
      <c r="Z2152" s="562"/>
      <c r="AA2152" s="562"/>
      <c r="AB2152" s="562"/>
      <c r="AC2152" s="607" t="s">
        <v>794</v>
      </c>
      <c r="AD2152" s="608" t="s">
        <v>795</v>
      </c>
    </row>
    <row r="2153" spans="16:30" s="560" customFormat="1">
      <c r="P2153" s="561"/>
      <c r="Q2153" s="568"/>
      <c r="R2153" s="562">
        <v>0.6</v>
      </c>
      <c r="S2153" s="562"/>
      <c r="T2153" s="562"/>
      <c r="U2153" s="562"/>
      <c r="V2153" s="562"/>
      <c r="W2153" s="562"/>
      <c r="X2153" s="577"/>
      <c r="Y2153" s="562"/>
      <c r="Z2153" s="562"/>
      <c r="AA2153" s="562"/>
      <c r="AB2153" s="562"/>
      <c r="AC2153" s="607" t="s">
        <v>798</v>
      </c>
      <c r="AD2153" s="608" t="s">
        <v>546</v>
      </c>
    </row>
    <row r="2154" spans="16:30" s="560" customFormat="1">
      <c r="P2154" s="561"/>
      <c r="Q2154" s="562"/>
      <c r="R2154" s="562">
        <v>0.55000000000000004</v>
      </c>
      <c r="S2154" s="562"/>
      <c r="T2154" s="562"/>
      <c r="U2154" s="562"/>
      <c r="V2154" s="562"/>
      <c r="W2154" s="562"/>
      <c r="X2154" s="577"/>
      <c r="Y2154" s="562"/>
      <c r="Z2154" s="562"/>
      <c r="AA2154" s="562"/>
      <c r="AB2154" s="562"/>
      <c r="AC2154" s="607" t="s">
        <v>800</v>
      </c>
      <c r="AD2154" s="608" t="s">
        <v>801</v>
      </c>
    </row>
    <row r="2155" spans="16:30" s="560" customFormat="1">
      <c r="P2155" s="561"/>
      <c r="Q2155" s="562"/>
      <c r="R2155" s="562">
        <v>0.65</v>
      </c>
      <c r="S2155" s="562"/>
      <c r="T2155" s="562"/>
      <c r="U2155" s="562"/>
      <c r="V2155" s="562"/>
      <c r="W2155" s="562"/>
      <c r="X2155" s="577"/>
      <c r="Y2155" s="562"/>
      <c r="Z2155" s="562"/>
      <c r="AA2155" s="562"/>
      <c r="AB2155" s="562"/>
      <c r="AC2155" s="607" t="s">
        <v>804</v>
      </c>
      <c r="AD2155" s="608" t="s">
        <v>805</v>
      </c>
    </row>
    <row r="2156" spans="16:30" s="560" customFormat="1">
      <c r="P2156" s="561"/>
      <c r="Q2156" s="562"/>
      <c r="R2156" s="562">
        <v>0.45</v>
      </c>
      <c r="S2156" s="562"/>
      <c r="T2156" s="562"/>
      <c r="U2156" s="562"/>
      <c r="V2156" s="562"/>
      <c r="W2156" s="562"/>
      <c r="X2156" s="577"/>
      <c r="Y2156" s="562"/>
      <c r="Z2156" s="562"/>
      <c r="AA2156" s="562"/>
      <c r="AB2156" s="562"/>
      <c r="AC2156" s="607" t="s">
        <v>807</v>
      </c>
      <c r="AD2156" s="608" t="s">
        <v>808</v>
      </c>
    </row>
    <row r="2157" spans="16:30" s="560" customFormat="1">
      <c r="P2157" s="561"/>
      <c r="Q2157" s="562"/>
      <c r="R2157" s="562">
        <v>0.45</v>
      </c>
      <c r="S2157" s="562"/>
      <c r="T2157" s="562"/>
      <c r="U2157" s="562"/>
      <c r="V2157" s="562"/>
      <c r="W2157" s="562"/>
      <c r="X2157" s="577"/>
      <c r="Y2157" s="562"/>
      <c r="Z2157" s="562"/>
      <c r="AA2157" s="562"/>
      <c r="AB2157" s="562"/>
      <c r="AC2157" s="607" t="s">
        <v>810</v>
      </c>
      <c r="AD2157" s="608" t="s">
        <v>550</v>
      </c>
    </row>
    <row r="2158" spans="16:30" s="560" customFormat="1">
      <c r="P2158" s="561"/>
      <c r="Q2158" s="562"/>
      <c r="R2158" s="562">
        <v>0.4</v>
      </c>
      <c r="S2158" s="562"/>
      <c r="T2158" s="562"/>
      <c r="U2158" s="562"/>
      <c r="V2158" s="562"/>
      <c r="W2158" s="562"/>
      <c r="X2158" s="577"/>
      <c r="Y2158" s="562"/>
      <c r="Z2158" s="562"/>
      <c r="AA2158" s="562"/>
      <c r="AB2158" s="562"/>
      <c r="AC2158" s="607" t="s">
        <v>813</v>
      </c>
      <c r="AD2158" s="608" t="s">
        <v>552</v>
      </c>
    </row>
    <row r="2159" spans="16:30" s="560" customFormat="1">
      <c r="P2159" s="561"/>
      <c r="Q2159" s="562"/>
      <c r="R2159" s="562">
        <v>0.65</v>
      </c>
      <c r="S2159" s="562"/>
      <c r="T2159" s="562"/>
      <c r="U2159" s="562"/>
      <c r="V2159" s="562"/>
      <c r="W2159" s="562"/>
      <c r="X2159" s="577"/>
      <c r="Y2159" s="562"/>
      <c r="Z2159" s="562"/>
      <c r="AA2159" s="562"/>
      <c r="AB2159" s="562"/>
      <c r="AC2159" s="607" t="s">
        <v>815</v>
      </c>
      <c r="AD2159" s="608" t="s">
        <v>816</v>
      </c>
    </row>
    <row r="2160" spans="16:30" s="560" customFormat="1">
      <c r="P2160" s="561"/>
      <c r="Q2160" s="562"/>
      <c r="R2160" s="562">
        <v>0.65</v>
      </c>
      <c r="S2160" s="562"/>
      <c r="T2160" s="562"/>
      <c r="U2160" s="562"/>
      <c r="V2160" s="562"/>
      <c r="W2160" s="562"/>
      <c r="X2160" s="562"/>
      <c r="Y2160" s="562"/>
      <c r="Z2160" s="562"/>
      <c r="AA2160" s="562"/>
      <c r="AB2160" s="562"/>
      <c r="AC2160" s="562"/>
      <c r="AD2160" s="563"/>
    </row>
    <row r="2161" spans="17:18" s="560" customFormat="1">
      <c r="Q2161" s="562"/>
      <c r="R2161" s="562">
        <v>0.36</v>
      </c>
    </row>
    <row r="2162" spans="17:18" s="560" customFormat="1">
      <c r="Q2162" s="562"/>
      <c r="R2162" s="562">
        <v>0.45</v>
      </c>
    </row>
    <row r="2163" spans="17:18" s="560" customFormat="1">
      <c r="Q2163" s="562"/>
      <c r="R2163" s="562">
        <v>0.4</v>
      </c>
    </row>
    <row r="2164" spans="17:18" s="560" customFormat="1">
      <c r="Q2164" s="562" t="s">
        <v>821</v>
      </c>
      <c r="R2164" s="562"/>
    </row>
    <row r="2165" spans="17:18" s="560" customFormat="1">
      <c r="Q2165" s="562"/>
      <c r="R2165" s="562">
        <v>0.6</v>
      </c>
    </row>
    <row r="2166" spans="17:18" s="560" customFormat="1">
      <c r="Q2166" s="562"/>
      <c r="R2166" s="562">
        <v>0.3</v>
      </c>
    </row>
    <row r="2167" spans="17:18" s="560" customFormat="1">
      <c r="Q2167" s="562"/>
      <c r="R2167" s="562">
        <v>0.4</v>
      </c>
    </row>
    <row r="2168" spans="17:18" s="560" customFormat="1">
      <c r="Q2168" s="562"/>
      <c r="R2168" s="562">
        <v>0.5</v>
      </c>
    </row>
    <row r="2169" spans="17:18" s="560" customFormat="1">
      <c r="Q2169" s="562"/>
      <c r="R2169" s="562">
        <v>0.55000000000000004</v>
      </c>
    </row>
    <row r="2170" spans="17:18" s="560" customFormat="1">
      <c r="Q2170" s="562"/>
      <c r="R2170" s="562">
        <v>0.6</v>
      </c>
    </row>
    <row r="2171" spans="17:18" s="560" customFormat="1">
      <c r="Q2171" s="562"/>
      <c r="R2171" s="562">
        <v>0.55000000000000004</v>
      </c>
    </row>
    <row r="2172" spans="17:18" s="560" customFormat="1">
      <c r="Q2172" s="562"/>
      <c r="R2172" s="562">
        <v>0.45</v>
      </c>
    </row>
    <row r="2173" spans="17:18" s="560" customFormat="1">
      <c r="Q2173" s="562"/>
      <c r="R2173" s="562">
        <v>0.42</v>
      </c>
    </row>
    <row r="2174" spans="17:18" s="560" customFormat="1">
      <c r="Q2174" s="562"/>
      <c r="R2174" s="562">
        <v>0.7</v>
      </c>
    </row>
    <row r="2175" spans="17:18" s="560" customFormat="1">
      <c r="Q2175" s="562"/>
      <c r="R2175" s="562">
        <v>55</v>
      </c>
    </row>
    <row r="2176" spans="17:18" s="560" customFormat="1">
      <c r="Q2176" s="562"/>
      <c r="R2176" s="562">
        <v>0.7</v>
      </c>
    </row>
    <row r="2177" spans="17:18" s="560" customFormat="1">
      <c r="Q2177" s="562"/>
      <c r="R2177" s="562">
        <v>0.7</v>
      </c>
    </row>
    <row r="2178" spans="17:18" s="560" customFormat="1">
      <c r="Q2178" s="562"/>
      <c r="R2178" s="562">
        <v>0.35</v>
      </c>
    </row>
    <row r="2179" spans="17:18" s="560" customFormat="1">
      <c r="Q2179" s="562"/>
      <c r="R2179" s="562">
        <v>0.4</v>
      </c>
    </row>
    <row r="2180" spans="17:18" s="560" customFormat="1">
      <c r="Q2180" s="562"/>
      <c r="R2180" s="562">
        <v>0.45</v>
      </c>
    </row>
    <row r="2181" spans="17:18" s="560" customFormat="1">
      <c r="Q2181" s="562" t="s">
        <v>799</v>
      </c>
      <c r="R2181" s="562"/>
    </row>
    <row r="2182" spans="17:18" s="560" customFormat="1">
      <c r="Q2182" s="562"/>
      <c r="R2182" s="562">
        <v>0.6</v>
      </c>
    </row>
    <row r="2183" spans="17:18" s="560" customFormat="1">
      <c r="Q2183" s="562"/>
      <c r="R2183" s="562">
        <v>0.7</v>
      </c>
    </row>
    <row r="2184" spans="17:18" s="560" customFormat="1">
      <c r="Q2184" s="562"/>
      <c r="R2184" s="562">
        <v>0.45</v>
      </c>
    </row>
    <row r="2185" spans="17:18" s="560" customFormat="1">
      <c r="Q2185" s="562"/>
      <c r="R2185" s="562">
        <v>0.39</v>
      </c>
    </row>
    <row r="2186" spans="17:18" s="560" customFormat="1">
      <c r="Q2186" s="562"/>
      <c r="R2186" s="562">
        <v>0.35</v>
      </c>
    </row>
    <row r="2187" spans="17:18" s="560" customFormat="1">
      <c r="Q2187" s="562"/>
      <c r="R2187" s="562">
        <v>0.4</v>
      </c>
    </row>
    <row r="2188" spans="17:18" s="560" customFormat="1">
      <c r="Q2188" s="562"/>
      <c r="R2188" s="562">
        <v>0.4</v>
      </c>
    </row>
    <row r="2189" spans="17:18" s="560" customFormat="1">
      <c r="Q2189" s="562"/>
      <c r="R2189" s="562">
        <v>0.7</v>
      </c>
    </row>
    <row r="2190" spans="17:18" s="560" customFormat="1">
      <c r="Q2190" s="562"/>
      <c r="R2190" s="562">
        <v>0.4</v>
      </c>
    </row>
    <row r="2191" spans="17:18" s="560" customFormat="1">
      <c r="Q2191" s="562"/>
      <c r="R2191" s="562">
        <v>0.45</v>
      </c>
    </row>
    <row r="2192" spans="17:18" s="560" customFormat="1">
      <c r="Q2192" s="562"/>
      <c r="R2192" s="562">
        <v>0.6</v>
      </c>
    </row>
    <row r="2193" spans="17:18" s="560" customFormat="1">
      <c r="Q2193" s="562"/>
      <c r="R2193" s="562">
        <v>0.43</v>
      </c>
    </row>
    <row r="2194" spans="17:18" s="560" customFormat="1">
      <c r="Q2194" s="562"/>
      <c r="R2194" s="562">
        <v>0.35</v>
      </c>
    </row>
    <row r="2195" spans="17:18" s="560" customFormat="1">
      <c r="Q2195" s="562"/>
      <c r="R2195" s="562">
        <v>0.7</v>
      </c>
    </row>
    <row r="2196" spans="17:18" s="560" customFormat="1">
      <c r="Q2196" s="562"/>
      <c r="R2196" s="562">
        <v>0.55000000000000004</v>
      </c>
    </row>
    <row r="2197" spans="17:18" s="560" customFormat="1">
      <c r="Q2197" s="562" t="s">
        <v>1019</v>
      </c>
      <c r="R2197" s="562"/>
    </row>
    <row r="2198" spans="17:18" s="560" customFormat="1">
      <c r="Q2198" s="562"/>
      <c r="R2198" s="562">
        <v>0.28000000000000003</v>
      </c>
    </row>
    <row r="2199" spans="17:18" s="560" customFormat="1">
      <c r="Q2199" s="562"/>
      <c r="R2199" s="562">
        <v>0.45</v>
      </c>
    </row>
    <row r="2200" spans="17:18" s="560" customFormat="1">
      <c r="Q2200" s="562"/>
      <c r="R2200" s="562">
        <v>0.55000000000000004</v>
      </c>
    </row>
    <row r="2201" spans="17:18" s="560" customFormat="1">
      <c r="Q2201" s="562"/>
      <c r="R2201" s="562">
        <v>0.7</v>
      </c>
    </row>
    <row r="2202" spans="17:18" s="560" customFormat="1">
      <c r="Q2202" s="562"/>
      <c r="R2202" s="562">
        <v>0.5</v>
      </c>
    </row>
    <row r="2203" spans="17:18" s="560" customFormat="1">
      <c r="Q2203" s="562"/>
      <c r="R2203" s="562">
        <v>0.45</v>
      </c>
    </row>
    <row r="2204" spans="17:18" s="560" customFormat="1">
      <c r="Q2204" s="562"/>
      <c r="R2204" s="562">
        <v>0.4</v>
      </c>
    </row>
    <row r="2205" spans="17:18" s="560" customFormat="1">
      <c r="Q2205" s="562"/>
      <c r="R2205" s="562">
        <v>0.75</v>
      </c>
    </row>
    <row r="2206" spans="17:18" s="560" customFormat="1">
      <c r="Q2206" s="562"/>
      <c r="R2206" s="562">
        <v>0.6</v>
      </c>
    </row>
    <row r="2207" spans="17:18" s="560" customFormat="1">
      <c r="Q2207" s="562"/>
      <c r="R2207" s="562">
        <v>0.5</v>
      </c>
    </row>
    <row r="2208" spans="17:18" s="560" customFormat="1">
      <c r="Q2208" s="562"/>
      <c r="R2208" s="562">
        <v>0.45</v>
      </c>
    </row>
    <row r="2209" spans="17:18" s="560" customFormat="1">
      <c r="Q2209" s="562"/>
      <c r="R2209" s="562">
        <v>0.6</v>
      </c>
    </row>
    <row r="2210" spans="17:18" s="560" customFormat="1">
      <c r="Q2210" s="562"/>
      <c r="R2210" s="562">
        <v>0.6</v>
      </c>
    </row>
    <row r="2211" spans="17:18" s="560" customFormat="1">
      <c r="Q2211" s="562"/>
      <c r="R2211" s="562">
        <v>0.55000000000000004</v>
      </c>
    </row>
    <row r="2212" spans="17:18" s="560" customFormat="1">
      <c r="Q2212" s="562"/>
      <c r="R2212" s="562">
        <v>0.4</v>
      </c>
    </row>
    <row r="2213" spans="17:18" s="560" customFormat="1">
      <c r="Q2213" s="562"/>
      <c r="R2213" s="562">
        <v>0.4</v>
      </c>
    </row>
    <row r="2214" spans="17:18" s="560" customFormat="1">
      <c r="Q2214" s="562" t="s">
        <v>1026</v>
      </c>
      <c r="R2214" s="562"/>
    </row>
    <row r="2215" spans="17:18" s="560" customFormat="1">
      <c r="Q2215" s="562"/>
      <c r="R2215" s="562">
        <v>0.24</v>
      </c>
    </row>
    <row r="2216" spans="17:18" s="560" customFormat="1">
      <c r="Q2216" s="562"/>
      <c r="R2216" s="562">
        <v>0.7</v>
      </c>
    </row>
    <row r="2217" spans="17:18" s="560" customFormat="1">
      <c r="Q2217" s="562"/>
      <c r="R2217" s="562">
        <v>0.45</v>
      </c>
    </row>
    <row r="2218" spans="17:18" s="560" customFormat="1">
      <c r="Q2218" s="562"/>
      <c r="R2218" s="562">
        <v>0.42</v>
      </c>
    </row>
    <row r="2219" spans="17:18" s="560" customFormat="1">
      <c r="Q2219" s="562"/>
      <c r="R2219" s="562">
        <v>0.42</v>
      </c>
    </row>
    <row r="2220" spans="17:18" s="560" customFormat="1">
      <c r="Q2220" s="562"/>
      <c r="R2220" s="562">
        <v>0.35</v>
      </c>
    </row>
    <row r="2221" spans="17:18" s="560" customFormat="1">
      <c r="Q2221" s="562"/>
      <c r="R2221" s="562">
        <v>0.37</v>
      </c>
    </row>
    <row r="2222" spans="17:18" s="560" customFormat="1">
      <c r="Q2222" s="562"/>
      <c r="R2222" s="562">
        <v>0.5</v>
      </c>
    </row>
    <row r="2223" spans="17:18" s="560" customFormat="1">
      <c r="Q2223" s="562"/>
      <c r="R2223" s="562">
        <v>0.38</v>
      </c>
    </row>
    <row r="2224" spans="17:18" s="560" customFormat="1">
      <c r="Q2224" s="562"/>
      <c r="R2224" s="562">
        <v>0.4</v>
      </c>
    </row>
    <row r="2225" spans="17:18" s="560" customFormat="1">
      <c r="Q2225" s="562"/>
      <c r="R2225" s="562">
        <v>0.42</v>
      </c>
    </row>
    <row r="2226" spans="17:18" s="560" customFormat="1">
      <c r="Q2226" s="562"/>
      <c r="R2226" s="562">
        <v>0.6</v>
      </c>
    </row>
    <row r="2227" spans="17:18" s="560" customFormat="1">
      <c r="Q2227" s="562"/>
      <c r="R2227" s="562">
        <v>0.35</v>
      </c>
    </row>
    <row r="2228" spans="17:18" s="560" customFormat="1">
      <c r="Q2228" s="562"/>
      <c r="R2228" s="562">
        <v>0.4</v>
      </c>
    </row>
    <row r="2229" spans="17:18" s="560" customFormat="1">
      <c r="Q2229" s="562"/>
      <c r="R2229" s="562">
        <v>0.5</v>
      </c>
    </row>
    <row r="2230" spans="17:18" s="560" customFormat="1">
      <c r="Q2230" s="562"/>
      <c r="R2230" s="562">
        <v>0.26</v>
      </c>
    </row>
    <row r="2231" spans="17:18" s="560" customFormat="1">
      <c r="Q2231" s="562" t="s">
        <v>1036</v>
      </c>
      <c r="R2231" s="562"/>
    </row>
    <row r="2232" spans="17:18" s="560" customFormat="1">
      <c r="Q2232" s="562"/>
      <c r="R2232" s="562">
        <v>0.4</v>
      </c>
    </row>
    <row r="2233" spans="17:18" s="560" customFormat="1">
      <c r="Q2233" s="562"/>
      <c r="R2233" s="562">
        <v>0.5</v>
      </c>
    </row>
    <row r="2234" spans="17:18" s="560" customFormat="1">
      <c r="Q2234" s="562"/>
      <c r="R2234" s="562">
        <v>0.4</v>
      </c>
    </row>
    <row r="2235" spans="17:18" s="560" customFormat="1">
      <c r="Q2235" s="562"/>
      <c r="R2235" s="562">
        <f>+(R2234)/2</f>
        <v>0.2</v>
      </c>
    </row>
    <row r="2236" spans="17:18" s="560" customFormat="1">
      <c r="Q2236" s="562"/>
      <c r="R2236" s="562">
        <v>0.41</v>
      </c>
    </row>
    <row r="2237" spans="17:18" s="560" customFormat="1">
      <c r="Q2237" s="562"/>
      <c r="R2237" s="562">
        <v>0.3</v>
      </c>
    </row>
    <row r="2238" spans="17:18" s="560" customFormat="1">
      <c r="Q2238" s="562"/>
      <c r="R2238" s="562">
        <v>0.4</v>
      </c>
    </row>
    <row r="2239" spans="17:18" s="560" customFormat="1">
      <c r="Q2239" s="562"/>
      <c r="R2239" s="562">
        <v>0.33</v>
      </c>
    </row>
    <row r="2240" spans="17:18" s="560" customFormat="1">
      <c r="Q2240" s="562"/>
      <c r="R2240" s="562">
        <v>0.48</v>
      </c>
    </row>
    <row r="2241" spans="17:18" s="560" customFormat="1">
      <c r="Q2241" s="562"/>
      <c r="R2241" s="562">
        <v>0.35</v>
      </c>
    </row>
    <row r="2242" spans="17:18" s="560" customFormat="1">
      <c r="Q2242" s="562"/>
      <c r="R2242" s="562">
        <v>0.2</v>
      </c>
    </row>
    <row r="2243" spans="17:18" s="560" customFormat="1">
      <c r="Q2243" s="562"/>
      <c r="R2243" s="562">
        <v>0.7</v>
      </c>
    </row>
    <row r="2244" spans="17:18" s="560" customFormat="1">
      <c r="Q2244" s="562"/>
      <c r="R2244" s="562">
        <v>0.7</v>
      </c>
    </row>
    <row r="2245" spans="17:18" s="560" customFormat="1">
      <c r="Q2245" s="562"/>
      <c r="R2245" s="562">
        <v>0.3</v>
      </c>
    </row>
    <row r="2246" spans="17:18" s="560" customFormat="1">
      <c r="Q2246" s="562" t="s">
        <v>1050</v>
      </c>
      <c r="R2246" s="562"/>
    </row>
    <row r="2247" spans="17:18" s="560" customFormat="1">
      <c r="Q2247" s="562"/>
      <c r="R2247" s="562">
        <v>0.45</v>
      </c>
    </row>
    <row r="2248" spans="17:18" s="560" customFormat="1">
      <c r="Q2248" s="562"/>
      <c r="R2248" s="562">
        <v>0.5</v>
      </c>
    </row>
    <row r="2249" spans="17:18" s="560" customFormat="1">
      <c r="Q2249" s="562"/>
      <c r="R2249" s="562">
        <v>0.25</v>
      </c>
    </row>
    <row r="2250" spans="17:18" s="560" customFormat="1">
      <c r="Q2250" s="562"/>
      <c r="R2250" s="562">
        <v>0.5</v>
      </c>
    </row>
    <row r="2251" spans="17:18" s="560" customFormat="1">
      <c r="Q2251" s="562"/>
      <c r="R2251" s="562">
        <v>0.33</v>
      </c>
    </row>
    <row r="2252" spans="17:18" s="560" customFormat="1">
      <c r="Q2252" s="562"/>
      <c r="R2252" s="562">
        <v>0.35</v>
      </c>
    </row>
    <row r="2253" spans="17:18" s="560" customFormat="1">
      <c r="Q2253" s="562"/>
      <c r="R2253" s="562">
        <v>0.5</v>
      </c>
    </row>
    <row r="2254" spans="17:18" s="560" customFormat="1">
      <c r="Q2254" s="562"/>
      <c r="R2254" s="562">
        <v>0.3</v>
      </c>
    </row>
    <row r="2255" spans="17:18" s="560" customFormat="1">
      <c r="Q2255" s="562"/>
      <c r="R2255" s="562">
        <v>0.25</v>
      </c>
    </row>
    <row r="2256" spans="17:18" s="560" customFormat="1">
      <c r="Q2256" s="562"/>
      <c r="R2256" s="562">
        <v>0.4</v>
      </c>
    </row>
    <row r="2257" spans="16:30" s="560" customFormat="1">
      <c r="P2257" s="561"/>
      <c r="Q2257" s="562"/>
      <c r="R2257" s="562">
        <v>0.27</v>
      </c>
      <c r="S2257" s="562"/>
      <c r="T2257" s="562"/>
      <c r="U2257" s="562"/>
      <c r="V2257" s="562"/>
      <c r="W2257" s="562"/>
      <c r="X2257" s="562"/>
      <c r="Y2257" s="562"/>
      <c r="Z2257" s="562"/>
      <c r="AA2257" s="562"/>
      <c r="AB2257" s="562"/>
      <c r="AC2257" s="562"/>
      <c r="AD2257" s="563"/>
    </row>
    <row r="2258" spans="16:30" s="560" customFormat="1">
      <c r="P2258" s="561"/>
      <c r="Q2258" s="562"/>
      <c r="R2258" s="562">
        <v>0.25</v>
      </c>
      <c r="S2258" s="562"/>
      <c r="T2258" s="562"/>
      <c r="U2258" s="562"/>
      <c r="V2258" s="562"/>
      <c r="W2258" s="562"/>
      <c r="X2258" s="562"/>
      <c r="Y2258" s="562"/>
      <c r="Z2258" s="562"/>
      <c r="AA2258" s="562"/>
      <c r="AB2258" s="562"/>
      <c r="AC2258" s="562"/>
      <c r="AD2258" s="563"/>
    </row>
    <row r="2259" spans="16:30" s="560" customFormat="1">
      <c r="P2259" s="561"/>
      <c r="Q2259" s="562"/>
      <c r="R2259" s="562">
        <v>0.47</v>
      </c>
      <c r="S2259" s="562"/>
      <c r="T2259" s="562"/>
      <c r="U2259" s="562"/>
      <c r="V2259" s="562"/>
      <c r="W2259" s="562"/>
      <c r="X2259" s="562"/>
      <c r="Y2259" s="562"/>
      <c r="Z2259" s="562"/>
      <c r="AA2259" s="562"/>
      <c r="AB2259" s="562"/>
      <c r="AC2259" s="562"/>
      <c r="AD2259" s="563"/>
    </row>
    <row r="2260" spans="16:30" s="560" customFormat="1">
      <c r="P2260" s="561"/>
      <c r="Q2260" s="562"/>
      <c r="R2260" s="562">
        <v>0.47</v>
      </c>
      <c r="S2260" s="562"/>
      <c r="T2260" s="562"/>
      <c r="U2260" s="562"/>
      <c r="V2260" s="562"/>
      <c r="W2260" s="562"/>
      <c r="X2260" s="562"/>
      <c r="Y2260" s="562"/>
      <c r="Z2260" s="562"/>
      <c r="AA2260" s="562"/>
      <c r="AB2260" s="562"/>
      <c r="AC2260" s="562"/>
      <c r="AD2260" s="563"/>
    </row>
    <row r="2261" spans="16:30" s="560" customFormat="1">
      <c r="P2261" s="561"/>
      <c r="Q2261" s="562"/>
      <c r="R2261" s="562">
        <v>0.5</v>
      </c>
      <c r="S2261" s="562"/>
      <c r="T2261" s="562"/>
      <c r="U2261" s="562"/>
      <c r="V2261" s="562"/>
      <c r="W2261" s="562"/>
      <c r="X2261" s="562"/>
      <c r="Y2261" s="562"/>
      <c r="Z2261" s="562"/>
      <c r="AA2261" s="562"/>
      <c r="AB2261" s="562"/>
      <c r="AC2261" s="562"/>
      <c r="AD2261" s="563"/>
    </row>
    <row r="2262" spans="16:30" s="560" customFormat="1">
      <c r="P2262" s="561"/>
      <c r="Q2262" s="562"/>
      <c r="R2262" s="562">
        <v>0.55000000000000004</v>
      </c>
      <c r="S2262" s="562"/>
      <c r="T2262" s="562"/>
      <c r="U2262" s="562"/>
      <c r="V2262" s="562"/>
      <c r="W2262" s="562"/>
      <c r="X2262" s="562"/>
      <c r="Y2262" s="562"/>
      <c r="Z2262" s="562"/>
      <c r="AA2262" s="562"/>
      <c r="AB2262" s="562"/>
      <c r="AC2262" s="562"/>
      <c r="AD2262" s="563"/>
    </row>
    <row r="2263" spans="16:30" s="560" customFormat="1">
      <c r="P2263" s="561"/>
      <c r="Q2263" s="562"/>
      <c r="R2263" s="562">
        <v>0.45</v>
      </c>
      <c r="S2263" s="562"/>
      <c r="T2263" s="562"/>
      <c r="U2263" s="562"/>
      <c r="V2263" s="562"/>
      <c r="W2263" s="562"/>
      <c r="X2263" s="562"/>
      <c r="Y2263" s="562"/>
      <c r="Z2263" s="562"/>
      <c r="AA2263" s="562"/>
      <c r="AB2263" s="562"/>
      <c r="AC2263" s="562"/>
      <c r="AD2263" s="563"/>
    </row>
    <row r="2264" spans="16:30" s="560" customFormat="1">
      <c r="P2264" s="561"/>
      <c r="Q2264" s="562" t="s">
        <v>1061</v>
      </c>
      <c r="R2264" s="562">
        <f>COUNT(R2148:R2263)</f>
        <v>110</v>
      </c>
      <c r="S2264" s="562"/>
      <c r="T2264" s="562"/>
      <c r="U2264" s="562"/>
      <c r="V2264" s="562"/>
      <c r="W2264" s="562"/>
      <c r="X2264" s="562"/>
      <c r="Y2264" s="562"/>
      <c r="Z2264" s="562"/>
      <c r="AA2264" s="562"/>
      <c r="AB2264" s="562"/>
      <c r="AC2264" s="562"/>
      <c r="AD2264" s="563"/>
    </row>
    <row r="2266" spans="16:30" s="560" customFormat="1">
      <c r="P2266" s="567"/>
      <c r="Q2266" s="568"/>
      <c r="R2266" s="568"/>
      <c r="S2266" s="568"/>
      <c r="T2266" s="569"/>
      <c r="U2266" s="569"/>
      <c r="V2266" s="569"/>
      <c r="W2266" s="569"/>
      <c r="X2266" s="569"/>
      <c r="Y2266" s="568"/>
      <c r="Z2266" s="562"/>
      <c r="AA2266" s="562"/>
      <c r="AB2266" s="562"/>
      <c r="AC2266" s="562"/>
      <c r="AD2266" s="563"/>
    </row>
    <row r="2267" spans="16:30" s="560" customFormat="1">
      <c r="P2267" s="561"/>
      <c r="Q2267" s="568"/>
      <c r="R2267" s="568"/>
      <c r="S2267" s="568"/>
      <c r="T2267" s="577"/>
      <c r="U2267" s="577"/>
      <c r="V2267" s="577"/>
      <c r="W2267" s="577"/>
      <c r="X2267" s="577"/>
      <c r="Y2267" s="568"/>
      <c r="Z2267" s="562"/>
      <c r="AA2267" s="562"/>
      <c r="AB2267" s="562"/>
      <c r="AC2267" s="562"/>
      <c r="AD2267" s="563"/>
    </row>
    <row r="2268" spans="16:30" s="560" customFormat="1">
      <c r="P2268" s="561"/>
      <c r="Q2268" s="583"/>
      <c r="R2268" s="578"/>
      <c r="S2268" s="569"/>
      <c r="T2268" s="568"/>
      <c r="U2268" s="568"/>
      <c r="V2268" s="569"/>
      <c r="W2268" s="569"/>
      <c r="X2268" s="569"/>
      <c r="Y2268" s="569"/>
      <c r="Z2268" s="562"/>
      <c r="AA2268" s="562"/>
      <c r="AB2268" s="562"/>
      <c r="AC2268" s="562"/>
      <c r="AD2268" s="563"/>
    </row>
    <row r="2269" spans="16:30" s="560" customFormat="1">
      <c r="P2269" s="587"/>
      <c r="Q2269" s="588"/>
      <c r="R2269" s="588"/>
      <c r="S2269" s="588"/>
      <c r="T2269" s="588"/>
      <c r="U2269" s="588"/>
      <c r="V2269" s="588"/>
      <c r="W2269" s="588"/>
      <c r="X2269" s="588"/>
      <c r="Y2269" s="588"/>
      <c r="Z2269" s="562"/>
      <c r="AA2269" s="562"/>
      <c r="AB2269" s="562"/>
      <c r="AC2269" s="588"/>
      <c r="AD2269" s="589"/>
    </row>
    <row r="2270" spans="16:30" s="560" customFormat="1">
      <c r="P2270" s="561"/>
      <c r="Q2270" s="562"/>
      <c r="R2270" s="562"/>
      <c r="S2270" s="562"/>
      <c r="T2270" s="562"/>
      <c r="U2270" s="562"/>
      <c r="V2270" s="562"/>
      <c r="W2270" s="562"/>
      <c r="X2270" s="584"/>
      <c r="Y2270" s="562"/>
      <c r="Z2270" s="562"/>
      <c r="AA2270" s="562"/>
      <c r="AB2270" s="562"/>
      <c r="AC2270" s="577"/>
      <c r="AD2270" s="589"/>
    </row>
    <row r="2271" spans="16:30" s="560" customFormat="1">
      <c r="P2271" s="561"/>
      <c r="Q2271" s="568"/>
      <c r="R2271" s="568"/>
      <c r="S2271" s="562"/>
      <c r="T2271" s="562"/>
      <c r="U2271" s="562"/>
      <c r="V2271" s="562"/>
      <c r="W2271" s="562"/>
      <c r="X2271" s="609"/>
      <c r="Y2271" s="562"/>
      <c r="Z2271" s="562"/>
      <c r="AA2271" s="562"/>
      <c r="AB2271" s="562"/>
      <c r="AC2271" s="607"/>
      <c r="AD2271" s="608"/>
    </row>
    <row r="2272" spans="16:30" s="560" customFormat="1">
      <c r="P2272" s="561"/>
      <c r="Q2272" s="568"/>
      <c r="R2272" s="562"/>
      <c r="S2272" s="562"/>
      <c r="T2272" s="562"/>
      <c r="U2272" s="562"/>
      <c r="V2272" s="562"/>
      <c r="W2272" s="562"/>
      <c r="X2272" s="584"/>
      <c r="Y2272" s="562"/>
      <c r="Z2272" s="562"/>
      <c r="AA2272" s="562"/>
      <c r="AB2272" s="562"/>
      <c r="AC2272" s="607"/>
      <c r="AD2272" s="608"/>
    </row>
    <row r="2273" spans="17:30" s="560" customFormat="1">
      <c r="Q2273" s="568"/>
      <c r="R2273" s="562"/>
      <c r="S2273" s="562"/>
      <c r="T2273" s="562"/>
      <c r="U2273" s="562"/>
      <c r="V2273" s="562"/>
      <c r="W2273" s="562"/>
      <c r="X2273" s="584"/>
      <c r="Y2273" s="562"/>
      <c r="Z2273" s="562"/>
      <c r="AA2273" s="562"/>
      <c r="AB2273" s="562"/>
      <c r="AC2273" s="607"/>
      <c r="AD2273" s="608"/>
    </row>
    <row r="2274" spans="17:30" s="560" customFormat="1">
      <c r="Q2274" s="568"/>
      <c r="R2274" s="562"/>
      <c r="S2274" s="562"/>
      <c r="T2274" s="562"/>
      <c r="U2274" s="562"/>
      <c r="V2274" s="562"/>
      <c r="W2274" s="562"/>
      <c r="X2274" s="584"/>
      <c r="Y2274" s="562"/>
      <c r="Z2274" s="562"/>
      <c r="AA2274" s="562"/>
      <c r="AB2274" s="562"/>
      <c r="AC2274" s="607"/>
      <c r="AD2274" s="608"/>
    </row>
    <row r="2275" spans="17:30" s="560" customFormat="1">
      <c r="Q2275" s="568"/>
      <c r="R2275" s="562"/>
      <c r="S2275" s="562"/>
      <c r="T2275" s="562"/>
      <c r="U2275" s="562"/>
      <c r="V2275" s="562"/>
      <c r="W2275" s="562"/>
      <c r="X2275" s="577"/>
      <c r="Y2275" s="562"/>
      <c r="Z2275" s="562"/>
      <c r="AA2275" s="562"/>
      <c r="AB2275" s="562"/>
      <c r="AC2275" s="607"/>
      <c r="AD2275" s="608"/>
    </row>
    <row r="2276" spans="17:30" s="560" customFormat="1">
      <c r="Q2276" s="568"/>
      <c r="R2276" s="562"/>
      <c r="S2276" s="562"/>
      <c r="T2276" s="562"/>
      <c r="U2276" s="562"/>
      <c r="V2276" s="562"/>
      <c r="W2276" s="562"/>
      <c r="X2276" s="577"/>
      <c r="Y2276" s="562"/>
      <c r="Z2276" s="562"/>
      <c r="AA2276" s="562"/>
      <c r="AB2276" s="562"/>
      <c r="AC2276" s="607"/>
      <c r="AD2276" s="608"/>
    </row>
    <row r="2277" spans="17:30" s="560" customFormat="1">
      <c r="Q2277" s="562"/>
      <c r="R2277" s="562"/>
      <c r="S2277" s="562"/>
      <c r="T2277" s="562"/>
      <c r="U2277" s="562"/>
      <c r="V2277" s="562"/>
      <c r="W2277" s="562"/>
      <c r="X2277" s="577"/>
      <c r="Y2277" s="562"/>
      <c r="Z2277" s="562"/>
      <c r="AA2277" s="562"/>
      <c r="AB2277" s="562"/>
      <c r="AC2277" s="607"/>
      <c r="AD2277" s="608"/>
    </row>
    <row r="2278" spans="17:30" s="560" customFormat="1">
      <c r="Q2278" s="562"/>
      <c r="R2278" s="562"/>
      <c r="S2278" s="562"/>
      <c r="T2278" s="562"/>
      <c r="U2278" s="562"/>
      <c r="V2278" s="562"/>
      <c r="W2278" s="562"/>
      <c r="X2278" s="577"/>
      <c r="Y2278" s="562"/>
      <c r="Z2278" s="562"/>
      <c r="AA2278" s="562"/>
      <c r="AB2278" s="562"/>
      <c r="AC2278" s="607"/>
      <c r="AD2278" s="608"/>
    </row>
    <row r="2279" spans="17:30" s="560" customFormat="1">
      <c r="Q2279" s="562"/>
      <c r="R2279" s="562"/>
      <c r="S2279" s="562"/>
      <c r="T2279" s="562"/>
      <c r="U2279" s="562"/>
      <c r="V2279" s="562"/>
      <c r="W2279" s="562"/>
      <c r="X2279" s="577"/>
      <c r="Y2279" s="562"/>
      <c r="Z2279" s="562"/>
      <c r="AA2279" s="562"/>
      <c r="AB2279" s="562"/>
      <c r="AC2279" s="607"/>
      <c r="AD2279" s="608"/>
    </row>
    <row r="2280" spans="17:30" s="560" customFormat="1">
      <c r="Q2280" s="562"/>
      <c r="R2280" s="562"/>
      <c r="S2280" s="562"/>
      <c r="T2280" s="562"/>
      <c r="U2280" s="562"/>
      <c r="V2280" s="562"/>
      <c r="W2280" s="562"/>
      <c r="X2280" s="577"/>
      <c r="Y2280" s="562"/>
      <c r="Z2280" s="562"/>
      <c r="AA2280" s="562"/>
      <c r="AB2280" s="562"/>
      <c r="AC2280" s="607"/>
      <c r="AD2280" s="608"/>
    </row>
    <row r="2281" spans="17:30" s="560" customFormat="1">
      <c r="Q2281" s="562"/>
      <c r="R2281" s="562"/>
      <c r="S2281" s="562"/>
      <c r="T2281" s="562"/>
      <c r="U2281" s="562"/>
      <c r="V2281" s="562"/>
      <c r="W2281" s="562"/>
      <c r="X2281" s="577"/>
      <c r="Y2281" s="562"/>
      <c r="Z2281" s="562"/>
      <c r="AA2281" s="562"/>
      <c r="AB2281" s="562"/>
      <c r="AC2281" s="607"/>
      <c r="AD2281" s="608"/>
    </row>
    <row r="2282" spans="17:30" s="560" customFormat="1">
      <c r="Q2282" s="562"/>
      <c r="R2282" s="562"/>
      <c r="S2282" s="562"/>
      <c r="T2282" s="562"/>
      <c r="U2282" s="562"/>
      <c r="V2282" s="562"/>
      <c r="W2282" s="562"/>
      <c r="X2282" s="577"/>
      <c r="Y2282" s="562"/>
      <c r="Z2282" s="562"/>
      <c r="AA2282" s="562"/>
      <c r="AB2282" s="562"/>
      <c r="AC2282" s="607"/>
      <c r="AD2282" s="608"/>
    </row>
  </sheetData>
  <mergeCells count="8">
    <mergeCell ref="DD2:EA2"/>
    <mergeCell ref="CD4:CS4"/>
    <mergeCell ref="BN10:BO10"/>
    <mergeCell ref="BN105:BO105"/>
    <mergeCell ref="A2:O2"/>
    <mergeCell ref="P2:AD2"/>
    <mergeCell ref="AE2:BB2"/>
    <mergeCell ref="BC2:DC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sheetPr codeName="Sheet19"/>
  <dimension ref="A1:M650"/>
  <sheetViews>
    <sheetView workbookViewId="0">
      <selection activeCell="I20" sqref="I20"/>
    </sheetView>
  </sheetViews>
  <sheetFormatPr defaultRowHeight="12.75"/>
  <cols>
    <col min="1" max="1" width="20.7109375" style="227" bestFit="1" customWidth="1"/>
    <col min="2" max="2" width="15.140625" style="227" bestFit="1" customWidth="1"/>
    <col min="3" max="3" width="10.7109375" style="227" bestFit="1" customWidth="1"/>
    <col min="4" max="4" width="11.28515625" style="227" bestFit="1" customWidth="1"/>
    <col min="5" max="5" width="15.140625" style="227" bestFit="1" customWidth="1"/>
    <col min="6" max="6" width="15.5703125" style="227" bestFit="1" customWidth="1"/>
    <col min="7" max="7" width="13.5703125" style="227" bestFit="1" customWidth="1"/>
    <col min="8" max="8" width="21.85546875" style="227" bestFit="1" customWidth="1"/>
    <col min="9" max="9" width="23.5703125" style="227" hidden="1" customWidth="1"/>
    <col min="10" max="10" width="14.85546875" style="227" bestFit="1" customWidth="1"/>
    <col min="11" max="11" width="11.140625" style="227" bestFit="1" customWidth="1"/>
    <col min="12" max="12" width="41.5703125" style="227" bestFit="1" customWidth="1"/>
    <col min="13" max="13" width="16" style="227" bestFit="1" customWidth="1"/>
    <col min="14" max="16384" width="9.140625" style="227"/>
  </cols>
  <sheetData>
    <row r="1" spans="1:13">
      <c r="A1" s="226" t="s">
        <v>236</v>
      </c>
    </row>
    <row r="2" spans="1:13">
      <c r="G2" s="297" t="s">
        <v>198</v>
      </c>
      <c r="H2" s="298">
        <f t="array" ref="H2">AVERAGE(IF(ISNUMBER(H5:H644),IF(H5:H644&gt;0,H5:H644,"")))</f>
        <v>61.147222222222268</v>
      </c>
      <c r="I2" s="299"/>
      <c r="J2" s="300">
        <f t="array" ref="J2">AVERAGE(IF(ISNUMBER(J5:J644),IF(J5:J644&gt;0,J5:J644,"")))</f>
        <v>0.99927701800919477</v>
      </c>
    </row>
    <row r="3" spans="1:13">
      <c r="A3" s="301"/>
      <c r="B3" s="301"/>
      <c r="C3" s="301"/>
      <c r="D3" s="301"/>
      <c r="E3" s="302"/>
      <c r="F3" s="301"/>
      <c r="G3" s="303" t="s">
        <v>203</v>
      </c>
      <c r="H3" s="301">
        <f t="array" ref="H3">COUNT(IF(ISNUMBER(H5:H644),IF(H5:H644&gt;0,H5:H644,"")))</f>
        <v>612</v>
      </c>
      <c r="I3" s="301">
        <f t="array" ref="I3">COUNT(IF(ISNUMBER(I5:I644),IF(I5:I644&gt;0,I5:I644,"")))</f>
        <v>35</v>
      </c>
      <c r="J3" s="301">
        <f t="array" ref="J3">COUNT(IF(ISNUMBER(J5:J644),IF(J5:J644&gt;0,J5:J644,"")))</f>
        <v>599</v>
      </c>
      <c r="K3" s="301"/>
      <c r="L3" s="301"/>
      <c r="M3" s="301"/>
    </row>
    <row r="4" spans="1:13" ht="15">
      <c r="A4" s="304" t="s">
        <v>237</v>
      </c>
      <c r="B4" s="304" t="s">
        <v>238</v>
      </c>
      <c r="C4" s="304" t="s">
        <v>239</v>
      </c>
      <c r="D4" s="304" t="s">
        <v>240</v>
      </c>
      <c r="E4" s="305" t="s">
        <v>241</v>
      </c>
      <c r="F4" s="304" t="s">
        <v>242</v>
      </c>
      <c r="G4" s="304" t="s">
        <v>243</v>
      </c>
      <c r="H4" s="304" t="s">
        <v>244</v>
      </c>
      <c r="I4" s="304" t="s">
        <v>245</v>
      </c>
      <c r="J4" s="304" t="s">
        <v>246</v>
      </c>
      <c r="K4" s="304" t="s">
        <v>247</v>
      </c>
      <c r="L4" s="304" t="s">
        <v>248</v>
      </c>
      <c r="M4" s="304" t="s">
        <v>249</v>
      </c>
    </row>
    <row r="5" spans="1:13">
      <c r="A5" s="301" t="s">
        <v>250</v>
      </c>
      <c r="B5" s="301">
        <v>250</v>
      </c>
      <c r="C5" s="301">
        <v>1770</v>
      </c>
      <c r="D5" s="301" t="s">
        <v>251</v>
      </c>
      <c r="E5" s="302">
        <v>479.3</v>
      </c>
      <c r="F5" s="301">
        <v>325</v>
      </c>
      <c r="G5" s="301">
        <v>228.7</v>
      </c>
      <c r="H5" s="301">
        <v>69.400000000000006</v>
      </c>
      <c r="I5" s="301">
        <v>1993</v>
      </c>
      <c r="J5" s="300">
        <f t="shared" ref="J5:J39" si="0">G5/(B5*0.746)</f>
        <v>1.2262734584450401</v>
      </c>
      <c r="K5" s="301" t="s">
        <v>252</v>
      </c>
      <c r="L5" s="301" t="s">
        <v>253</v>
      </c>
      <c r="M5" s="301"/>
    </row>
    <row r="6" spans="1:13">
      <c r="A6" s="301" t="s">
        <v>250</v>
      </c>
      <c r="B6" s="301">
        <v>150</v>
      </c>
      <c r="C6" s="301">
        <v>1780</v>
      </c>
      <c r="D6" s="301" t="s">
        <v>251</v>
      </c>
      <c r="E6" s="302">
        <v>480</v>
      </c>
      <c r="F6" s="301">
        <v>143</v>
      </c>
      <c r="G6" s="301">
        <v>101.7</v>
      </c>
      <c r="H6" s="301">
        <v>53.8</v>
      </c>
      <c r="I6" s="301">
        <v>2374</v>
      </c>
      <c r="J6" s="300">
        <f t="shared" si="0"/>
        <v>0.90884718498659511</v>
      </c>
      <c r="K6" s="301" t="s">
        <v>252</v>
      </c>
      <c r="L6" s="301" t="s">
        <v>254</v>
      </c>
      <c r="M6" s="301"/>
    </row>
    <row r="7" spans="1:13">
      <c r="A7" s="301" t="s">
        <v>255</v>
      </c>
      <c r="B7" s="301">
        <v>100</v>
      </c>
      <c r="C7" s="301">
        <v>1770</v>
      </c>
      <c r="D7" s="301" t="s">
        <v>256</v>
      </c>
      <c r="E7" s="302">
        <v>497</v>
      </c>
      <c r="F7" s="301">
        <v>54.9</v>
      </c>
      <c r="G7" s="301">
        <v>46.7</v>
      </c>
      <c r="H7" s="301">
        <v>59.8</v>
      </c>
      <c r="I7" s="306">
        <v>3332</v>
      </c>
      <c r="J7" s="300">
        <f t="shared" si="0"/>
        <v>0.62600536193029499</v>
      </c>
      <c r="K7" s="301" t="s">
        <v>252</v>
      </c>
      <c r="L7" s="301" t="s">
        <v>257</v>
      </c>
      <c r="M7" s="301"/>
    </row>
    <row r="8" spans="1:13">
      <c r="A8" s="301" t="s">
        <v>250</v>
      </c>
      <c r="B8" s="301">
        <v>600</v>
      </c>
      <c r="C8" s="301">
        <v>1771</v>
      </c>
      <c r="D8" s="301" t="s">
        <v>251</v>
      </c>
      <c r="E8" s="302">
        <v>480.3</v>
      </c>
      <c r="F8" s="301">
        <v>615.70000000000005</v>
      </c>
      <c r="G8" s="301">
        <v>442.4</v>
      </c>
      <c r="H8" s="301">
        <v>72.900000000000006</v>
      </c>
      <c r="I8" s="306">
        <v>1831</v>
      </c>
      <c r="J8" s="300">
        <f t="shared" si="0"/>
        <v>0.98838248436103648</v>
      </c>
      <c r="K8" s="301" t="s">
        <v>252</v>
      </c>
      <c r="L8" s="301" t="s">
        <v>258</v>
      </c>
      <c r="M8" s="301"/>
    </row>
    <row r="9" spans="1:13">
      <c r="A9" s="301" t="s">
        <v>250</v>
      </c>
      <c r="B9" s="301">
        <v>250</v>
      </c>
      <c r="C9" s="301">
        <v>1775</v>
      </c>
      <c r="D9" s="301" t="s">
        <v>251</v>
      </c>
      <c r="E9" s="302">
        <v>485.7</v>
      </c>
      <c r="F9" s="301">
        <v>244.7</v>
      </c>
      <c r="G9" s="301">
        <v>179</v>
      </c>
      <c r="H9" s="301">
        <v>55.4</v>
      </c>
      <c r="I9" s="306">
        <v>1305</v>
      </c>
      <c r="J9" s="300">
        <f t="shared" si="0"/>
        <v>0.95978552278820373</v>
      </c>
      <c r="K9" s="301" t="s">
        <v>252</v>
      </c>
      <c r="L9" s="301" t="s">
        <v>259</v>
      </c>
      <c r="M9" s="301"/>
    </row>
    <row r="10" spans="1:13">
      <c r="A10" s="301" t="s">
        <v>250</v>
      </c>
      <c r="B10" s="301">
        <v>200</v>
      </c>
      <c r="C10" s="301">
        <v>1775</v>
      </c>
      <c r="D10" s="301" t="s">
        <v>251</v>
      </c>
      <c r="E10" s="302">
        <v>483</v>
      </c>
      <c r="F10" s="301">
        <v>152.80000000000001</v>
      </c>
      <c r="G10" s="301">
        <v>108.3</v>
      </c>
      <c r="H10" s="301">
        <v>68</v>
      </c>
      <c r="I10" s="306">
        <v>2690</v>
      </c>
      <c r="J10" s="300">
        <f t="shared" si="0"/>
        <v>0.72587131367292224</v>
      </c>
      <c r="K10" s="301" t="s">
        <v>252</v>
      </c>
      <c r="L10" s="301" t="s">
        <v>260</v>
      </c>
      <c r="M10" s="301"/>
    </row>
    <row r="11" spans="1:13">
      <c r="A11" s="301" t="s">
        <v>250</v>
      </c>
      <c r="B11" s="301">
        <v>150</v>
      </c>
      <c r="C11" s="301">
        <v>1775</v>
      </c>
      <c r="D11" s="301" t="s">
        <v>251</v>
      </c>
      <c r="E11" s="302">
        <v>491.7</v>
      </c>
      <c r="F11" s="301">
        <v>111.8</v>
      </c>
      <c r="G11" s="301">
        <v>91.2</v>
      </c>
      <c r="H11" s="301">
        <v>66.8</v>
      </c>
      <c r="I11" s="306">
        <v>2019</v>
      </c>
      <c r="J11" s="300">
        <f t="shared" si="0"/>
        <v>0.81501340482573725</v>
      </c>
      <c r="K11" s="301" t="s">
        <v>252</v>
      </c>
      <c r="L11" s="301" t="s">
        <v>261</v>
      </c>
      <c r="M11" s="301"/>
    </row>
    <row r="12" spans="1:13">
      <c r="A12" s="301" t="s">
        <v>250</v>
      </c>
      <c r="B12" s="301">
        <v>100</v>
      </c>
      <c r="C12" s="301">
        <v>1800</v>
      </c>
      <c r="D12" s="301" t="s">
        <v>251</v>
      </c>
      <c r="E12" s="302">
        <v>485.3</v>
      </c>
      <c r="F12" s="301">
        <v>108.7</v>
      </c>
      <c r="G12" s="301">
        <v>80.400000000000006</v>
      </c>
      <c r="H12" s="301">
        <v>70.900000000000006</v>
      </c>
      <c r="I12" s="306">
        <v>2475</v>
      </c>
      <c r="J12" s="300">
        <f t="shared" si="0"/>
        <v>1.0777479892761395</v>
      </c>
      <c r="K12" s="301" t="s">
        <v>252</v>
      </c>
      <c r="L12" s="301" t="s">
        <v>262</v>
      </c>
      <c r="M12" s="301"/>
    </row>
    <row r="13" spans="1:13" ht="15">
      <c r="A13" s="301" t="s">
        <v>250</v>
      </c>
      <c r="B13" s="301">
        <v>200</v>
      </c>
      <c r="C13" s="301">
        <v>1775</v>
      </c>
      <c r="D13" s="301" t="s">
        <v>251</v>
      </c>
      <c r="E13" s="302">
        <v>493</v>
      </c>
      <c r="F13" s="301">
        <v>174.9</v>
      </c>
      <c r="G13" s="307">
        <v>136.19999999999999</v>
      </c>
      <c r="H13" s="301">
        <v>69.900000000000006</v>
      </c>
      <c r="I13" s="306">
        <v>2336</v>
      </c>
      <c r="J13" s="300">
        <f t="shared" si="0"/>
        <v>0.91286863270777474</v>
      </c>
      <c r="K13" s="301" t="s">
        <v>252</v>
      </c>
      <c r="L13" s="301" t="s">
        <v>263</v>
      </c>
      <c r="M13" s="301"/>
    </row>
    <row r="14" spans="1:13">
      <c r="A14" s="301" t="s">
        <v>250</v>
      </c>
      <c r="B14" s="301">
        <v>100</v>
      </c>
      <c r="C14" s="301" t="s">
        <v>111</v>
      </c>
      <c r="D14" s="301" t="s">
        <v>251</v>
      </c>
      <c r="E14" s="302">
        <v>492.7</v>
      </c>
      <c r="F14" s="301">
        <v>91.5</v>
      </c>
      <c r="G14" s="301">
        <v>76.900000000000006</v>
      </c>
      <c r="H14" s="301">
        <v>70.7</v>
      </c>
      <c r="I14" s="306">
        <v>1216</v>
      </c>
      <c r="J14" s="300">
        <f t="shared" si="0"/>
        <v>1.0308310991957106</v>
      </c>
      <c r="K14" s="301" t="s">
        <v>252</v>
      </c>
      <c r="L14" s="301" t="s">
        <v>264</v>
      </c>
      <c r="M14" s="301"/>
    </row>
    <row r="15" spans="1:13">
      <c r="A15" s="301" t="s">
        <v>250</v>
      </c>
      <c r="B15" s="301">
        <v>200</v>
      </c>
      <c r="C15" s="301">
        <v>1775</v>
      </c>
      <c r="D15" s="301" t="s">
        <v>251</v>
      </c>
      <c r="E15" s="302">
        <v>487.3</v>
      </c>
      <c r="F15" s="301">
        <v>196.8</v>
      </c>
      <c r="G15" s="301">
        <v>135.1</v>
      </c>
      <c r="H15" s="301">
        <v>71.8</v>
      </c>
      <c r="I15" s="306">
        <v>2338</v>
      </c>
      <c r="J15" s="300">
        <f t="shared" si="0"/>
        <v>0.90549597855227881</v>
      </c>
      <c r="K15" s="301" t="s">
        <v>252</v>
      </c>
      <c r="L15" s="301" t="s">
        <v>265</v>
      </c>
      <c r="M15" s="301"/>
    </row>
    <row r="16" spans="1:13">
      <c r="A16" s="301"/>
      <c r="B16" s="301">
        <v>600</v>
      </c>
      <c r="C16" s="301">
        <v>892</v>
      </c>
      <c r="D16" s="301"/>
      <c r="E16" s="302">
        <v>2133.3000000000002</v>
      </c>
      <c r="F16" s="301">
        <v>93.3</v>
      </c>
      <c r="G16" s="301">
        <v>304.10000000000002</v>
      </c>
      <c r="H16" s="301">
        <v>54.1</v>
      </c>
      <c r="I16" s="306">
        <v>2567</v>
      </c>
      <c r="J16" s="300">
        <f t="shared" si="0"/>
        <v>0.67940125111706884</v>
      </c>
      <c r="K16" s="301" t="s">
        <v>252</v>
      </c>
      <c r="L16" s="301" t="s">
        <v>266</v>
      </c>
      <c r="M16" s="301"/>
    </row>
    <row r="17" spans="1:13">
      <c r="A17" s="301" t="s">
        <v>250</v>
      </c>
      <c r="B17" s="301">
        <v>100</v>
      </c>
      <c r="C17" s="301">
        <v>3600</v>
      </c>
      <c r="D17" s="301" t="s">
        <v>251</v>
      </c>
      <c r="E17" s="302">
        <v>474</v>
      </c>
      <c r="F17" s="301">
        <v>91.2</v>
      </c>
      <c r="G17" s="301">
        <v>56.7</v>
      </c>
      <c r="H17" s="301">
        <v>13.7</v>
      </c>
      <c r="I17" s="306">
        <v>1481</v>
      </c>
      <c r="J17" s="300">
        <f t="shared" si="0"/>
        <v>0.76005361930294912</v>
      </c>
      <c r="K17" s="301" t="s">
        <v>252</v>
      </c>
      <c r="L17" s="301" t="s">
        <v>267</v>
      </c>
      <c r="M17" s="301"/>
    </row>
    <row r="18" spans="1:13">
      <c r="A18" s="301" t="s">
        <v>255</v>
      </c>
      <c r="B18" s="301">
        <v>75</v>
      </c>
      <c r="C18" s="301">
        <v>1770</v>
      </c>
      <c r="D18" s="301" t="s">
        <v>256</v>
      </c>
      <c r="E18" s="302">
        <v>470.3</v>
      </c>
      <c r="F18" s="301">
        <v>84.6</v>
      </c>
      <c r="G18" s="301">
        <v>58.9</v>
      </c>
      <c r="H18" s="301">
        <v>51.1</v>
      </c>
      <c r="I18" s="306">
        <v>1736</v>
      </c>
      <c r="J18" s="300">
        <f t="shared" si="0"/>
        <v>1.0527256478999105</v>
      </c>
      <c r="K18" s="301" t="s">
        <v>252</v>
      </c>
      <c r="L18" s="301" t="s">
        <v>268</v>
      </c>
      <c r="M18" s="301"/>
    </row>
    <row r="19" spans="1:13">
      <c r="A19" s="301" t="s">
        <v>250</v>
      </c>
      <c r="B19" s="301">
        <v>500</v>
      </c>
      <c r="C19" s="301">
        <v>1770</v>
      </c>
      <c r="D19" s="301" t="s">
        <v>251</v>
      </c>
      <c r="E19" s="302">
        <v>477</v>
      </c>
      <c r="F19" s="301">
        <v>547.70000000000005</v>
      </c>
      <c r="G19" s="301">
        <v>386.9</v>
      </c>
      <c r="H19" s="301">
        <v>57.3</v>
      </c>
      <c r="I19" s="306">
        <v>4219</v>
      </c>
      <c r="J19" s="300">
        <f t="shared" si="0"/>
        <v>1.0372654155495977</v>
      </c>
      <c r="K19" s="301" t="s">
        <v>252</v>
      </c>
      <c r="L19" s="301" t="s">
        <v>269</v>
      </c>
      <c r="M19" s="301" t="s">
        <v>270</v>
      </c>
    </row>
    <row r="20" spans="1:13">
      <c r="A20" s="301" t="s">
        <v>250</v>
      </c>
      <c r="B20" s="301">
        <v>500</v>
      </c>
      <c r="C20" s="301">
        <v>1770</v>
      </c>
      <c r="D20" s="301"/>
      <c r="E20" s="302">
        <v>473.3</v>
      </c>
      <c r="F20" s="301">
        <v>456.3</v>
      </c>
      <c r="G20" s="301">
        <v>344</v>
      </c>
      <c r="H20" s="301">
        <v>51.9</v>
      </c>
      <c r="I20" s="306">
        <v>4219</v>
      </c>
      <c r="J20" s="300">
        <f t="shared" si="0"/>
        <v>0.92225201072386054</v>
      </c>
      <c r="K20" s="301" t="s">
        <v>252</v>
      </c>
      <c r="L20" s="301" t="s">
        <v>269</v>
      </c>
      <c r="M20" s="301" t="s">
        <v>271</v>
      </c>
    </row>
    <row r="21" spans="1:13">
      <c r="A21" s="301" t="s">
        <v>250</v>
      </c>
      <c r="B21" s="301">
        <v>500</v>
      </c>
      <c r="C21" s="301">
        <v>1770</v>
      </c>
      <c r="D21" s="301"/>
      <c r="E21" s="302">
        <v>474.3</v>
      </c>
      <c r="F21" s="301">
        <v>572.29999999999995</v>
      </c>
      <c r="G21" s="301">
        <v>416.4</v>
      </c>
      <c r="H21" s="301">
        <v>56.9</v>
      </c>
      <c r="I21" s="306">
        <v>4219</v>
      </c>
      <c r="J21" s="300">
        <f t="shared" si="0"/>
        <v>1.1163538873994638</v>
      </c>
      <c r="K21" s="301" t="s">
        <v>252</v>
      </c>
      <c r="L21" s="301" t="s">
        <v>269</v>
      </c>
      <c r="M21" s="301" t="s">
        <v>272</v>
      </c>
    </row>
    <row r="22" spans="1:13">
      <c r="A22" s="301" t="s">
        <v>250</v>
      </c>
      <c r="B22" s="301">
        <v>500</v>
      </c>
      <c r="C22" s="301">
        <v>1770</v>
      </c>
      <c r="D22" s="301"/>
      <c r="E22" s="302">
        <v>475.7</v>
      </c>
      <c r="F22" s="301">
        <v>529.29999999999995</v>
      </c>
      <c r="G22" s="301">
        <v>381</v>
      </c>
      <c r="H22" s="301">
        <v>16.3</v>
      </c>
      <c r="I22" s="306">
        <v>4219</v>
      </c>
      <c r="J22" s="300">
        <f t="shared" si="0"/>
        <v>1.0214477211796247</v>
      </c>
      <c r="K22" s="301" t="s">
        <v>252</v>
      </c>
      <c r="L22" s="301" t="s">
        <v>269</v>
      </c>
      <c r="M22" s="301" t="s">
        <v>273</v>
      </c>
    </row>
    <row r="23" spans="1:13">
      <c r="A23" s="301" t="s">
        <v>250</v>
      </c>
      <c r="B23" s="301">
        <v>500</v>
      </c>
      <c r="C23" s="301">
        <v>1775</v>
      </c>
      <c r="D23" s="301"/>
      <c r="E23" s="302">
        <v>477</v>
      </c>
      <c r="F23" s="301">
        <v>461</v>
      </c>
      <c r="G23" s="301">
        <v>349.3</v>
      </c>
      <c r="H23" s="301">
        <v>54.3</v>
      </c>
      <c r="I23" s="306">
        <v>4219</v>
      </c>
      <c r="J23" s="300">
        <f t="shared" si="0"/>
        <v>0.93646112600536191</v>
      </c>
      <c r="K23" s="301" t="s">
        <v>252</v>
      </c>
      <c r="L23" s="301" t="s">
        <v>269</v>
      </c>
      <c r="M23" s="301" t="s">
        <v>274</v>
      </c>
    </row>
    <row r="24" spans="1:13">
      <c r="A24" s="301" t="s">
        <v>250</v>
      </c>
      <c r="B24" s="301">
        <v>500</v>
      </c>
      <c r="C24" s="301">
        <v>1770</v>
      </c>
      <c r="D24" s="301"/>
      <c r="E24" s="302">
        <v>471</v>
      </c>
      <c r="F24" s="301">
        <v>484.3</v>
      </c>
      <c r="G24" s="301">
        <v>338</v>
      </c>
      <c r="H24" s="301">
        <v>50.2</v>
      </c>
      <c r="I24" s="306">
        <v>4219</v>
      </c>
      <c r="J24" s="300">
        <f t="shared" si="0"/>
        <v>0.90616621983914214</v>
      </c>
      <c r="K24" s="301" t="s">
        <v>252</v>
      </c>
      <c r="L24" s="301" t="s">
        <v>269</v>
      </c>
      <c r="M24" s="301" t="s">
        <v>275</v>
      </c>
    </row>
    <row r="25" spans="1:13">
      <c r="A25" s="301" t="s">
        <v>276</v>
      </c>
      <c r="B25" s="301">
        <v>200</v>
      </c>
      <c r="C25" s="301">
        <v>1775</v>
      </c>
      <c r="D25" s="301"/>
      <c r="E25" s="302">
        <v>474</v>
      </c>
      <c r="F25" s="301">
        <v>175.9</v>
      </c>
      <c r="G25" s="301">
        <v>124.2</v>
      </c>
      <c r="H25" s="301">
        <v>26.2</v>
      </c>
      <c r="I25" s="306">
        <v>4219</v>
      </c>
      <c r="J25" s="300">
        <f t="shared" si="0"/>
        <v>0.83243967828418242</v>
      </c>
      <c r="K25" s="301" t="s">
        <v>252</v>
      </c>
      <c r="L25" s="301" t="s">
        <v>269</v>
      </c>
      <c r="M25" s="301" t="s">
        <v>277</v>
      </c>
    </row>
    <row r="26" spans="1:13">
      <c r="A26" s="301"/>
      <c r="B26" s="301">
        <v>500</v>
      </c>
      <c r="C26" s="301">
        <v>1770</v>
      </c>
      <c r="D26" s="301"/>
      <c r="E26" s="302">
        <v>478</v>
      </c>
      <c r="F26" s="301">
        <v>472</v>
      </c>
      <c r="G26" s="301">
        <v>332.2</v>
      </c>
      <c r="H26" s="301">
        <v>45.9</v>
      </c>
      <c r="I26" s="306">
        <v>4219</v>
      </c>
      <c r="J26" s="300">
        <f t="shared" si="0"/>
        <v>0.89061662198391423</v>
      </c>
      <c r="K26" s="301" t="s">
        <v>252</v>
      </c>
      <c r="L26" s="301" t="s">
        <v>269</v>
      </c>
      <c r="M26" s="301" t="s">
        <v>278</v>
      </c>
    </row>
    <row r="27" spans="1:13">
      <c r="A27" s="301" t="s">
        <v>250</v>
      </c>
      <c r="B27" s="301">
        <v>500</v>
      </c>
      <c r="C27" s="301">
        <v>1770</v>
      </c>
      <c r="D27" s="301"/>
      <c r="E27" s="302">
        <v>471.3</v>
      </c>
      <c r="F27" s="301">
        <v>507.3</v>
      </c>
      <c r="G27" s="301">
        <v>352</v>
      </c>
      <c r="H27" s="301">
        <v>45.7</v>
      </c>
      <c r="I27" s="306">
        <v>4219</v>
      </c>
      <c r="J27" s="300">
        <f t="shared" si="0"/>
        <v>0.94369973190348522</v>
      </c>
      <c r="K27" s="301" t="s">
        <v>252</v>
      </c>
      <c r="L27" s="301" t="s">
        <v>269</v>
      </c>
      <c r="M27" s="301" t="s">
        <v>279</v>
      </c>
    </row>
    <row r="28" spans="1:13">
      <c r="A28" s="301" t="s">
        <v>255</v>
      </c>
      <c r="B28" s="301">
        <v>30</v>
      </c>
      <c r="C28" s="301">
        <v>3500</v>
      </c>
      <c r="D28" s="301" t="s">
        <v>256</v>
      </c>
      <c r="E28" s="302">
        <v>483.7</v>
      </c>
      <c r="F28" s="301">
        <v>29</v>
      </c>
      <c r="G28" s="301">
        <v>22.6</v>
      </c>
      <c r="H28" s="301">
        <v>61.5</v>
      </c>
      <c r="I28" s="306">
        <v>1729</v>
      </c>
      <c r="J28" s="300">
        <f t="shared" si="0"/>
        <v>1.0098302055406614</v>
      </c>
      <c r="K28" s="301" t="s">
        <v>252</v>
      </c>
      <c r="L28" s="301" t="s">
        <v>280</v>
      </c>
      <c r="M28" s="301"/>
    </row>
    <row r="29" spans="1:13" ht="15">
      <c r="A29" s="301" t="s">
        <v>255</v>
      </c>
      <c r="B29" s="301">
        <v>15</v>
      </c>
      <c r="C29" s="301">
        <v>3515</v>
      </c>
      <c r="D29" s="301" t="s">
        <v>256</v>
      </c>
      <c r="E29" s="302">
        <v>483.3</v>
      </c>
      <c r="F29" s="301">
        <v>22.2</v>
      </c>
      <c r="G29" s="308">
        <v>16.100000000000001</v>
      </c>
      <c r="H29" s="301">
        <v>51.8</v>
      </c>
      <c r="I29" s="306">
        <v>2055</v>
      </c>
      <c r="J29" s="300">
        <f t="shared" si="0"/>
        <v>1.4387846291331547</v>
      </c>
      <c r="K29" s="301" t="s">
        <v>252</v>
      </c>
      <c r="L29" s="301" t="s">
        <v>281</v>
      </c>
      <c r="M29" s="301"/>
    </row>
    <row r="30" spans="1:13">
      <c r="A30" s="301" t="s">
        <v>255</v>
      </c>
      <c r="B30" s="301">
        <v>40</v>
      </c>
      <c r="C30" s="301">
        <v>1770</v>
      </c>
      <c r="D30" s="301" t="s">
        <v>256</v>
      </c>
      <c r="E30" s="302">
        <v>460.3</v>
      </c>
      <c r="F30" s="301">
        <v>46.4</v>
      </c>
      <c r="G30" s="301">
        <v>32.1</v>
      </c>
      <c r="H30" s="301">
        <v>63.4</v>
      </c>
      <c r="I30" s="306">
        <v>1827</v>
      </c>
      <c r="J30" s="300">
        <f t="shared" si="0"/>
        <v>1.0757372654155497</v>
      </c>
      <c r="K30" s="301" t="s">
        <v>252</v>
      </c>
      <c r="L30" s="301" t="s">
        <v>282</v>
      </c>
      <c r="M30" s="301"/>
    </row>
    <row r="31" spans="1:13">
      <c r="A31" s="301" t="s">
        <v>255</v>
      </c>
      <c r="B31" s="301">
        <v>30</v>
      </c>
      <c r="C31" s="301">
        <v>3540</v>
      </c>
      <c r="D31" s="301" t="s">
        <v>256</v>
      </c>
      <c r="E31" s="302">
        <v>483.7</v>
      </c>
      <c r="F31" s="301">
        <v>28.1</v>
      </c>
      <c r="G31" s="301">
        <v>18.2</v>
      </c>
      <c r="H31" s="301">
        <v>64.400000000000006</v>
      </c>
      <c r="I31" s="306">
        <v>368</v>
      </c>
      <c r="J31" s="300">
        <f t="shared" si="0"/>
        <v>0.81322609472743523</v>
      </c>
      <c r="K31" s="301" t="s">
        <v>252</v>
      </c>
      <c r="L31" s="301" t="s">
        <v>283</v>
      </c>
      <c r="M31" s="301"/>
    </row>
    <row r="32" spans="1:13">
      <c r="A32" s="301" t="s">
        <v>255</v>
      </c>
      <c r="B32" s="301">
        <v>30</v>
      </c>
      <c r="C32" s="301">
        <v>3530</v>
      </c>
      <c r="D32" s="301" t="s">
        <v>256</v>
      </c>
      <c r="E32" s="302">
        <v>481.7</v>
      </c>
      <c r="F32" s="301">
        <v>32.799999999999997</v>
      </c>
      <c r="G32" s="301">
        <v>21.8</v>
      </c>
      <c r="H32" s="301">
        <v>69</v>
      </c>
      <c r="I32" s="306">
        <v>1567</v>
      </c>
      <c r="J32" s="300">
        <f t="shared" si="0"/>
        <v>0.97408400357462022</v>
      </c>
      <c r="K32" s="301" t="s">
        <v>252</v>
      </c>
      <c r="L32" s="301" t="s">
        <v>284</v>
      </c>
      <c r="M32" s="301"/>
    </row>
    <row r="33" spans="1:13">
      <c r="A33" s="301" t="s">
        <v>255</v>
      </c>
      <c r="B33" s="301">
        <v>100</v>
      </c>
      <c r="C33" s="301" t="s">
        <v>111</v>
      </c>
      <c r="D33" s="301" t="s">
        <v>256</v>
      </c>
      <c r="E33" s="302">
        <v>480</v>
      </c>
      <c r="F33" s="301">
        <v>87.1</v>
      </c>
      <c r="G33" s="301">
        <v>62.1</v>
      </c>
      <c r="H33" s="301">
        <v>32.5</v>
      </c>
      <c r="I33" s="306">
        <v>2670</v>
      </c>
      <c r="J33" s="300">
        <f t="shared" si="0"/>
        <v>0.83243967828418242</v>
      </c>
      <c r="K33" s="301" t="s">
        <v>252</v>
      </c>
      <c r="L33" s="301" t="s">
        <v>285</v>
      </c>
      <c r="M33" s="301"/>
    </row>
    <row r="34" spans="1:13">
      <c r="A34" s="301" t="s">
        <v>250</v>
      </c>
      <c r="B34" s="301">
        <v>150</v>
      </c>
      <c r="C34" s="301">
        <v>1770</v>
      </c>
      <c r="D34" s="301" t="s">
        <v>251</v>
      </c>
      <c r="E34" s="302">
        <v>475.7</v>
      </c>
      <c r="F34" s="301">
        <v>184.7</v>
      </c>
      <c r="G34" s="301">
        <v>133.1</v>
      </c>
      <c r="H34" s="301">
        <v>65.400000000000006</v>
      </c>
      <c r="I34" s="306">
        <v>592</v>
      </c>
      <c r="J34" s="300">
        <f t="shared" si="0"/>
        <v>1.1894548704200179</v>
      </c>
      <c r="K34" s="301" t="s">
        <v>252</v>
      </c>
      <c r="L34" s="301" t="s">
        <v>286</v>
      </c>
      <c r="M34" s="301"/>
    </row>
    <row r="35" spans="1:13">
      <c r="A35" s="301" t="s">
        <v>250</v>
      </c>
      <c r="B35" s="301">
        <v>150</v>
      </c>
      <c r="C35" s="301">
        <v>1770</v>
      </c>
      <c r="D35" s="301" t="s">
        <v>251</v>
      </c>
      <c r="E35" s="302">
        <v>470.7</v>
      </c>
      <c r="F35" s="301">
        <v>175.5</v>
      </c>
      <c r="G35" s="301">
        <v>124</v>
      </c>
      <c r="H35" s="301">
        <v>55.7</v>
      </c>
      <c r="I35" s="306">
        <v>1162</v>
      </c>
      <c r="J35" s="300">
        <f t="shared" si="0"/>
        <v>1.1081322609472744</v>
      </c>
      <c r="K35" s="301" t="s">
        <v>252</v>
      </c>
      <c r="L35" s="301" t="s">
        <v>287</v>
      </c>
      <c r="M35" s="301"/>
    </row>
    <row r="36" spans="1:13">
      <c r="A36" s="301" t="s">
        <v>250</v>
      </c>
      <c r="B36" s="301">
        <v>75</v>
      </c>
      <c r="C36" s="301">
        <v>1760</v>
      </c>
      <c r="D36" s="301"/>
      <c r="E36" s="302">
        <v>473.3</v>
      </c>
      <c r="F36" s="301">
        <v>81.7</v>
      </c>
      <c r="G36" s="301">
        <v>58</v>
      </c>
      <c r="H36" s="301">
        <v>69.7</v>
      </c>
      <c r="I36" s="306">
        <v>1670</v>
      </c>
      <c r="J36" s="300">
        <f t="shared" si="0"/>
        <v>1.036639857015192</v>
      </c>
      <c r="K36" s="301" t="s">
        <v>252</v>
      </c>
      <c r="L36" s="301" t="s">
        <v>288</v>
      </c>
      <c r="M36" s="301" t="s">
        <v>289</v>
      </c>
    </row>
    <row r="37" spans="1:13">
      <c r="A37" s="301" t="s">
        <v>255</v>
      </c>
      <c r="B37" s="301">
        <v>50</v>
      </c>
      <c r="C37" s="301">
        <v>1765</v>
      </c>
      <c r="D37" s="301"/>
      <c r="E37" s="302">
        <v>472</v>
      </c>
      <c r="F37" s="301">
        <v>54.4</v>
      </c>
      <c r="G37" s="301">
        <v>37.9</v>
      </c>
      <c r="H37" s="301">
        <v>73.7</v>
      </c>
      <c r="I37" s="306">
        <v>2337.6</v>
      </c>
      <c r="J37" s="300">
        <f t="shared" si="0"/>
        <v>1.0160857908847185</v>
      </c>
      <c r="K37" s="301" t="s">
        <v>252</v>
      </c>
      <c r="L37" s="301" t="s">
        <v>290</v>
      </c>
      <c r="M37" s="301" t="s">
        <v>291</v>
      </c>
    </row>
    <row r="38" spans="1:13">
      <c r="A38" s="301" t="s">
        <v>255</v>
      </c>
      <c r="B38" s="301">
        <v>20</v>
      </c>
      <c r="C38" s="301">
        <v>3525</v>
      </c>
      <c r="D38" s="301"/>
      <c r="E38" s="302">
        <v>472.7</v>
      </c>
      <c r="F38" s="301">
        <v>17</v>
      </c>
      <c r="G38" s="301">
        <v>11</v>
      </c>
      <c r="H38" s="301">
        <v>46.2</v>
      </c>
      <c r="I38" s="306">
        <v>2337.6</v>
      </c>
      <c r="J38" s="300">
        <f t="shared" si="0"/>
        <v>0.7372654155495979</v>
      </c>
      <c r="K38" s="301" t="s">
        <v>252</v>
      </c>
      <c r="L38" s="301" t="s">
        <v>290</v>
      </c>
      <c r="M38" s="301" t="s">
        <v>292</v>
      </c>
    </row>
    <row r="39" spans="1:13">
      <c r="A39" s="301" t="s">
        <v>255</v>
      </c>
      <c r="B39" s="301">
        <v>20</v>
      </c>
      <c r="C39" s="301">
        <v>3525</v>
      </c>
      <c r="D39" s="301"/>
      <c r="E39" s="309">
        <v>474.3</v>
      </c>
      <c r="F39" s="301">
        <v>18.7</v>
      </c>
      <c r="G39" s="301">
        <v>12.4</v>
      </c>
      <c r="H39" s="301">
        <v>61.4</v>
      </c>
      <c r="I39" s="306">
        <v>2337.6</v>
      </c>
      <c r="J39" s="300">
        <f t="shared" si="0"/>
        <v>0.83109919571045576</v>
      </c>
      <c r="K39" s="301" t="s">
        <v>252</v>
      </c>
      <c r="L39" s="301" t="s">
        <v>290</v>
      </c>
      <c r="M39" s="301" t="s">
        <v>293</v>
      </c>
    </row>
    <row r="40" spans="1:13">
      <c r="A40" s="301" t="s">
        <v>294</v>
      </c>
      <c r="B40" s="310">
        <v>125</v>
      </c>
      <c r="C40" s="301"/>
      <c r="D40" s="301"/>
      <c r="E40" s="302">
        <v>0</v>
      </c>
      <c r="F40" s="302">
        <v>0</v>
      </c>
      <c r="G40" s="301">
        <v>0</v>
      </c>
      <c r="H40" s="301">
        <v>69.099999999999994</v>
      </c>
      <c r="I40" s="306"/>
      <c r="J40" s="300"/>
      <c r="K40" s="301" t="s">
        <v>295</v>
      </c>
      <c r="L40" s="301" t="s">
        <v>296</v>
      </c>
      <c r="M40" s="301"/>
    </row>
    <row r="41" spans="1:13">
      <c r="A41" s="301" t="s">
        <v>294</v>
      </c>
      <c r="B41" s="310">
        <v>125</v>
      </c>
      <c r="C41" s="301"/>
      <c r="D41" s="301"/>
      <c r="E41" s="302">
        <v>0</v>
      </c>
      <c r="F41" s="302">
        <v>0</v>
      </c>
      <c r="G41" s="301">
        <v>0</v>
      </c>
      <c r="H41" s="301">
        <v>68.7</v>
      </c>
      <c r="I41" s="306"/>
      <c r="J41" s="300"/>
      <c r="K41" s="301" t="s">
        <v>295</v>
      </c>
      <c r="L41" s="301" t="s">
        <v>296</v>
      </c>
      <c r="M41" s="301"/>
    </row>
    <row r="42" spans="1:13">
      <c r="A42" s="301" t="s">
        <v>294</v>
      </c>
      <c r="B42" s="310">
        <v>250</v>
      </c>
      <c r="C42" s="301">
        <v>1770</v>
      </c>
      <c r="D42" s="301"/>
      <c r="E42" s="302">
        <v>0</v>
      </c>
      <c r="F42" s="302">
        <v>0</v>
      </c>
      <c r="G42" s="301">
        <v>0</v>
      </c>
      <c r="H42" s="301">
        <v>71.900000000000006</v>
      </c>
      <c r="I42" s="306"/>
      <c r="J42" s="300"/>
      <c r="K42" s="301" t="s">
        <v>295</v>
      </c>
      <c r="L42" s="301" t="s">
        <v>296</v>
      </c>
      <c r="M42" s="301"/>
    </row>
    <row r="43" spans="1:13">
      <c r="A43" s="301" t="s">
        <v>294</v>
      </c>
      <c r="B43" s="310">
        <v>125</v>
      </c>
      <c r="C43" s="301"/>
      <c r="D43" s="301"/>
      <c r="E43" s="302">
        <v>0</v>
      </c>
      <c r="F43" s="302">
        <v>0</v>
      </c>
      <c r="G43" s="301">
        <v>89.6</v>
      </c>
      <c r="H43" s="301">
        <v>74</v>
      </c>
      <c r="I43" s="306"/>
      <c r="J43" s="300">
        <f>G43/(B43*0.746)</f>
        <v>0.96085790884718492</v>
      </c>
      <c r="K43" s="301" t="s">
        <v>295</v>
      </c>
      <c r="L43" s="301" t="s">
        <v>296</v>
      </c>
      <c r="M43" s="301"/>
    </row>
    <row r="44" spans="1:13">
      <c r="A44" s="301" t="s">
        <v>294</v>
      </c>
      <c r="B44" s="310">
        <v>125</v>
      </c>
      <c r="C44" s="301"/>
      <c r="D44" s="301"/>
      <c r="E44" s="302">
        <v>0</v>
      </c>
      <c r="F44" s="302">
        <v>0</v>
      </c>
      <c r="G44" s="301">
        <v>89.8</v>
      </c>
      <c r="H44" s="301">
        <v>73.8</v>
      </c>
      <c r="I44" s="306"/>
      <c r="J44" s="300">
        <f>G44/(B44*0.746)</f>
        <v>0.96300268096514741</v>
      </c>
      <c r="K44" s="301" t="s">
        <v>295</v>
      </c>
      <c r="L44" s="301" t="s">
        <v>296</v>
      </c>
      <c r="M44" s="301"/>
    </row>
    <row r="45" spans="1:13">
      <c r="A45" s="301" t="s">
        <v>294</v>
      </c>
      <c r="B45" s="310">
        <v>250</v>
      </c>
      <c r="C45" s="301">
        <v>1770</v>
      </c>
      <c r="D45" s="301"/>
      <c r="E45" s="302">
        <v>0</v>
      </c>
      <c r="F45" s="302">
        <v>0</v>
      </c>
      <c r="G45" s="301">
        <v>183.9</v>
      </c>
      <c r="H45" s="301">
        <v>54.1</v>
      </c>
      <c r="I45" s="306"/>
      <c r="J45" s="300">
        <f>G45/(B45*0.746)</f>
        <v>0.98605898123324398</v>
      </c>
      <c r="K45" s="301" t="s">
        <v>295</v>
      </c>
      <c r="L45" s="301" t="s">
        <v>296</v>
      </c>
      <c r="M45" s="301"/>
    </row>
    <row r="46" spans="1:13">
      <c r="A46" s="301" t="s">
        <v>294</v>
      </c>
      <c r="B46" s="310">
        <v>200</v>
      </c>
      <c r="C46" s="301">
        <v>1770</v>
      </c>
      <c r="D46" s="301"/>
      <c r="E46" s="302">
        <v>464.66666666666669</v>
      </c>
      <c r="F46" s="302">
        <v>198.03333333333333</v>
      </c>
      <c r="G46" s="301">
        <v>0</v>
      </c>
      <c r="H46" s="301">
        <v>63.7</v>
      </c>
      <c r="I46" s="306"/>
      <c r="J46" s="300"/>
      <c r="K46" s="301" t="s">
        <v>295</v>
      </c>
      <c r="L46" s="301" t="s">
        <v>296</v>
      </c>
      <c r="M46" s="301"/>
    </row>
    <row r="47" spans="1:13">
      <c r="A47" s="301" t="s">
        <v>297</v>
      </c>
      <c r="B47" s="310">
        <v>150</v>
      </c>
      <c r="C47" s="301"/>
      <c r="D47" s="301"/>
      <c r="E47" s="302">
        <v>465.33333333333331</v>
      </c>
      <c r="F47" s="302">
        <v>158.19999999999999</v>
      </c>
      <c r="G47" s="301">
        <v>0</v>
      </c>
      <c r="H47" s="301">
        <v>65.8</v>
      </c>
      <c r="I47" s="306"/>
      <c r="J47" s="300"/>
      <c r="K47" s="301" t="s">
        <v>295</v>
      </c>
      <c r="L47" s="301" t="s">
        <v>296</v>
      </c>
      <c r="M47" s="301"/>
    </row>
    <row r="48" spans="1:13">
      <c r="A48" s="301" t="s">
        <v>294</v>
      </c>
      <c r="B48" s="310">
        <v>200</v>
      </c>
      <c r="C48" s="301">
        <v>1770</v>
      </c>
      <c r="D48" s="301"/>
      <c r="E48" s="302">
        <v>480</v>
      </c>
      <c r="F48" s="302">
        <v>206.66666666666666</v>
      </c>
      <c r="G48" s="301">
        <v>0</v>
      </c>
      <c r="H48" s="301">
        <v>66</v>
      </c>
      <c r="I48" s="306"/>
      <c r="J48" s="300"/>
      <c r="K48" s="301" t="s">
        <v>295</v>
      </c>
      <c r="L48" s="301" t="s">
        <v>296</v>
      </c>
      <c r="M48" s="301"/>
    </row>
    <row r="49" spans="1:13">
      <c r="A49" s="301" t="s">
        <v>294</v>
      </c>
      <c r="B49" s="310">
        <v>200</v>
      </c>
      <c r="C49" s="301">
        <v>1770</v>
      </c>
      <c r="D49" s="301"/>
      <c r="E49" s="302">
        <v>0</v>
      </c>
      <c r="F49" s="302">
        <v>0</v>
      </c>
      <c r="G49" s="301">
        <v>125.3</v>
      </c>
      <c r="H49" s="301">
        <v>64.900000000000006</v>
      </c>
      <c r="I49" s="306"/>
      <c r="J49" s="300">
        <f>G49/(B49*0.746)</f>
        <v>0.83981233243967834</v>
      </c>
      <c r="K49" s="301" t="s">
        <v>295</v>
      </c>
      <c r="L49" s="301" t="s">
        <v>296</v>
      </c>
      <c r="M49" s="301"/>
    </row>
    <row r="50" spans="1:13">
      <c r="A50" s="301" t="s">
        <v>294</v>
      </c>
      <c r="B50" s="310">
        <v>200</v>
      </c>
      <c r="C50" s="301">
        <v>1770</v>
      </c>
      <c r="D50" s="301"/>
      <c r="E50" s="302">
        <v>480</v>
      </c>
      <c r="F50" s="302">
        <v>139</v>
      </c>
      <c r="G50" s="301">
        <v>0</v>
      </c>
      <c r="H50" s="301">
        <v>66</v>
      </c>
      <c r="I50" s="306"/>
      <c r="J50" s="300"/>
      <c r="K50" s="301" t="s">
        <v>295</v>
      </c>
      <c r="L50" s="301" t="s">
        <v>296</v>
      </c>
      <c r="M50" s="301"/>
    </row>
    <row r="51" spans="1:13">
      <c r="A51" s="301" t="s">
        <v>294</v>
      </c>
      <c r="B51" s="310">
        <v>200</v>
      </c>
      <c r="C51" s="301">
        <v>1770</v>
      </c>
      <c r="D51" s="301"/>
      <c r="E51" s="302">
        <v>0</v>
      </c>
      <c r="F51" s="302">
        <v>0</v>
      </c>
      <c r="G51" s="301">
        <v>125</v>
      </c>
      <c r="H51" s="301">
        <v>71</v>
      </c>
      <c r="I51" s="306"/>
      <c r="J51" s="300">
        <f>G51/(B51*0.746)</f>
        <v>0.83780160857908859</v>
      </c>
      <c r="K51" s="301" t="s">
        <v>295</v>
      </c>
      <c r="L51" s="301" t="s">
        <v>296</v>
      </c>
      <c r="M51" s="301"/>
    </row>
    <row r="52" spans="1:13">
      <c r="A52" s="301" t="s">
        <v>294</v>
      </c>
      <c r="B52" s="310">
        <v>200</v>
      </c>
      <c r="C52" s="301">
        <v>1770</v>
      </c>
      <c r="D52" s="301"/>
      <c r="E52" s="302">
        <v>0</v>
      </c>
      <c r="F52" s="302">
        <v>0</v>
      </c>
      <c r="G52" s="301">
        <v>0</v>
      </c>
      <c r="H52" s="301">
        <v>63.7</v>
      </c>
      <c r="I52" s="306"/>
      <c r="J52" s="300"/>
      <c r="K52" s="301" t="s">
        <v>295</v>
      </c>
      <c r="L52" s="301" t="s">
        <v>296</v>
      </c>
      <c r="M52" s="301"/>
    </row>
    <row r="53" spans="1:13">
      <c r="A53" s="301" t="s">
        <v>297</v>
      </c>
      <c r="B53" s="310">
        <v>150</v>
      </c>
      <c r="C53" s="301"/>
      <c r="D53" s="301"/>
      <c r="E53" s="302">
        <v>0</v>
      </c>
      <c r="F53" s="302">
        <v>0</v>
      </c>
      <c r="G53" s="301">
        <v>0</v>
      </c>
      <c r="H53" s="301">
        <v>65.8</v>
      </c>
      <c r="I53" s="306"/>
      <c r="J53" s="300"/>
      <c r="K53" s="301" t="s">
        <v>295</v>
      </c>
      <c r="L53" s="301" t="s">
        <v>296</v>
      </c>
      <c r="M53" s="301"/>
    </row>
    <row r="54" spans="1:13">
      <c r="A54" s="301" t="s">
        <v>294</v>
      </c>
      <c r="B54" s="310">
        <v>40</v>
      </c>
      <c r="C54" s="301">
        <v>1750</v>
      </c>
      <c r="D54" s="301"/>
      <c r="E54" s="302">
        <v>480.66666666666669</v>
      </c>
      <c r="F54" s="302">
        <v>39.06666666666667</v>
      </c>
      <c r="G54" s="301">
        <v>27.6</v>
      </c>
      <c r="H54" s="301">
        <v>46.4</v>
      </c>
      <c r="I54" s="306"/>
      <c r="J54" s="300">
        <f t="shared" ref="J54:J74" si="1">G54/(B54*0.746)</f>
        <v>0.92493297587131373</v>
      </c>
      <c r="K54" s="301" t="s">
        <v>295</v>
      </c>
      <c r="L54" s="301" t="s">
        <v>296</v>
      </c>
      <c r="M54" s="301"/>
    </row>
    <row r="55" spans="1:13">
      <c r="A55" s="301" t="s">
        <v>294</v>
      </c>
      <c r="B55" s="310">
        <v>100</v>
      </c>
      <c r="C55" s="301"/>
      <c r="D55" s="301"/>
      <c r="E55" s="302">
        <v>481.33333333333331</v>
      </c>
      <c r="F55" s="302">
        <v>58.866666666666667</v>
      </c>
      <c r="G55" s="301">
        <v>26.6</v>
      </c>
      <c r="H55" s="301">
        <v>43.5</v>
      </c>
      <c r="I55" s="306"/>
      <c r="J55" s="300">
        <f t="shared" si="1"/>
        <v>0.35656836461126012</v>
      </c>
      <c r="K55" s="301" t="s">
        <v>295</v>
      </c>
      <c r="L55" s="301" t="s">
        <v>296</v>
      </c>
      <c r="M55" s="301"/>
    </row>
    <row r="56" spans="1:13">
      <c r="A56" s="301" t="s">
        <v>294</v>
      </c>
      <c r="B56" s="310">
        <v>40</v>
      </c>
      <c r="C56" s="301">
        <v>1750</v>
      </c>
      <c r="D56" s="301"/>
      <c r="E56" s="302">
        <v>480</v>
      </c>
      <c r="F56" s="302">
        <v>39.466666666666669</v>
      </c>
      <c r="G56" s="301">
        <v>26.7</v>
      </c>
      <c r="H56" s="301">
        <v>32</v>
      </c>
      <c r="I56" s="306"/>
      <c r="J56" s="300">
        <f t="shared" si="1"/>
        <v>0.89477211796246647</v>
      </c>
      <c r="K56" s="301" t="s">
        <v>295</v>
      </c>
      <c r="L56" s="301" t="s">
        <v>296</v>
      </c>
      <c r="M56" s="301"/>
    </row>
    <row r="57" spans="1:13">
      <c r="A57" s="301" t="s">
        <v>294</v>
      </c>
      <c r="B57" s="310">
        <v>40</v>
      </c>
      <c r="C57" s="301">
        <v>1770</v>
      </c>
      <c r="D57" s="301"/>
      <c r="E57" s="302">
        <v>479.66666666666669</v>
      </c>
      <c r="F57" s="302">
        <v>35.06666666666667</v>
      </c>
      <c r="G57" s="301">
        <v>18.8</v>
      </c>
      <c r="H57" s="301">
        <v>32.200000000000003</v>
      </c>
      <c r="I57" s="306"/>
      <c r="J57" s="300">
        <f t="shared" si="1"/>
        <v>0.63002680965147451</v>
      </c>
      <c r="K57" s="301" t="s">
        <v>295</v>
      </c>
      <c r="L57" s="301" t="s">
        <v>296</v>
      </c>
      <c r="M57" s="301"/>
    </row>
    <row r="58" spans="1:13">
      <c r="A58" s="301" t="s">
        <v>294</v>
      </c>
      <c r="B58" s="310">
        <v>25</v>
      </c>
      <c r="C58" s="301"/>
      <c r="D58" s="301"/>
      <c r="E58" s="302">
        <v>0</v>
      </c>
      <c r="F58" s="302">
        <v>0</v>
      </c>
      <c r="G58" s="301">
        <v>19</v>
      </c>
      <c r="H58" s="301">
        <v>66.2</v>
      </c>
      <c r="I58" s="306"/>
      <c r="J58" s="300">
        <f t="shared" si="1"/>
        <v>1.0187667560321716</v>
      </c>
      <c r="K58" s="301" t="s">
        <v>295</v>
      </c>
      <c r="L58" s="301" t="s">
        <v>296</v>
      </c>
      <c r="M58" s="301"/>
    </row>
    <row r="59" spans="1:13">
      <c r="A59" s="301" t="s">
        <v>294</v>
      </c>
      <c r="B59" s="310">
        <v>100</v>
      </c>
      <c r="C59" s="301"/>
      <c r="D59" s="301"/>
      <c r="E59" s="302">
        <v>0</v>
      </c>
      <c r="F59" s="302">
        <v>0</v>
      </c>
      <c r="G59" s="301">
        <v>73.8</v>
      </c>
      <c r="H59" s="301">
        <v>70.2</v>
      </c>
      <c r="I59" s="306"/>
      <c r="J59" s="300">
        <f t="shared" si="1"/>
        <v>0.98927613941018766</v>
      </c>
      <c r="K59" s="301" t="s">
        <v>295</v>
      </c>
      <c r="L59" s="301" t="s">
        <v>296</v>
      </c>
      <c r="M59" s="301"/>
    </row>
    <row r="60" spans="1:13">
      <c r="A60" s="301" t="s">
        <v>294</v>
      </c>
      <c r="B60" s="310">
        <v>20</v>
      </c>
      <c r="C60" s="301"/>
      <c r="D60" s="301"/>
      <c r="E60" s="302">
        <v>0</v>
      </c>
      <c r="F60" s="302">
        <v>0</v>
      </c>
      <c r="G60" s="301">
        <v>15</v>
      </c>
      <c r="H60" s="301">
        <v>72.5</v>
      </c>
      <c r="I60" s="306"/>
      <c r="J60" s="300">
        <f t="shared" si="1"/>
        <v>1.0053619302949062</v>
      </c>
      <c r="K60" s="301" t="s">
        <v>295</v>
      </c>
      <c r="L60" s="301" t="s">
        <v>296</v>
      </c>
      <c r="M60" s="301"/>
    </row>
    <row r="61" spans="1:13">
      <c r="A61" s="301" t="s">
        <v>294</v>
      </c>
      <c r="B61" s="310">
        <v>50</v>
      </c>
      <c r="C61" s="301"/>
      <c r="D61" s="301"/>
      <c r="E61" s="302">
        <v>477</v>
      </c>
      <c r="F61" s="302">
        <v>45.766666666666673</v>
      </c>
      <c r="G61" s="301">
        <v>30.3</v>
      </c>
      <c r="H61" s="301">
        <v>67.8</v>
      </c>
      <c r="I61" s="306"/>
      <c r="J61" s="300">
        <f t="shared" si="1"/>
        <v>0.81233243967828428</v>
      </c>
      <c r="K61" s="301" t="s">
        <v>295</v>
      </c>
      <c r="L61" s="301" t="s">
        <v>296</v>
      </c>
      <c r="M61" s="301"/>
    </row>
    <row r="62" spans="1:13">
      <c r="A62" s="301" t="s">
        <v>294</v>
      </c>
      <c r="B62" s="310">
        <v>75</v>
      </c>
      <c r="C62" s="301">
        <v>1770</v>
      </c>
      <c r="D62" s="301"/>
      <c r="E62" s="302">
        <v>485.33333333333331</v>
      </c>
      <c r="F62" s="302">
        <v>61.333333333333336</v>
      </c>
      <c r="G62" s="301">
        <v>42.9</v>
      </c>
      <c r="H62" s="301">
        <v>48.6</v>
      </c>
      <c r="I62" s="306"/>
      <c r="J62" s="300">
        <f t="shared" si="1"/>
        <v>0.76675603217158173</v>
      </c>
      <c r="K62" s="301" t="s">
        <v>295</v>
      </c>
      <c r="L62" s="301" t="s">
        <v>296</v>
      </c>
      <c r="M62" s="301"/>
    </row>
    <row r="63" spans="1:13">
      <c r="A63" s="301" t="s">
        <v>294</v>
      </c>
      <c r="B63" s="310">
        <v>25</v>
      </c>
      <c r="C63" s="301">
        <v>1770</v>
      </c>
      <c r="D63" s="301"/>
      <c r="E63" s="302">
        <v>477.66666666666669</v>
      </c>
      <c r="F63" s="302">
        <v>29.3</v>
      </c>
      <c r="G63" s="301">
        <v>19.899999999999999</v>
      </c>
      <c r="H63" s="301">
        <v>59.3</v>
      </c>
      <c r="I63" s="306"/>
      <c r="J63" s="300">
        <f t="shared" si="1"/>
        <v>1.0670241286863271</v>
      </c>
      <c r="K63" s="301" t="s">
        <v>295</v>
      </c>
      <c r="L63" s="301" t="s">
        <v>296</v>
      </c>
      <c r="M63" s="301"/>
    </row>
    <row r="64" spans="1:13">
      <c r="A64" s="301" t="s">
        <v>294</v>
      </c>
      <c r="B64" s="310">
        <v>40</v>
      </c>
      <c r="C64" s="301"/>
      <c r="D64" s="301"/>
      <c r="E64" s="302">
        <v>480.66666666666669</v>
      </c>
      <c r="F64" s="302">
        <v>38.633333333333333</v>
      </c>
      <c r="G64" s="301">
        <v>26.6</v>
      </c>
      <c r="H64" s="301">
        <v>66</v>
      </c>
      <c r="I64" s="306"/>
      <c r="J64" s="300">
        <f t="shared" si="1"/>
        <v>0.89142091152815017</v>
      </c>
      <c r="K64" s="301" t="s">
        <v>295</v>
      </c>
      <c r="L64" s="301" t="s">
        <v>296</v>
      </c>
      <c r="M64" s="301"/>
    </row>
    <row r="65" spans="1:13">
      <c r="A65" s="301" t="s">
        <v>294</v>
      </c>
      <c r="B65" s="310">
        <v>75</v>
      </c>
      <c r="C65" s="301"/>
      <c r="D65" s="301"/>
      <c r="E65" s="302">
        <v>477</v>
      </c>
      <c r="F65" s="302">
        <v>80.266666666666666</v>
      </c>
      <c r="G65" s="301">
        <v>58</v>
      </c>
      <c r="H65" s="301">
        <v>55.8</v>
      </c>
      <c r="I65" s="306"/>
      <c r="J65" s="300">
        <f t="shared" si="1"/>
        <v>1.036639857015192</v>
      </c>
      <c r="K65" s="301" t="s">
        <v>295</v>
      </c>
      <c r="L65" s="301" t="s">
        <v>296</v>
      </c>
      <c r="M65" s="301"/>
    </row>
    <row r="66" spans="1:13">
      <c r="A66" s="301" t="s">
        <v>294</v>
      </c>
      <c r="B66" s="310">
        <v>40</v>
      </c>
      <c r="C66" s="301"/>
      <c r="D66" s="301"/>
      <c r="E66" s="302">
        <v>0</v>
      </c>
      <c r="F66" s="302">
        <v>0</v>
      </c>
      <c r="G66" s="301">
        <v>25.1</v>
      </c>
      <c r="H66" s="301">
        <v>69.7</v>
      </c>
      <c r="I66" s="306"/>
      <c r="J66" s="300">
        <f t="shared" si="1"/>
        <v>0.84115281501340489</v>
      </c>
      <c r="K66" s="301" t="s">
        <v>295</v>
      </c>
      <c r="L66" s="301" t="s">
        <v>296</v>
      </c>
      <c r="M66" s="301"/>
    </row>
    <row r="67" spans="1:13">
      <c r="A67" s="301" t="s">
        <v>294</v>
      </c>
      <c r="B67" s="310">
        <v>75</v>
      </c>
      <c r="C67" s="301"/>
      <c r="D67" s="301"/>
      <c r="E67" s="302">
        <v>0</v>
      </c>
      <c r="F67" s="302">
        <v>0</v>
      </c>
      <c r="G67" s="301">
        <v>48.4</v>
      </c>
      <c r="H67" s="301">
        <v>66.8</v>
      </c>
      <c r="I67" s="306"/>
      <c r="J67" s="300">
        <f t="shared" si="1"/>
        <v>0.8650580875781948</v>
      </c>
      <c r="K67" s="301" t="s">
        <v>295</v>
      </c>
      <c r="L67" s="301" t="s">
        <v>296</v>
      </c>
      <c r="M67" s="301"/>
    </row>
    <row r="68" spans="1:13">
      <c r="A68" s="301" t="s">
        <v>294</v>
      </c>
      <c r="B68" s="310">
        <v>100</v>
      </c>
      <c r="C68" s="301">
        <v>1770</v>
      </c>
      <c r="D68" s="301"/>
      <c r="E68" s="302">
        <v>486.66666666666669</v>
      </c>
      <c r="F68" s="302">
        <v>115.23333333333333</v>
      </c>
      <c r="G68" s="301">
        <v>89</v>
      </c>
      <c r="H68" s="301">
        <v>47.4</v>
      </c>
      <c r="I68" s="306"/>
      <c r="J68" s="300">
        <f t="shared" si="1"/>
        <v>1.1930294906166221</v>
      </c>
      <c r="K68" s="301" t="s">
        <v>295</v>
      </c>
      <c r="L68" s="301" t="s">
        <v>296</v>
      </c>
      <c r="M68" s="301"/>
    </row>
    <row r="69" spans="1:13">
      <c r="A69" s="301" t="s">
        <v>294</v>
      </c>
      <c r="B69" s="310">
        <v>125</v>
      </c>
      <c r="C69" s="301">
        <v>1770</v>
      </c>
      <c r="D69" s="301"/>
      <c r="E69" s="302">
        <v>0</v>
      </c>
      <c r="F69" s="302">
        <v>0</v>
      </c>
      <c r="G69" s="301">
        <v>100.4</v>
      </c>
      <c r="H69" s="301">
        <v>72.599999999999994</v>
      </c>
      <c r="I69" s="306"/>
      <c r="J69" s="300">
        <f t="shared" si="1"/>
        <v>1.0766756032171583</v>
      </c>
      <c r="K69" s="301" t="s">
        <v>295</v>
      </c>
      <c r="L69" s="301" t="s">
        <v>296</v>
      </c>
      <c r="M69" s="301"/>
    </row>
    <row r="70" spans="1:13">
      <c r="A70" s="301" t="s">
        <v>294</v>
      </c>
      <c r="B70" s="310">
        <v>200</v>
      </c>
      <c r="C70" s="301"/>
      <c r="D70" s="301"/>
      <c r="E70" s="302">
        <v>484.66666666666669</v>
      </c>
      <c r="F70" s="302">
        <v>184.66666666666666</v>
      </c>
      <c r="G70" s="301">
        <v>136</v>
      </c>
      <c r="H70" s="301">
        <v>37.9</v>
      </c>
      <c r="I70" s="306"/>
      <c r="J70" s="300">
        <f t="shared" si="1"/>
        <v>0.91152815013404831</v>
      </c>
      <c r="K70" s="301" t="s">
        <v>295</v>
      </c>
      <c r="L70" s="301" t="s">
        <v>296</v>
      </c>
      <c r="M70" s="301"/>
    </row>
    <row r="71" spans="1:13">
      <c r="A71" s="301" t="s">
        <v>294</v>
      </c>
      <c r="B71" s="310">
        <v>200</v>
      </c>
      <c r="C71" s="301"/>
      <c r="D71" s="301"/>
      <c r="E71" s="302">
        <v>0</v>
      </c>
      <c r="F71" s="302">
        <v>0</v>
      </c>
      <c r="G71" s="301">
        <v>70.3</v>
      </c>
      <c r="H71" s="301">
        <v>69.2</v>
      </c>
      <c r="I71" s="306"/>
      <c r="J71" s="300">
        <f t="shared" si="1"/>
        <v>0.47117962466487939</v>
      </c>
      <c r="K71" s="301" t="s">
        <v>295</v>
      </c>
      <c r="L71" s="301" t="s">
        <v>296</v>
      </c>
      <c r="M71" s="301"/>
    </row>
    <row r="72" spans="1:13">
      <c r="A72" s="301" t="s">
        <v>294</v>
      </c>
      <c r="B72" s="310">
        <v>60</v>
      </c>
      <c r="C72" s="301"/>
      <c r="D72" s="301"/>
      <c r="E72" s="302">
        <v>477.66666666666669</v>
      </c>
      <c r="F72" s="302">
        <v>61.966666666666669</v>
      </c>
      <c r="G72" s="301">
        <v>47</v>
      </c>
      <c r="H72" s="301">
        <v>54.5</v>
      </c>
      <c r="I72" s="306"/>
      <c r="J72" s="300">
        <f t="shared" si="1"/>
        <v>1.0500446827524577</v>
      </c>
      <c r="K72" s="301" t="s">
        <v>295</v>
      </c>
      <c r="L72" s="301" t="s">
        <v>296</v>
      </c>
      <c r="M72" s="301"/>
    </row>
    <row r="73" spans="1:13">
      <c r="A73" s="301" t="s">
        <v>294</v>
      </c>
      <c r="B73" s="310">
        <v>60</v>
      </c>
      <c r="C73" s="301"/>
      <c r="D73" s="301"/>
      <c r="E73" s="302">
        <v>0</v>
      </c>
      <c r="F73" s="302">
        <v>0</v>
      </c>
      <c r="G73" s="301">
        <v>37.5</v>
      </c>
      <c r="H73" s="301">
        <v>68.400000000000006</v>
      </c>
      <c r="I73" s="306"/>
      <c r="J73" s="300">
        <f t="shared" si="1"/>
        <v>0.83780160857908847</v>
      </c>
      <c r="K73" s="301" t="s">
        <v>295</v>
      </c>
      <c r="L73" s="301" t="s">
        <v>296</v>
      </c>
      <c r="M73" s="301"/>
    </row>
    <row r="74" spans="1:13">
      <c r="A74" s="301" t="s">
        <v>294</v>
      </c>
      <c r="B74" s="310">
        <v>125</v>
      </c>
      <c r="C74" s="301"/>
      <c r="D74" s="301"/>
      <c r="E74" s="302">
        <v>472.66666666666669</v>
      </c>
      <c r="F74" s="302">
        <v>122.06666666666666</v>
      </c>
      <c r="G74" s="301">
        <v>96</v>
      </c>
      <c r="H74" s="301">
        <v>40.4</v>
      </c>
      <c r="I74" s="306"/>
      <c r="J74" s="300">
        <f t="shared" si="1"/>
        <v>1.0294906166219839</v>
      </c>
      <c r="K74" s="301" t="s">
        <v>295</v>
      </c>
      <c r="L74" s="301" t="s">
        <v>296</v>
      </c>
      <c r="M74" s="301"/>
    </row>
    <row r="75" spans="1:13">
      <c r="A75" s="301" t="s">
        <v>294</v>
      </c>
      <c r="B75" s="310">
        <v>125</v>
      </c>
      <c r="C75" s="301"/>
      <c r="D75" s="301"/>
      <c r="E75" s="302">
        <v>472.66666666666669</v>
      </c>
      <c r="F75" s="302">
        <v>118.16666666666667</v>
      </c>
      <c r="G75" s="301">
        <v>0</v>
      </c>
      <c r="H75" s="301">
        <v>42.5</v>
      </c>
      <c r="I75" s="306"/>
      <c r="J75" s="300"/>
      <c r="K75" s="301" t="s">
        <v>295</v>
      </c>
      <c r="L75" s="301" t="s">
        <v>296</v>
      </c>
      <c r="M75" s="301"/>
    </row>
    <row r="76" spans="1:13">
      <c r="A76" s="301" t="s">
        <v>294</v>
      </c>
      <c r="B76" s="310">
        <v>50</v>
      </c>
      <c r="C76" s="301"/>
      <c r="D76" s="301"/>
      <c r="E76" s="302">
        <v>0</v>
      </c>
      <c r="F76" s="302">
        <v>0</v>
      </c>
      <c r="G76" s="301">
        <v>24.5</v>
      </c>
      <c r="H76" s="301">
        <v>69.400000000000006</v>
      </c>
      <c r="I76" s="306"/>
      <c r="J76" s="300">
        <f>G76/(B76*0.746)</f>
        <v>0.65683646112600547</v>
      </c>
      <c r="K76" s="301" t="s">
        <v>295</v>
      </c>
      <c r="L76" s="301" t="s">
        <v>296</v>
      </c>
      <c r="M76" s="301"/>
    </row>
    <row r="77" spans="1:13">
      <c r="A77" s="301" t="s">
        <v>294</v>
      </c>
      <c r="B77" s="310">
        <v>75</v>
      </c>
      <c r="C77" s="301"/>
      <c r="D77" s="301"/>
      <c r="E77" s="302">
        <v>0</v>
      </c>
      <c r="F77" s="302">
        <v>0</v>
      </c>
      <c r="G77" s="301">
        <v>29.1</v>
      </c>
      <c r="H77" s="301">
        <v>71.5</v>
      </c>
      <c r="I77" s="306"/>
      <c r="J77" s="300">
        <f>G77/(B77*0.746)</f>
        <v>0.52010723860589814</v>
      </c>
      <c r="K77" s="301" t="s">
        <v>295</v>
      </c>
      <c r="L77" s="301" t="s">
        <v>296</v>
      </c>
      <c r="M77" s="301"/>
    </row>
    <row r="78" spans="1:13">
      <c r="A78" s="301" t="s">
        <v>294</v>
      </c>
      <c r="B78" s="310">
        <v>25</v>
      </c>
      <c r="C78" s="301"/>
      <c r="D78" s="301"/>
      <c r="E78" s="302">
        <v>0</v>
      </c>
      <c r="F78" s="302">
        <v>0</v>
      </c>
      <c r="G78" s="301">
        <v>12.9</v>
      </c>
      <c r="H78" s="301">
        <v>73.5</v>
      </c>
      <c r="I78" s="306"/>
      <c r="J78" s="300">
        <f>G78/(B78*0.746)</f>
        <v>0.69168900804289546</v>
      </c>
      <c r="K78" s="301" t="s">
        <v>295</v>
      </c>
      <c r="L78" s="301" t="s">
        <v>296</v>
      </c>
      <c r="M78" s="301"/>
    </row>
    <row r="79" spans="1:13">
      <c r="A79" s="301" t="s">
        <v>294</v>
      </c>
      <c r="B79" s="310">
        <v>125</v>
      </c>
      <c r="C79" s="301"/>
      <c r="D79" s="301"/>
      <c r="E79" s="302">
        <v>0</v>
      </c>
      <c r="F79" s="302">
        <v>0</v>
      </c>
      <c r="G79" s="301">
        <v>86.5</v>
      </c>
      <c r="H79" s="301">
        <v>68.400000000000006</v>
      </c>
      <c r="I79" s="306"/>
      <c r="J79" s="300">
        <f>G79/(B79*0.746)</f>
        <v>0.92761394101876671</v>
      </c>
      <c r="K79" s="301" t="s">
        <v>295</v>
      </c>
      <c r="L79" s="301" t="s">
        <v>296</v>
      </c>
      <c r="M79" s="301"/>
    </row>
    <row r="80" spans="1:13">
      <c r="A80" s="301" t="s">
        <v>294</v>
      </c>
      <c r="B80" s="310">
        <v>20</v>
      </c>
      <c r="C80" s="301"/>
      <c r="D80" s="301"/>
      <c r="E80" s="302">
        <v>493.33333333333331</v>
      </c>
      <c r="F80" s="302">
        <v>16.166666666666668</v>
      </c>
      <c r="G80" s="301">
        <v>0</v>
      </c>
      <c r="H80" s="301">
        <v>35.799999999999997</v>
      </c>
      <c r="I80" s="306"/>
      <c r="J80" s="300"/>
      <c r="K80" s="301" t="s">
        <v>295</v>
      </c>
      <c r="L80" s="301" t="s">
        <v>296</v>
      </c>
      <c r="M80" s="301"/>
    </row>
    <row r="81" spans="1:13">
      <c r="A81" s="301" t="s">
        <v>298</v>
      </c>
      <c r="B81" s="310">
        <v>25</v>
      </c>
      <c r="C81" s="301"/>
      <c r="D81" s="301"/>
      <c r="E81" s="302">
        <v>493.33333333333331</v>
      </c>
      <c r="F81" s="302">
        <v>27.166666666666668</v>
      </c>
      <c r="G81" s="301">
        <v>0</v>
      </c>
      <c r="H81" s="301">
        <v>63.9</v>
      </c>
      <c r="I81" s="306"/>
      <c r="J81" s="300"/>
      <c r="K81" s="301" t="s">
        <v>295</v>
      </c>
      <c r="L81" s="301" t="s">
        <v>296</v>
      </c>
      <c r="M81" s="301"/>
    </row>
    <row r="82" spans="1:13">
      <c r="A82" s="301" t="s">
        <v>294</v>
      </c>
      <c r="B82" s="310">
        <v>75</v>
      </c>
      <c r="C82" s="301"/>
      <c r="D82" s="301"/>
      <c r="E82" s="302">
        <v>475</v>
      </c>
      <c r="F82" s="302">
        <v>73.400000000000006</v>
      </c>
      <c r="G82" s="301">
        <v>0</v>
      </c>
      <c r="H82" s="301">
        <v>73.2</v>
      </c>
      <c r="I82" s="306"/>
      <c r="J82" s="300"/>
      <c r="K82" s="301" t="s">
        <v>295</v>
      </c>
      <c r="L82" s="301" t="s">
        <v>296</v>
      </c>
      <c r="M82" s="301"/>
    </row>
    <row r="83" spans="1:13">
      <c r="A83" s="301" t="s">
        <v>297</v>
      </c>
      <c r="B83" s="310">
        <v>60</v>
      </c>
      <c r="C83" s="301">
        <v>1750</v>
      </c>
      <c r="D83" s="301"/>
      <c r="E83" s="302">
        <v>474.66666666666669</v>
      </c>
      <c r="F83" s="302">
        <v>67.7</v>
      </c>
      <c r="G83" s="301">
        <v>0</v>
      </c>
      <c r="H83" s="301">
        <v>77.400000000000006</v>
      </c>
      <c r="I83" s="306"/>
      <c r="J83" s="300"/>
      <c r="K83" s="301" t="s">
        <v>295</v>
      </c>
      <c r="L83" s="301" t="s">
        <v>296</v>
      </c>
      <c r="M83" s="301"/>
    </row>
    <row r="84" spans="1:13">
      <c r="A84" s="301" t="s">
        <v>294</v>
      </c>
      <c r="B84" s="310">
        <v>300</v>
      </c>
      <c r="C84" s="301">
        <v>1770</v>
      </c>
      <c r="D84" s="301"/>
      <c r="E84" s="302">
        <v>491.33333333333331</v>
      </c>
      <c r="F84" s="302">
        <v>290.66666666666669</v>
      </c>
      <c r="G84" s="301">
        <v>225</v>
      </c>
      <c r="H84" s="301">
        <v>70.3</v>
      </c>
      <c r="I84" s="306"/>
      <c r="J84" s="300">
        <f t="shared" ref="J84:J95" si="2">G84/(B84*0.746)</f>
        <v>1.0053619302949062</v>
      </c>
      <c r="K84" s="301" t="s">
        <v>295</v>
      </c>
      <c r="L84" s="301" t="s">
        <v>296</v>
      </c>
      <c r="M84" s="301"/>
    </row>
    <row r="85" spans="1:13">
      <c r="A85" s="301" t="s">
        <v>294</v>
      </c>
      <c r="B85" s="310">
        <v>300</v>
      </c>
      <c r="C85" s="301">
        <v>1770</v>
      </c>
      <c r="D85" s="301"/>
      <c r="E85" s="302">
        <v>492.66666666666669</v>
      </c>
      <c r="F85" s="302">
        <v>294.33333333333331</v>
      </c>
      <c r="G85" s="301">
        <v>219</v>
      </c>
      <c r="H85" s="301">
        <v>59.7</v>
      </c>
      <c r="I85" s="306"/>
      <c r="J85" s="300">
        <f t="shared" si="2"/>
        <v>0.97855227882037532</v>
      </c>
      <c r="K85" s="301" t="s">
        <v>295</v>
      </c>
      <c r="L85" s="301" t="s">
        <v>296</v>
      </c>
      <c r="M85" s="301"/>
    </row>
    <row r="86" spans="1:13">
      <c r="A86" s="301" t="s">
        <v>294</v>
      </c>
      <c r="B86" s="310">
        <v>300</v>
      </c>
      <c r="C86" s="301">
        <v>1770</v>
      </c>
      <c r="D86" s="301"/>
      <c r="E86" s="302">
        <v>490</v>
      </c>
      <c r="F86" s="302">
        <v>311.33333333333331</v>
      </c>
      <c r="G86" s="301">
        <v>241</v>
      </c>
      <c r="H86" s="301">
        <v>62.9</v>
      </c>
      <c r="I86" s="306"/>
      <c r="J86" s="300">
        <f t="shared" si="2"/>
        <v>1.0768543342269883</v>
      </c>
      <c r="K86" s="301" t="s">
        <v>295</v>
      </c>
      <c r="L86" s="301" t="s">
        <v>296</v>
      </c>
      <c r="M86" s="301"/>
    </row>
    <row r="87" spans="1:13">
      <c r="A87" s="301" t="s">
        <v>294</v>
      </c>
      <c r="B87" s="310">
        <v>300</v>
      </c>
      <c r="C87" s="301">
        <v>1770</v>
      </c>
      <c r="D87" s="301"/>
      <c r="E87" s="302">
        <v>489.66666666666669</v>
      </c>
      <c r="F87" s="302">
        <v>295</v>
      </c>
      <c r="G87" s="301">
        <v>230</v>
      </c>
      <c r="H87" s="301">
        <v>65</v>
      </c>
      <c r="I87" s="306"/>
      <c r="J87" s="300">
        <f t="shared" si="2"/>
        <v>1.0277033065236818</v>
      </c>
      <c r="K87" s="301" t="s">
        <v>295</v>
      </c>
      <c r="L87" s="301" t="s">
        <v>296</v>
      </c>
      <c r="M87" s="301"/>
    </row>
    <row r="88" spans="1:13">
      <c r="A88" s="301" t="s">
        <v>294</v>
      </c>
      <c r="B88" s="310">
        <v>75</v>
      </c>
      <c r="C88" s="301"/>
      <c r="D88" s="301"/>
      <c r="E88" s="302">
        <v>477.66666666666669</v>
      </c>
      <c r="F88" s="302">
        <v>68.266666666666666</v>
      </c>
      <c r="G88" s="301">
        <v>52</v>
      </c>
      <c r="H88" s="301">
        <v>0</v>
      </c>
      <c r="I88" s="306"/>
      <c r="J88" s="300">
        <f t="shared" si="2"/>
        <v>0.92940125111706873</v>
      </c>
      <c r="K88" s="301" t="s">
        <v>295</v>
      </c>
      <c r="L88" s="301" t="s">
        <v>296</v>
      </c>
      <c r="M88" s="301"/>
    </row>
    <row r="89" spans="1:13">
      <c r="A89" s="301" t="s">
        <v>294</v>
      </c>
      <c r="B89" s="310">
        <v>300</v>
      </c>
      <c r="C89" s="301">
        <v>1770</v>
      </c>
      <c r="D89" s="301"/>
      <c r="E89" s="302">
        <v>479</v>
      </c>
      <c r="F89" s="302">
        <v>89.266666666666666</v>
      </c>
      <c r="G89" s="301">
        <v>58</v>
      </c>
      <c r="H89" s="301">
        <v>56.3</v>
      </c>
      <c r="I89" s="306"/>
      <c r="J89" s="300">
        <f t="shared" si="2"/>
        <v>0.259159964253798</v>
      </c>
      <c r="K89" s="301" t="s">
        <v>295</v>
      </c>
      <c r="L89" s="301" t="s">
        <v>296</v>
      </c>
      <c r="M89" s="301"/>
    </row>
    <row r="90" spans="1:13">
      <c r="A90" s="301" t="s">
        <v>294</v>
      </c>
      <c r="B90" s="310">
        <v>75</v>
      </c>
      <c r="C90" s="301">
        <v>1770</v>
      </c>
      <c r="D90" s="301"/>
      <c r="E90" s="302">
        <v>0</v>
      </c>
      <c r="F90" s="302">
        <v>0</v>
      </c>
      <c r="G90" s="301">
        <v>62.7</v>
      </c>
      <c r="H90" s="301">
        <v>62.7</v>
      </c>
      <c r="I90" s="306"/>
      <c r="J90" s="300">
        <f t="shared" si="2"/>
        <v>1.1206434316353888</v>
      </c>
      <c r="K90" s="301" t="s">
        <v>295</v>
      </c>
      <c r="L90" s="301" t="s">
        <v>296</v>
      </c>
      <c r="M90" s="301"/>
    </row>
    <row r="91" spans="1:13">
      <c r="A91" s="301" t="s">
        <v>294</v>
      </c>
      <c r="B91" s="310">
        <v>100</v>
      </c>
      <c r="C91" s="301">
        <v>1770</v>
      </c>
      <c r="D91" s="301"/>
      <c r="E91" s="302">
        <v>486</v>
      </c>
      <c r="F91" s="302">
        <v>117.93333333333332</v>
      </c>
      <c r="G91" s="301">
        <v>90</v>
      </c>
      <c r="H91" s="301">
        <v>41.3</v>
      </c>
      <c r="I91" s="306"/>
      <c r="J91" s="300">
        <f t="shared" si="2"/>
        <v>1.2064343163538875</v>
      </c>
      <c r="K91" s="301" t="s">
        <v>295</v>
      </c>
      <c r="L91" s="301" t="s">
        <v>296</v>
      </c>
      <c r="M91" s="301"/>
    </row>
    <row r="92" spans="1:13">
      <c r="A92" s="301" t="s">
        <v>294</v>
      </c>
      <c r="B92" s="310">
        <v>125</v>
      </c>
      <c r="C92" s="301">
        <v>1770</v>
      </c>
      <c r="D92" s="301"/>
      <c r="E92" s="302">
        <v>0</v>
      </c>
      <c r="F92" s="302">
        <v>0</v>
      </c>
      <c r="G92" s="301">
        <v>100.4</v>
      </c>
      <c r="H92" s="301">
        <v>68.599999999999994</v>
      </c>
      <c r="I92" s="306"/>
      <c r="J92" s="300">
        <f t="shared" si="2"/>
        <v>1.0766756032171583</v>
      </c>
      <c r="K92" s="301" t="s">
        <v>295</v>
      </c>
      <c r="L92" s="301" t="s">
        <v>296</v>
      </c>
      <c r="M92" s="301"/>
    </row>
    <row r="93" spans="1:13">
      <c r="A93" s="301" t="s">
        <v>294</v>
      </c>
      <c r="B93" s="310">
        <v>300</v>
      </c>
      <c r="C93" s="301">
        <v>1770</v>
      </c>
      <c r="D93" s="301"/>
      <c r="E93" s="302">
        <v>492.66666666666669</v>
      </c>
      <c r="F93" s="302">
        <v>295.66666666666669</v>
      </c>
      <c r="G93" s="301">
        <v>215</v>
      </c>
      <c r="H93" s="301">
        <v>67</v>
      </c>
      <c r="I93" s="306"/>
      <c r="J93" s="300">
        <f t="shared" si="2"/>
        <v>0.96067917783735468</v>
      </c>
      <c r="K93" s="301" t="s">
        <v>295</v>
      </c>
      <c r="L93" s="301" t="s">
        <v>296</v>
      </c>
      <c r="M93" s="301"/>
    </row>
    <row r="94" spans="1:13">
      <c r="A94" s="301" t="s">
        <v>294</v>
      </c>
      <c r="B94" s="310">
        <v>150</v>
      </c>
      <c r="C94" s="301"/>
      <c r="D94" s="301"/>
      <c r="E94" s="302">
        <v>477</v>
      </c>
      <c r="F94" s="302">
        <v>159.30000000000001</v>
      </c>
      <c r="G94" s="301">
        <v>109.4</v>
      </c>
      <c r="H94" s="301">
        <v>59</v>
      </c>
      <c r="I94" s="306"/>
      <c r="J94" s="300">
        <f t="shared" si="2"/>
        <v>0.97765862377122426</v>
      </c>
      <c r="K94" s="301" t="s">
        <v>295</v>
      </c>
      <c r="L94" s="301" t="s">
        <v>296</v>
      </c>
      <c r="M94" s="301"/>
    </row>
    <row r="95" spans="1:13">
      <c r="A95" s="301" t="s">
        <v>294</v>
      </c>
      <c r="B95" s="310">
        <v>150</v>
      </c>
      <c r="C95" s="301"/>
      <c r="D95" s="301"/>
      <c r="E95" s="302">
        <v>0</v>
      </c>
      <c r="F95" s="302">
        <v>0</v>
      </c>
      <c r="G95" s="301">
        <v>64.8</v>
      </c>
      <c r="H95" s="301">
        <v>72.2</v>
      </c>
      <c r="I95" s="306"/>
      <c r="J95" s="300">
        <f t="shared" si="2"/>
        <v>0.57908847184986589</v>
      </c>
      <c r="K95" s="301" t="s">
        <v>295</v>
      </c>
      <c r="L95" s="301" t="s">
        <v>296</v>
      </c>
      <c r="M95" s="301"/>
    </row>
    <row r="96" spans="1:13">
      <c r="A96" s="301" t="s">
        <v>294</v>
      </c>
      <c r="B96" s="310">
        <v>75</v>
      </c>
      <c r="C96" s="301"/>
      <c r="D96" s="301"/>
      <c r="E96" s="302">
        <v>0</v>
      </c>
      <c r="F96" s="302">
        <v>0</v>
      </c>
      <c r="G96" s="301">
        <v>0</v>
      </c>
      <c r="H96" s="301">
        <v>73.2</v>
      </c>
      <c r="I96" s="306"/>
      <c r="J96" s="300"/>
      <c r="K96" s="301" t="s">
        <v>295</v>
      </c>
      <c r="L96" s="301" t="s">
        <v>296</v>
      </c>
      <c r="M96" s="301"/>
    </row>
    <row r="97" spans="1:13">
      <c r="A97" s="301" t="s">
        <v>297</v>
      </c>
      <c r="B97" s="310">
        <v>60</v>
      </c>
      <c r="C97" s="301">
        <v>1750</v>
      </c>
      <c r="D97" s="301"/>
      <c r="E97" s="302">
        <v>0</v>
      </c>
      <c r="F97" s="302">
        <v>0</v>
      </c>
      <c r="G97" s="301">
        <v>0</v>
      </c>
      <c r="H97" s="301">
        <v>77.400000000000006</v>
      </c>
      <c r="I97" s="306"/>
      <c r="J97" s="300"/>
      <c r="K97" s="301" t="s">
        <v>295</v>
      </c>
      <c r="L97" s="301" t="s">
        <v>296</v>
      </c>
      <c r="M97" s="301"/>
    </row>
    <row r="98" spans="1:13">
      <c r="A98" s="301" t="s">
        <v>294</v>
      </c>
      <c r="B98" s="310">
        <v>400</v>
      </c>
      <c r="C98" s="301">
        <v>1770</v>
      </c>
      <c r="D98" s="301"/>
      <c r="E98" s="302">
        <v>158.33333333333334</v>
      </c>
      <c r="F98" s="302">
        <v>141.66666666666666</v>
      </c>
      <c r="G98" s="301">
        <v>321.7</v>
      </c>
      <c r="H98" s="301">
        <v>69</v>
      </c>
      <c r="I98" s="306"/>
      <c r="J98" s="300">
        <f t="shared" ref="J98:J147" si="3">G98/(B98*0.746)</f>
        <v>1.0780831099195711</v>
      </c>
      <c r="K98" s="301" t="s">
        <v>295</v>
      </c>
      <c r="L98" s="301" t="s">
        <v>296</v>
      </c>
      <c r="M98" s="301"/>
    </row>
    <row r="99" spans="1:13">
      <c r="A99" s="301" t="s">
        <v>294</v>
      </c>
      <c r="B99" s="310">
        <v>20</v>
      </c>
      <c r="C99" s="301"/>
      <c r="D99" s="301"/>
      <c r="E99" s="302">
        <v>482</v>
      </c>
      <c r="F99" s="302">
        <v>20.933333333333334</v>
      </c>
      <c r="G99" s="301">
        <v>16.600000000000001</v>
      </c>
      <c r="H99" s="301">
        <v>58.6</v>
      </c>
      <c r="I99" s="306"/>
      <c r="J99" s="300">
        <f t="shared" si="3"/>
        <v>1.1126005361930296</v>
      </c>
      <c r="K99" s="301" t="s">
        <v>295</v>
      </c>
      <c r="L99" s="301" t="s">
        <v>296</v>
      </c>
      <c r="M99" s="301"/>
    </row>
    <row r="100" spans="1:13">
      <c r="A100" s="301" t="s">
        <v>294</v>
      </c>
      <c r="B100" s="310">
        <v>100</v>
      </c>
      <c r="C100" s="301"/>
      <c r="D100" s="301"/>
      <c r="E100" s="302">
        <v>478</v>
      </c>
      <c r="F100" s="302">
        <v>64.63333333333334</v>
      </c>
      <c r="G100" s="301">
        <v>52</v>
      </c>
      <c r="H100" s="301">
        <v>60.5</v>
      </c>
      <c r="I100" s="306"/>
      <c r="J100" s="300">
        <f t="shared" si="3"/>
        <v>0.69705093833780163</v>
      </c>
      <c r="K100" s="301" t="s">
        <v>295</v>
      </c>
      <c r="L100" s="301" t="s">
        <v>296</v>
      </c>
      <c r="M100" s="301"/>
    </row>
    <row r="101" spans="1:13">
      <c r="A101" s="301" t="s">
        <v>294</v>
      </c>
      <c r="B101" s="310">
        <v>20</v>
      </c>
      <c r="C101" s="301"/>
      <c r="D101" s="301"/>
      <c r="E101" s="302">
        <v>484.66666666666669</v>
      </c>
      <c r="F101" s="302">
        <v>17.733333333333334</v>
      </c>
      <c r="G101" s="301">
        <v>13.5</v>
      </c>
      <c r="H101" s="301">
        <v>48.4</v>
      </c>
      <c r="I101" s="306"/>
      <c r="J101" s="300">
        <f t="shared" si="3"/>
        <v>0.9048257372654156</v>
      </c>
      <c r="K101" s="301" t="s">
        <v>295</v>
      </c>
      <c r="L101" s="301" t="s">
        <v>296</v>
      </c>
      <c r="M101" s="301"/>
    </row>
    <row r="102" spans="1:13">
      <c r="A102" s="301" t="s">
        <v>294</v>
      </c>
      <c r="B102" s="310">
        <v>25</v>
      </c>
      <c r="C102" s="301">
        <v>1770</v>
      </c>
      <c r="D102" s="301"/>
      <c r="E102" s="302">
        <v>478</v>
      </c>
      <c r="F102" s="302">
        <v>18.566666666666666</v>
      </c>
      <c r="G102" s="301">
        <v>14.1</v>
      </c>
      <c r="H102" s="301">
        <v>51.1</v>
      </c>
      <c r="I102" s="306"/>
      <c r="J102" s="300">
        <f t="shared" si="3"/>
        <v>0.7560321715817695</v>
      </c>
      <c r="K102" s="301" t="s">
        <v>295</v>
      </c>
      <c r="L102" s="301" t="s">
        <v>296</v>
      </c>
      <c r="M102" s="301"/>
    </row>
    <row r="103" spans="1:13">
      <c r="A103" s="301" t="s">
        <v>294</v>
      </c>
      <c r="B103" s="310">
        <v>100</v>
      </c>
      <c r="C103" s="301">
        <v>1770</v>
      </c>
      <c r="D103" s="301"/>
      <c r="E103" s="302">
        <v>478.66666666666669</v>
      </c>
      <c r="F103" s="302">
        <v>152.80000000000001</v>
      </c>
      <c r="G103" s="301">
        <v>97.5</v>
      </c>
      <c r="H103" s="301">
        <v>53.6</v>
      </c>
      <c r="I103" s="306"/>
      <c r="J103" s="300">
        <f t="shared" si="3"/>
        <v>1.3069705093833781</v>
      </c>
      <c r="K103" s="301" t="s">
        <v>295</v>
      </c>
      <c r="L103" s="301" t="s">
        <v>296</v>
      </c>
      <c r="M103" s="301"/>
    </row>
    <row r="104" spans="1:13">
      <c r="A104" s="301" t="s">
        <v>297</v>
      </c>
      <c r="B104" s="310">
        <v>30</v>
      </c>
      <c r="C104" s="301"/>
      <c r="D104" s="301"/>
      <c r="E104" s="302">
        <v>478.66666666666669</v>
      </c>
      <c r="F104" s="302">
        <v>37.200000000000003</v>
      </c>
      <c r="G104" s="301">
        <v>22.8</v>
      </c>
      <c r="H104" s="301">
        <v>62.1</v>
      </c>
      <c r="I104" s="306"/>
      <c r="J104" s="300">
        <f t="shared" si="3"/>
        <v>1.0187667560321716</v>
      </c>
      <c r="K104" s="301" t="s">
        <v>295</v>
      </c>
      <c r="L104" s="301" t="s">
        <v>296</v>
      </c>
      <c r="M104" s="301"/>
    </row>
    <row r="105" spans="1:13">
      <c r="A105" s="301" t="s">
        <v>294</v>
      </c>
      <c r="B105" s="310">
        <v>100</v>
      </c>
      <c r="C105" s="301">
        <v>1770</v>
      </c>
      <c r="D105" s="301"/>
      <c r="E105" s="302">
        <v>484</v>
      </c>
      <c r="F105" s="302">
        <v>140</v>
      </c>
      <c r="G105" s="301">
        <v>97</v>
      </c>
      <c r="H105" s="301">
        <v>56.5</v>
      </c>
      <c r="I105" s="306"/>
      <c r="J105" s="300">
        <f t="shared" si="3"/>
        <v>1.3002680965147455</v>
      </c>
      <c r="K105" s="301" t="s">
        <v>295</v>
      </c>
      <c r="L105" s="301" t="s">
        <v>296</v>
      </c>
      <c r="M105" s="301"/>
    </row>
    <row r="106" spans="1:13">
      <c r="A106" s="301" t="s">
        <v>297</v>
      </c>
      <c r="B106" s="310">
        <v>30</v>
      </c>
      <c r="C106" s="301"/>
      <c r="D106" s="301"/>
      <c r="E106" s="302">
        <v>481</v>
      </c>
      <c r="F106" s="302">
        <v>31.6</v>
      </c>
      <c r="G106" s="301">
        <v>21.4</v>
      </c>
      <c r="H106" s="301">
        <v>74.8</v>
      </c>
      <c r="I106" s="306"/>
      <c r="J106" s="300">
        <f t="shared" si="3"/>
        <v>0.95621090259159958</v>
      </c>
      <c r="K106" s="301" t="s">
        <v>295</v>
      </c>
      <c r="L106" s="301" t="s">
        <v>296</v>
      </c>
      <c r="M106" s="301"/>
    </row>
    <row r="107" spans="1:13">
      <c r="A107" s="301" t="s">
        <v>294</v>
      </c>
      <c r="B107" s="310">
        <v>100</v>
      </c>
      <c r="C107" s="301">
        <v>1770</v>
      </c>
      <c r="D107" s="301"/>
      <c r="E107" s="302">
        <v>481.33333333333331</v>
      </c>
      <c r="F107" s="302">
        <v>139.33333333333334</v>
      </c>
      <c r="G107" s="301">
        <v>97</v>
      </c>
      <c r="H107" s="301">
        <v>53</v>
      </c>
      <c r="I107" s="306"/>
      <c r="J107" s="300">
        <f t="shared" si="3"/>
        <v>1.3002680965147455</v>
      </c>
      <c r="K107" s="301" t="s">
        <v>295</v>
      </c>
      <c r="L107" s="301" t="s">
        <v>296</v>
      </c>
      <c r="M107" s="301"/>
    </row>
    <row r="108" spans="1:13">
      <c r="A108" s="301" t="s">
        <v>294</v>
      </c>
      <c r="B108" s="310">
        <v>125</v>
      </c>
      <c r="C108" s="301">
        <v>1770</v>
      </c>
      <c r="D108" s="301"/>
      <c r="E108" s="302">
        <v>0</v>
      </c>
      <c r="F108" s="302">
        <v>0</v>
      </c>
      <c r="G108" s="301">
        <v>97.5</v>
      </c>
      <c r="H108" s="301">
        <v>54.4</v>
      </c>
      <c r="I108" s="306"/>
      <c r="J108" s="300">
        <f t="shared" si="3"/>
        <v>1.0455764075067024</v>
      </c>
      <c r="K108" s="301" t="s">
        <v>295</v>
      </c>
      <c r="L108" s="301" t="s">
        <v>296</v>
      </c>
      <c r="M108" s="301"/>
    </row>
    <row r="109" spans="1:13">
      <c r="A109" s="301" t="s">
        <v>297</v>
      </c>
      <c r="B109" s="310">
        <v>30</v>
      </c>
      <c r="C109" s="301"/>
      <c r="D109" s="301"/>
      <c r="E109" s="302">
        <v>0</v>
      </c>
      <c r="F109" s="302">
        <v>0</v>
      </c>
      <c r="G109" s="301">
        <v>19.600000000000001</v>
      </c>
      <c r="H109" s="301">
        <v>71.3</v>
      </c>
      <c r="I109" s="306"/>
      <c r="J109" s="300">
        <f t="shared" si="3"/>
        <v>0.87578194816800725</v>
      </c>
      <c r="K109" s="301" t="s">
        <v>295</v>
      </c>
      <c r="L109" s="301" t="s">
        <v>296</v>
      </c>
      <c r="M109" s="301"/>
    </row>
    <row r="110" spans="1:13">
      <c r="A110" s="301" t="s">
        <v>294</v>
      </c>
      <c r="B110" s="310">
        <v>125</v>
      </c>
      <c r="C110" s="301">
        <v>1770</v>
      </c>
      <c r="D110" s="301"/>
      <c r="E110" s="302">
        <v>0</v>
      </c>
      <c r="F110" s="302">
        <v>0</v>
      </c>
      <c r="G110" s="301">
        <v>97</v>
      </c>
      <c r="H110" s="301">
        <v>51.8</v>
      </c>
      <c r="I110" s="306"/>
      <c r="J110" s="300">
        <f t="shared" si="3"/>
        <v>1.0402144772117963</v>
      </c>
      <c r="K110" s="301" t="s">
        <v>295</v>
      </c>
      <c r="L110" s="301" t="s">
        <v>296</v>
      </c>
      <c r="M110" s="301"/>
    </row>
    <row r="111" spans="1:13">
      <c r="A111" s="301" t="s">
        <v>297</v>
      </c>
      <c r="B111" s="310">
        <v>30</v>
      </c>
      <c r="C111" s="301"/>
      <c r="D111" s="301"/>
      <c r="E111" s="302">
        <v>0</v>
      </c>
      <c r="F111" s="302">
        <v>0</v>
      </c>
      <c r="G111" s="301">
        <v>21.4</v>
      </c>
      <c r="H111" s="301">
        <v>74.8</v>
      </c>
      <c r="I111" s="306"/>
      <c r="J111" s="300">
        <f t="shared" si="3"/>
        <v>0.95621090259159958</v>
      </c>
      <c r="K111" s="301" t="s">
        <v>295</v>
      </c>
      <c r="L111" s="301" t="s">
        <v>296</v>
      </c>
      <c r="M111" s="301"/>
    </row>
    <row r="112" spans="1:13">
      <c r="A112" s="301" t="s">
        <v>294</v>
      </c>
      <c r="B112" s="310">
        <v>125</v>
      </c>
      <c r="C112" s="301">
        <v>1770</v>
      </c>
      <c r="D112" s="301"/>
      <c r="E112" s="302">
        <v>0</v>
      </c>
      <c r="F112" s="302">
        <v>0</v>
      </c>
      <c r="G112" s="301">
        <v>97</v>
      </c>
      <c r="H112" s="301">
        <v>48</v>
      </c>
      <c r="I112" s="306"/>
      <c r="J112" s="300">
        <f t="shared" si="3"/>
        <v>1.0402144772117963</v>
      </c>
      <c r="K112" s="301" t="s">
        <v>295</v>
      </c>
      <c r="L112" s="301" t="s">
        <v>296</v>
      </c>
      <c r="M112" s="301"/>
    </row>
    <row r="113" spans="1:13">
      <c r="A113" s="301" t="s">
        <v>294</v>
      </c>
      <c r="B113" s="310">
        <v>150</v>
      </c>
      <c r="C113" s="301">
        <v>1780</v>
      </c>
      <c r="D113" s="301"/>
      <c r="E113" s="302">
        <v>466.33333333333331</v>
      </c>
      <c r="F113" s="302">
        <v>179.66666666666666</v>
      </c>
      <c r="G113" s="301">
        <v>122.4</v>
      </c>
      <c r="H113" s="301">
        <v>52.9</v>
      </c>
      <c r="I113" s="306"/>
      <c r="J113" s="300">
        <f t="shared" si="3"/>
        <v>1.093833780160858</v>
      </c>
      <c r="K113" s="301" t="s">
        <v>295</v>
      </c>
      <c r="L113" s="301" t="s">
        <v>296</v>
      </c>
      <c r="M113" s="301"/>
    </row>
    <row r="114" spans="1:13">
      <c r="A114" s="301" t="s">
        <v>294</v>
      </c>
      <c r="B114" s="310">
        <v>150</v>
      </c>
      <c r="C114" s="301">
        <v>1770</v>
      </c>
      <c r="D114" s="301"/>
      <c r="E114" s="302">
        <v>0</v>
      </c>
      <c r="F114" s="302">
        <v>0</v>
      </c>
      <c r="G114" s="301">
        <v>75</v>
      </c>
      <c r="H114" s="301">
        <v>71.599999999999994</v>
      </c>
      <c r="I114" s="306"/>
      <c r="J114" s="300">
        <f t="shared" si="3"/>
        <v>0.67024128686327078</v>
      </c>
      <c r="K114" s="301" t="s">
        <v>295</v>
      </c>
      <c r="L114" s="301" t="s">
        <v>296</v>
      </c>
      <c r="M114" s="301"/>
    </row>
    <row r="115" spans="1:13">
      <c r="A115" s="301" t="s">
        <v>294</v>
      </c>
      <c r="B115" s="310">
        <v>150</v>
      </c>
      <c r="C115" s="301">
        <v>1770</v>
      </c>
      <c r="D115" s="301"/>
      <c r="E115" s="302">
        <v>472.66666666666669</v>
      </c>
      <c r="F115" s="302">
        <v>137.33333333333334</v>
      </c>
      <c r="G115" s="301">
        <v>89.2</v>
      </c>
      <c r="H115" s="301">
        <v>69</v>
      </c>
      <c r="I115" s="306"/>
      <c r="J115" s="300">
        <f t="shared" si="3"/>
        <v>0.79714030384271672</v>
      </c>
      <c r="K115" s="301" t="s">
        <v>295</v>
      </c>
      <c r="L115" s="301" t="s">
        <v>296</v>
      </c>
      <c r="M115" s="301"/>
    </row>
    <row r="116" spans="1:13">
      <c r="A116" s="301" t="s">
        <v>294</v>
      </c>
      <c r="B116" s="310">
        <v>700</v>
      </c>
      <c r="C116" s="301">
        <v>1775</v>
      </c>
      <c r="D116" s="301"/>
      <c r="E116" s="302">
        <v>0</v>
      </c>
      <c r="F116" s="302">
        <v>0</v>
      </c>
      <c r="G116" s="301">
        <v>430</v>
      </c>
      <c r="H116" s="301">
        <v>68.599999999999994</v>
      </c>
      <c r="I116" s="306"/>
      <c r="J116" s="300">
        <f t="shared" si="3"/>
        <v>0.82343929528916116</v>
      </c>
      <c r="K116" s="301" t="s">
        <v>295</v>
      </c>
      <c r="L116" s="301" t="s">
        <v>296</v>
      </c>
      <c r="M116" s="301"/>
    </row>
    <row r="117" spans="1:13">
      <c r="A117" s="301" t="s">
        <v>294</v>
      </c>
      <c r="B117" s="310">
        <v>50</v>
      </c>
      <c r="C117" s="301"/>
      <c r="D117" s="301"/>
      <c r="E117" s="302">
        <v>459</v>
      </c>
      <c r="F117" s="302">
        <v>67.833333333333329</v>
      </c>
      <c r="G117" s="301">
        <v>43.7</v>
      </c>
      <c r="H117" s="301">
        <v>44.7</v>
      </c>
      <c r="I117" s="306"/>
      <c r="J117" s="300">
        <f t="shared" si="3"/>
        <v>1.1715817694369974</v>
      </c>
      <c r="K117" s="301" t="s">
        <v>295</v>
      </c>
      <c r="L117" s="301" t="s">
        <v>296</v>
      </c>
      <c r="M117" s="301"/>
    </row>
    <row r="118" spans="1:13">
      <c r="A118" s="301" t="s">
        <v>294</v>
      </c>
      <c r="B118" s="310">
        <v>75</v>
      </c>
      <c r="C118" s="301"/>
      <c r="D118" s="301"/>
      <c r="E118" s="302">
        <v>0</v>
      </c>
      <c r="F118" s="302">
        <v>0</v>
      </c>
      <c r="G118" s="301">
        <v>58.5</v>
      </c>
      <c r="H118" s="301">
        <v>72.400000000000006</v>
      </c>
      <c r="I118" s="306"/>
      <c r="J118" s="300">
        <f t="shared" si="3"/>
        <v>1.0455764075067024</v>
      </c>
      <c r="K118" s="301" t="s">
        <v>295</v>
      </c>
      <c r="L118" s="301" t="s">
        <v>296</v>
      </c>
      <c r="M118" s="301"/>
    </row>
    <row r="119" spans="1:13">
      <c r="A119" s="301" t="s">
        <v>294</v>
      </c>
      <c r="B119" s="310">
        <v>250</v>
      </c>
      <c r="C119" s="301">
        <v>1760</v>
      </c>
      <c r="D119" s="301"/>
      <c r="E119" s="302">
        <v>484</v>
      </c>
      <c r="F119" s="302">
        <v>241</v>
      </c>
      <c r="G119" s="301">
        <v>185.9</v>
      </c>
      <c r="H119" s="301">
        <v>64.8</v>
      </c>
      <c r="I119" s="306"/>
      <c r="J119" s="300">
        <f t="shared" si="3"/>
        <v>0.99678284182305632</v>
      </c>
      <c r="K119" s="301" t="s">
        <v>295</v>
      </c>
      <c r="L119" s="301" t="s">
        <v>296</v>
      </c>
      <c r="M119" s="301"/>
    </row>
    <row r="120" spans="1:13">
      <c r="A120" s="301" t="s">
        <v>294</v>
      </c>
      <c r="B120" s="310">
        <v>250</v>
      </c>
      <c r="C120" s="301">
        <v>1760</v>
      </c>
      <c r="D120" s="301"/>
      <c r="E120" s="302">
        <v>484</v>
      </c>
      <c r="F120" s="302">
        <v>231</v>
      </c>
      <c r="G120" s="301">
        <v>178.2</v>
      </c>
      <c r="H120" s="301">
        <v>66.7</v>
      </c>
      <c r="I120" s="306"/>
      <c r="J120" s="300">
        <f t="shared" si="3"/>
        <v>0.95549597855227875</v>
      </c>
      <c r="K120" s="301" t="s">
        <v>295</v>
      </c>
      <c r="L120" s="301" t="s">
        <v>296</v>
      </c>
      <c r="M120" s="301"/>
    </row>
    <row r="121" spans="1:13">
      <c r="A121" s="301" t="s">
        <v>294</v>
      </c>
      <c r="B121" s="310">
        <v>100</v>
      </c>
      <c r="C121" s="301">
        <v>1770</v>
      </c>
      <c r="D121" s="301"/>
      <c r="E121" s="302">
        <v>481</v>
      </c>
      <c r="F121" s="302">
        <v>102.5</v>
      </c>
      <c r="G121" s="301">
        <v>77.7</v>
      </c>
      <c r="H121" s="301">
        <v>67.2</v>
      </c>
      <c r="I121" s="306"/>
      <c r="J121" s="300">
        <f t="shared" si="3"/>
        <v>1.0415549597855229</v>
      </c>
      <c r="K121" s="301" t="s">
        <v>295</v>
      </c>
      <c r="L121" s="301" t="s">
        <v>296</v>
      </c>
      <c r="M121" s="301"/>
    </row>
    <row r="122" spans="1:13">
      <c r="A122" s="301" t="s">
        <v>294</v>
      </c>
      <c r="B122" s="310">
        <v>100</v>
      </c>
      <c r="C122" s="301">
        <v>1770</v>
      </c>
      <c r="D122" s="301"/>
      <c r="E122" s="302">
        <v>0</v>
      </c>
      <c r="F122" s="302">
        <v>0</v>
      </c>
      <c r="G122" s="301">
        <v>78.099999999999994</v>
      </c>
      <c r="H122" s="301">
        <v>66.5</v>
      </c>
      <c r="I122" s="306"/>
      <c r="J122" s="300">
        <f t="shared" si="3"/>
        <v>1.0469168900804289</v>
      </c>
      <c r="K122" s="301" t="s">
        <v>295</v>
      </c>
      <c r="L122" s="301" t="s">
        <v>296</v>
      </c>
      <c r="M122" s="301"/>
    </row>
    <row r="123" spans="1:13">
      <c r="A123" s="301" t="s">
        <v>294</v>
      </c>
      <c r="B123" s="310">
        <v>100</v>
      </c>
      <c r="C123" s="301">
        <v>1770</v>
      </c>
      <c r="D123" s="301"/>
      <c r="E123" s="302">
        <v>0</v>
      </c>
      <c r="F123" s="302">
        <v>0</v>
      </c>
      <c r="G123" s="301">
        <v>78.8</v>
      </c>
      <c r="H123" s="301">
        <v>66.099999999999994</v>
      </c>
      <c r="I123" s="306"/>
      <c r="J123" s="300">
        <f t="shared" si="3"/>
        <v>1.0563002680965148</v>
      </c>
      <c r="K123" s="301" t="s">
        <v>295</v>
      </c>
      <c r="L123" s="301" t="s">
        <v>296</v>
      </c>
      <c r="M123" s="301"/>
    </row>
    <row r="124" spans="1:13">
      <c r="A124" s="301" t="s">
        <v>298</v>
      </c>
      <c r="B124" s="310">
        <v>75</v>
      </c>
      <c r="C124" s="301"/>
      <c r="D124" s="301"/>
      <c r="E124" s="302">
        <v>485.66666666666669</v>
      </c>
      <c r="F124" s="302">
        <v>85.666666666666671</v>
      </c>
      <c r="G124" s="301">
        <v>57.4</v>
      </c>
      <c r="H124" s="301">
        <v>67.5</v>
      </c>
      <c r="I124" s="306"/>
      <c r="J124" s="300">
        <f t="shared" si="3"/>
        <v>1.0259159964253797</v>
      </c>
      <c r="K124" s="301" t="s">
        <v>295</v>
      </c>
      <c r="L124" s="301" t="s">
        <v>296</v>
      </c>
      <c r="M124" s="301"/>
    </row>
    <row r="125" spans="1:13">
      <c r="A125" s="301" t="s">
        <v>298</v>
      </c>
      <c r="B125" s="310">
        <v>75</v>
      </c>
      <c r="C125" s="301"/>
      <c r="D125" s="301"/>
      <c r="E125" s="302">
        <v>0</v>
      </c>
      <c r="F125" s="302">
        <v>0</v>
      </c>
      <c r="G125" s="301">
        <v>63.7</v>
      </c>
      <c r="H125" s="301">
        <v>75</v>
      </c>
      <c r="I125" s="306"/>
      <c r="J125" s="300">
        <f t="shared" si="3"/>
        <v>1.1385165326184092</v>
      </c>
      <c r="K125" s="301" t="s">
        <v>295</v>
      </c>
      <c r="L125" s="301" t="s">
        <v>296</v>
      </c>
      <c r="M125" s="301"/>
    </row>
    <row r="126" spans="1:13">
      <c r="A126" s="301" t="s">
        <v>294</v>
      </c>
      <c r="B126" s="310">
        <v>100</v>
      </c>
      <c r="C126" s="301"/>
      <c r="D126" s="301"/>
      <c r="E126" s="302">
        <v>486</v>
      </c>
      <c r="F126" s="302">
        <v>122.33333333333333</v>
      </c>
      <c r="G126" s="301">
        <v>88.9</v>
      </c>
      <c r="H126" s="301">
        <v>63.9</v>
      </c>
      <c r="I126" s="306"/>
      <c r="J126" s="300">
        <f t="shared" si="3"/>
        <v>1.1916890080428957</v>
      </c>
      <c r="K126" s="301" t="s">
        <v>295</v>
      </c>
      <c r="L126" s="301" t="s">
        <v>296</v>
      </c>
      <c r="M126" s="301"/>
    </row>
    <row r="127" spans="1:13">
      <c r="A127" s="301" t="s">
        <v>298</v>
      </c>
      <c r="B127" s="310">
        <v>100</v>
      </c>
      <c r="C127" s="301">
        <v>1770</v>
      </c>
      <c r="D127" s="301"/>
      <c r="E127" s="302">
        <v>0</v>
      </c>
      <c r="F127" s="302">
        <v>0</v>
      </c>
      <c r="G127" s="301">
        <v>88.4</v>
      </c>
      <c r="H127" s="301">
        <v>75</v>
      </c>
      <c r="I127" s="306"/>
      <c r="J127" s="300">
        <f t="shared" si="3"/>
        <v>1.1849865951742629</v>
      </c>
      <c r="K127" s="301" t="s">
        <v>295</v>
      </c>
      <c r="L127" s="301" t="s">
        <v>296</v>
      </c>
      <c r="M127" s="301"/>
    </row>
    <row r="128" spans="1:13">
      <c r="A128" s="301" t="s">
        <v>294</v>
      </c>
      <c r="B128" s="310">
        <v>75</v>
      </c>
      <c r="C128" s="301">
        <v>1770</v>
      </c>
      <c r="D128" s="301"/>
      <c r="E128" s="302">
        <v>480.33333333333331</v>
      </c>
      <c r="F128" s="302">
        <v>70.86666666666666</v>
      </c>
      <c r="G128" s="301">
        <v>56</v>
      </c>
      <c r="H128" s="301">
        <v>59.2</v>
      </c>
      <c r="I128" s="306"/>
      <c r="J128" s="300">
        <f t="shared" si="3"/>
        <v>1.000893655049151</v>
      </c>
      <c r="K128" s="301" t="s">
        <v>295</v>
      </c>
      <c r="L128" s="301" t="s">
        <v>296</v>
      </c>
      <c r="M128" s="301"/>
    </row>
    <row r="129" spans="1:13">
      <c r="A129" s="301" t="s">
        <v>294</v>
      </c>
      <c r="B129" s="310">
        <v>100</v>
      </c>
      <c r="C129" s="301"/>
      <c r="D129" s="301"/>
      <c r="E129" s="302">
        <v>480.66666666666669</v>
      </c>
      <c r="F129" s="302">
        <v>119.7</v>
      </c>
      <c r="G129" s="301">
        <v>83</v>
      </c>
      <c r="H129" s="301">
        <v>44.9</v>
      </c>
      <c r="I129" s="306"/>
      <c r="J129" s="300">
        <f t="shared" si="3"/>
        <v>1.1126005361930296</v>
      </c>
      <c r="K129" s="301" t="s">
        <v>295</v>
      </c>
      <c r="L129" s="301" t="s">
        <v>296</v>
      </c>
      <c r="M129" s="301"/>
    </row>
    <row r="130" spans="1:13">
      <c r="A130" s="301" t="s">
        <v>294</v>
      </c>
      <c r="B130" s="310">
        <v>200</v>
      </c>
      <c r="C130" s="301"/>
      <c r="D130" s="301"/>
      <c r="E130" s="302">
        <v>497</v>
      </c>
      <c r="F130" s="302">
        <v>219.33333333333334</v>
      </c>
      <c r="G130" s="301">
        <v>155</v>
      </c>
      <c r="H130" s="301">
        <v>44</v>
      </c>
      <c r="I130" s="306"/>
      <c r="J130" s="300">
        <f t="shared" si="3"/>
        <v>1.0388739946380698</v>
      </c>
      <c r="K130" s="301" t="s">
        <v>295</v>
      </c>
      <c r="L130" s="301" t="s">
        <v>296</v>
      </c>
      <c r="M130" s="301"/>
    </row>
    <row r="131" spans="1:13">
      <c r="A131" s="301" t="s">
        <v>294</v>
      </c>
      <c r="B131" s="310">
        <v>350</v>
      </c>
      <c r="C131" s="301">
        <v>1770</v>
      </c>
      <c r="D131" s="301"/>
      <c r="E131" s="302">
        <v>474</v>
      </c>
      <c r="F131" s="302">
        <v>371.33333333333331</v>
      </c>
      <c r="G131" s="301">
        <v>270</v>
      </c>
      <c r="H131" s="301">
        <v>49.8</v>
      </c>
      <c r="I131" s="306"/>
      <c r="J131" s="300">
        <f t="shared" si="3"/>
        <v>1.0340865568747606</v>
      </c>
      <c r="K131" s="301" t="s">
        <v>295</v>
      </c>
      <c r="L131" s="301" t="s">
        <v>296</v>
      </c>
      <c r="M131" s="301"/>
    </row>
    <row r="132" spans="1:13">
      <c r="A132" s="301" t="s">
        <v>294</v>
      </c>
      <c r="B132" s="310">
        <v>100</v>
      </c>
      <c r="C132" s="301">
        <v>1770</v>
      </c>
      <c r="D132" s="301"/>
      <c r="E132" s="302">
        <v>481.33333333333331</v>
      </c>
      <c r="F132" s="302">
        <v>80.7</v>
      </c>
      <c r="G132" s="301">
        <v>58</v>
      </c>
      <c r="H132" s="301">
        <v>54</v>
      </c>
      <c r="I132" s="306"/>
      <c r="J132" s="300">
        <f t="shared" si="3"/>
        <v>0.77747989276139418</v>
      </c>
      <c r="K132" s="301" t="s">
        <v>295</v>
      </c>
      <c r="L132" s="301" t="s">
        <v>296</v>
      </c>
      <c r="M132" s="301"/>
    </row>
    <row r="133" spans="1:13">
      <c r="A133" s="301" t="s">
        <v>294</v>
      </c>
      <c r="B133" s="310">
        <v>125</v>
      </c>
      <c r="C133" s="301">
        <v>1770</v>
      </c>
      <c r="D133" s="301"/>
      <c r="E133" s="302">
        <v>482.33333333333331</v>
      </c>
      <c r="F133" s="302">
        <v>55.866666666666667</v>
      </c>
      <c r="G133" s="301">
        <v>43</v>
      </c>
      <c r="H133" s="301">
        <v>54.4</v>
      </c>
      <c r="I133" s="306"/>
      <c r="J133" s="300">
        <f t="shared" si="3"/>
        <v>0.46112600536193027</v>
      </c>
      <c r="K133" s="301" t="s">
        <v>295</v>
      </c>
      <c r="L133" s="301" t="s">
        <v>296</v>
      </c>
      <c r="M133" s="301"/>
    </row>
    <row r="134" spans="1:13">
      <c r="A134" s="301" t="s">
        <v>294</v>
      </c>
      <c r="B134" s="310">
        <v>150</v>
      </c>
      <c r="C134" s="301">
        <v>1770</v>
      </c>
      <c r="D134" s="301"/>
      <c r="E134" s="302">
        <v>479.33333333333331</v>
      </c>
      <c r="F134" s="302">
        <v>169.66666666666666</v>
      </c>
      <c r="G134" s="301">
        <v>122</v>
      </c>
      <c r="H134" s="301">
        <v>64.8</v>
      </c>
      <c r="I134" s="306"/>
      <c r="J134" s="300">
        <f t="shared" si="3"/>
        <v>1.0902591599642537</v>
      </c>
      <c r="K134" s="301" t="s">
        <v>295</v>
      </c>
      <c r="L134" s="301" t="s">
        <v>296</v>
      </c>
      <c r="M134" s="301"/>
    </row>
    <row r="135" spans="1:13">
      <c r="A135" s="301" t="s">
        <v>294</v>
      </c>
      <c r="B135" s="310">
        <v>100</v>
      </c>
      <c r="C135" s="301">
        <v>1770</v>
      </c>
      <c r="D135" s="301"/>
      <c r="E135" s="302">
        <v>0</v>
      </c>
      <c r="F135" s="302">
        <v>0</v>
      </c>
      <c r="G135" s="301">
        <v>44.6</v>
      </c>
      <c r="H135" s="301">
        <v>62.5</v>
      </c>
      <c r="I135" s="306"/>
      <c r="J135" s="300">
        <f t="shared" si="3"/>
        <v>0.5978552278820376</v>
      </c>
      <c r="K135" s="301" t="s">
        <v>295</v>
      </c>
      <c r="L135" s="301" t="s">
        <v>296</v>
      </c>
      <c r="M135" s="301"/>
    </row>
    <row r="136" spans="1:13">
      <c r="A136" s="301" t="s">
        <v>294</v>
      </c>
      <c r="B136" s="310">
        <v>75</v>
      </c>
      <c r="C136" s="301"/>
      <c r="D136" s="301"/>
      <c r="E136" s="302">
        <v>0</v>
      </c>
      <c r="F136" s="302">
        <v>0</v>
      </c>
      <c r="G136" s="301">
        <v>54.5</v>
      </c>
      <c r="H136" s="301">
        <v>71.099999999999994</v>
      </c>
      <c r="I136" s="306"/>
      <c r="J136" s="300">
        <f t="shared" si="3"/>
        <v>0.97408400357462011</v>
      </c>
      <c r="K136" s="301" t="s">
        <v>295</v>
      </c>
      <c r="L136" s="301" t="s">
        <v>296</v>
      </c>
      <c r="M136" s="301"/>
    </row>
    <row r="137" spans="1:13">
      <c r="A137" s="301" t="s">
        <v>294</v>
      </c>
      <c r="B137" s="310">
        <v>125</v>
      </c>
      <c r="C137" s="301"/>
      <c r="D137" s="301"/>
      <c r="E137" s="302">
        <v>0</v>
      </c>
      <c r="F137" s="302">
        <v>0</v>
      </c>
      <c r="G137" s="301">
        <v>99</v>
      </c>
      <c r="H137" s="301">
        <v>71.5</v>
      </c>
      <c r="I137" s="306"/>
      <c r="J137" s="300">
        <f t="shared" si="3"/>
        <v>1.061662198391421</v>
      </c>
      <c r="K137" s="301" t="s">
        <v>295</v>
      </c>
      <c r="L137" s="301" t="s">
        <v>296</v>
      </c>
      <c r="M137" s="301"/>
    </row>
    <row r="138" spans="1:13">
      <c r="A138" s="301" t="s">
        <v>294</v>
      </c>
      <c r="B138" s="310">
        <v>300</v>
      </c>
      <c r="C138" s="301">
        <v>1770</v>
      </c>
      <c r="D138" s="301"/>
      <c r="E138" s="302">
        <v>0</v>
      </c>
      <c r="F138" s="302">
        <v>0</v>
      </c>
      <c r="G138" s="301">
        <v>225.8</v>
      </c>
      <c r="H138" s="301">
        <v>68.8</v>
      </c>
      <c r="I138" s="306"/>
      <c r="J138" s="300">
        <f t="shared" si="3"/>
        <v>1.0089365504915102</v>
      </c>
      <c r="K138" s="301" t="s">
        <v>295</v>
      </c>
      <c r="L138" s="301" t="s">
        <v>296</v>
      </c>
      <c r="M138" s="301"/>
    </row>
    <row r="139" spans="1:13">
      <c r="A139" s="301" t="s">
        <v>298</v>
      </c>
      <c r="B139" s="310">
        <v>40</v>
      </c>
      <c r="C139" s="301">
        <v>1775</v>
      </c>
      <c r="D139" s="301"/>
      <c r="E139" s="302">
        <v>488.33333333333331</v>
      </c>
      <c r="F139" s="302">
        <v>39.666666666666664</v>
      </c>
      <c r="G139" s="301">
        <v>31.4</v>
      </c>
      <c r="H139" s="301">
        <v>70.900000000000006</v>
      </c>
      <c r="I139" s="306"/>
      <c r="J139" s="300">
        <f t="shared" si="3"/>
        <v>1.052278820375335</v>
      </c>
      <c r="K139" s="301" t="s">
        <v>295</v>
      </c>
      <c r="L139" s="301" t="s">
        <v>296</v>
      </c>
      <c r="M139" s="301"/>
    </row>
    <row r="140" spans="1:13">
      <c r="A140" s="301" t="s">
        <v>294</v>
      </c>
      <c r="B140" s="310">
        <v>150</v>
      </c>
      <c r="C140" s="301"/>
      <c r="D140" s="301"/>
      <c r="E140" s="302">
        <v>487</v>
      </c>
      <c r="F140" s="302">
        <v>148.66666666666666</v>
      </c>
      <c r="G140" s="301">
        <v>120.4</v>
      </c>
      <c r="H140" s="301">
        <v>60.5</v>
      </c>
      <c r="I140" s="306"/>
      <c r="J140" s="300">
        <f t="shared" si="3"/>
        <v>1.0759606791778373</v>
      </c>
      <c r="K140" s="301" t="s">
        <v>295</v>
      </c>
      <c r="L140" s="301" t="s">
        <v>296</v>
      </c>
      <c r="M140" s="301"/>
    </row>
    <row r="141" spans="1:13">
      <c r="A141" s="301" t="s">
        <v>294</v>
      </c>
      <c r="B141" s="310">
        <v>150</v>
      </c>
      <c r="C141" s="301"/>
      <c r="D141" s="301"/>
      <c r="E141" s="302">
        <v>0</v>
      </c>
      <c r="F141" s="302">
        <v>0</v>
      </c>
      <c r="G141" s="301">
        <v>77.400000000000006</v>
      </c>
      <c r="H141" s="301">
        <v>75.099999999999994</v>
      </c>
      <c r="I141" s="306"/>
      <c r="J141" s="300">
        <f t="shared" si="3"/>
        <v>0.69168900804289546</v>
      </c>
      <c r="K141" s="301" t="s">
        <v>295</v>
      </c>
      <c r="L141" s="301" t="s">
        <v>296</v>
      </c>
      <c r="M141" s="301"/>
    </row>
    <row r="142" spans="1:13">
      <c r="A142" s="301" t="s">
        <v>294</v>
      </c>
      <c r="B142" s="310">
        <v>300</v>
      </c>
      <c r="C142" s="301">
        <v>1760</v>
      </c>
      <c r="D142" s="301"/>
      <c r="E142" s="302">
        <v>161.33333333333334</v>
      </c>
      <c r="F142" s="302">
        <v>107</v>
      </c>
      <c r="G142" s="301">
        <v>247.6</v>
      </c>
      <c r="H142" s="301">
        <v>63.2</v>
      </c>
      <c r="I142" s="306"/>
      <c r="J142" s="300">
        <f t="shared" si="3"/>
        <v>1.1063449508489722</v>
      </c>
      <c r="K142" s="301" t="s">
        <v>295</v>
      </c>
      <c r="L142" s="301" t="s">
        <v>296</v>
      </c>
      <c r="M142" s="301"/>
    </row>
    <row r="143" spans="1:13">
      <c r="A143" s="301" t="s">
        <v>298</v>
      </c>
      <c r="B143" s="310">
        <v>100</v>
      </c>
      <c r="C143" s="301">
        <v>1770</v>
      </c>
      <c r="D143" s="301"/>
      <c r="E143" s="302">
        <v>162.66666666666666</v>
      </c>
      <c r="F143" s="302">
        <v>34.376666666666665</v>
      </c>
      <c r="G143" s="301">
        <v>80.2</v>
      </c>
      <c r="H143" s="301">
        <v>53.3</v>
      </c>
      <c r="I143" s="306"/>
      <c r="J143" s="300">
        <f t="shared" si="3"/>
        <v>1.0750670241286864</v>
      </c>
      <c r="K143" s="301" t="s">
        <v>295</v>
      </c>
      <c r="L143" s="301" t="s">
        <v>296</v>
      </c>
      <c r="M143" s="301"/>
    </row>
    <row r="144" spans="1:13">
      <c r="A144" s="301" t="s">
        <v>294</v>
      </c>
      <c r="B144" s="310">
        <v>300</v>
      </c>
      <c r="C144" s="301">
        <v>1760</v>
      </c>
      <c r="D144" s="301"/>
      <c r="E144" s="302">
        <v>0</v>
      </c>
      <c r="F144" s="302">
        <v>0</v>
      </c>
      <c r="G144" s="301">
        <v>247.6</v>
      </c>
      <c r="H144" s="301">
        <v>63.2</v>
      </c>
      <c r="I144" s="306"/>
      <c r="J144" s="300">
        <f t="shared" si="3"/>
        <v>1.1063449508489722</v>
      </c>
      <c r="K144" s="301" t="s">
        <v>295</v>
      </c>
      <c r="L144" s="301" t="s">
        <v>296</v>
      </c>
      <c r="M144" s="301"/>
    </row>
    <row r="145" spans="1:13">
      <c r="A145" s="301" t="s">
        <v>298</v>
      </c>
      <c r="B145" s="310">
        <v>100</v>
      </c>
      <c r="C145" s="301">
        <v>1770</v>
      </c>
      <c r="D145" s="301"/>
      <c r="E145" s="302">
        <v>0</v>
      </c>
      <c r="F145" s="302">
        <v>0</v>
      </c>
      <c r="G145" s="301">
        <v>59</v>
      </c>
      <c r="H145" s="301">
        <v>72.900000000000006</v>
      </c>
      <c r="I145" s="306"/>
      <c r="J145" s="300">
        <f t="shared" si="3"/>
        <v>0.7908847184986596</v>
      </c>
      <c r="K145" s="301" t="s">
        <v>295</v>
      </c>
      <c r="L145" s="301" t="s">
        <v>296</v>
      </c>
      <c r="M145" s="301"/>
    </row>
    <row r="146" spans="1:13">
      <c r="A146" s="301" t="s">
        <v>294</v>
      </c>
      <c r="B146" s="310">
        <v>75</v>
      </c>
      <c r="C146" s="301">
        <v>1770</v>
      </c>
      <c r="D146" s="301"/>
      <c r="E146" s="302">
        <v>476.33333333333331</v>
      </c>
      <c r="F146" s="302">
        <v>87.333333333333329</v>
      </c>
      <c r="G146" s="301">
        <v>61.2</v>
      </c>
      <c r="H146" s="301">
        <v>59.2</v>
      </c>
      <c r="I146" s="306"/>
      <c r="J146" s="300">
        <f t="shared" si="3"/>
        <v>1.093833780160858</v>
      </c>
      <c r="K146" s="301" t="s">
        <v>295</v>
      </c>
      <c r="L146" s="301" t="s">
        <v>296</v>
      </c>
      <c r="M146" s="301"/>
    </row>
    <row r="147" spans="1:13">
      <c r="A147" s="301" t="s">
        <v>294</v>
      </c>
      <c r="B147" s="310">
        <v>75</v>
      </c>
      <c r="C147" s="301">
        <v>1770</v>
      </c>
      <c r="D147" s="301"/>
      <c r="E147" s="302">
        <v>0</v>
      </c>
      <c r="F147" s="302">
        <v>0</v>
      </c>
      <c r="G147" s="301">
        <v>52</v>
      </c>
      <c r="H147" s="301">
        <v>69.7</v>
      </c>
      <c r="I147" s="306"/>
      <c r="J147" s="300">
        <f t="shared" si="3"/>
        <v>0.92940125111706873</v>
      </c>
      <c r="K147" s="301" t="s">
        <v>295</v>
      </c>
      <c r="L147" s="301" t="s">
        <v>296</v>
      </c>
      <c r="M147" s="301"/>
    </row>
    <row r="148" spans="1:13">
      <c r="A148" s="301" t="s">
        <v>294</v>
      </c>
      <c r="B148" s="310">
        <v>300</v>
      </c>
      <c r="C148" s="301">
        <v>1770</v>
      </c>
      <c r="D148" s="301"/>
      <c r="E148" s="302">
        <v>0</v>
      </c>
      <c r="F148" s="302">
        <v>0</v>
      </c>
      <c r="G148" s="301">
        <v>0</v>
      </c>
      <c r="H148" s="301">
        <v>0</v>
      </c>
      <c r="I148" s="306"/>
      <c r="J148" s="300"/>
      <c r="K148" s="301" t="s">
        <v>295</v>
      </c>
      <c r="L148" s="301" t="s">
        <v>296</v>
      </c>
      <c r="M148" s="301"/>
    </row>
    <row r="149" spans="1:13">
      <c r="A149" s="301" t="s">
        <v>294</v>
      </c>
      <c r="B149" s="310">
        <v>150</v>
      </c>
      <c r="C149" s="301">
        <v>1770</v>
      </c>
      <c r="D149" s="301"/>
      <c r="E149" s="302">
        <v>473</v>
      </c>
      <c r="F149" s="302">
        <v>130.66666666666666</v>
      </c>
      <c r="G149" s="301">
        <v>89.6</v>
      </c>
      <c r="H149" s="301">
        <v>76</v>
      </c>
      <c r="I149" s="306"/>
      <c r="J149" s="300">
        <f t="shared" ref="J149:J191" si="4">G149/(B149*0.746)</f>
        <v>0.80071492403932076</v>
      </c>
      <c r="K149" s="301" t="s">
        <v>295</v>
      </c>
      <c r="L149" s="301" t="s">
        <v>296</v>
      </c>
      <c r="M149" s="301"/>
    </row>
    <row r="150" spans="1:13">
      <c r="A150" s="301" t="s">
        <v>294</v>
      </c>
      <c r="B150" s="310">
        <v>100</v>
      </c>
      <c r="C150" s="301">
        <v>1770</v>
      </c>
      <c r="D150" s="301"/>
      <c r="E150" s="302">
        <v>0</v>
      </c>
      <c r="F150" s="302">
        <v>0</v>
      </c>
      <c r="G150" s="301">
        <v>76</v>
      </c>
      <c r="H150" s="301">
        <v>75.400000000000006</v>
      </c>
      <c r="I150" s="306"/>
      <c r="J150" s="300">
        <f t="shared" si="4"/>
        <v>1.0187667560321716</v>
      </c>
      <c r="K150" s="301" t="s">
        <v>295</v>
      </c>
      <c r="L150" s="301" t="s">
        <v>296</v>
      </c>
      <c r="M150" s="301"/>
    </row>
    <row r="151" spans="1:13">
      <c r="A151" s="301" t="s">
        <v>294</v>
      </c>
      <c r="B151" s="310">
        <v>250</v>
      </c>
      <c r="C151" s="301"/>
      <c r="D151" s="301"/>
      <c r="E151" s="302">
        <v>485.66666666666669</v>
      </c>
      <c r="F151" s="302">
        <v>262</v>
      </c>
      <c r="G151" s="301">
        <v>191</v>
      </c>
      <c r="H151" s="301">
        <v>54.6</v>
      </c>
      <c r="I151" s="306"/>
      <c r="J151" s="300">
        <f t="shared" si="4"/>
        <v>1.0241286863270778</v>
      </c>
      <c r="K151" s="301" t="s">
        <v>295</v>
      </c>
      <c r="L151" s="301" t="s">
        <v>296</v>
      </c>
      <c r="M151" s="301"/>
    </row>
    <row r="152" spans="1:13">
      <c r="A152" s="301" t="s">
        <v>294</v>
      </c>
      <c r="B152" s="310">
        <v>250</v>
      </c>
      <c r="C152" s="301"/>
      <c r="D152" s="301"/>
      <c r="E152" s="302">
        <v>0</v>
      </c>
      <c r="F152" s="302">
        <v>0</v>
      </c>
      <c r="G152" s="301">
        <v>191.5</v>
      </c>
      <c r="H152" s="301">
        <v>54.4</v>
      </c>
      <c r="I152" s="306"/>
      <c r="J152" s="300">
        <f t="shared" si="4"/>
        <v>1.0268096514745308</v>
      </c>
      <c r="K152" s="301" t="s">
        <v>295</v>
      </c>
      <c r="L152" s="301" t="s">
        <v>296</v>
      </c>
      <c r="M152" s="301"/>
    </row>
    <row r="153" spans="1:13">
      <c r="A153" s="301" t="s">
        <v>294</v>
      </c>
      <c r="B153" s="310">
        <v>75</v>
      </c>
      <c r="C153" s="301"/>
      <c r="D153" s="301"/>
      <c r="E153" s="302">
        <v>490</v>
      </c>
      <c r="F153" s="302">
        <v>95</v>
      </c>
      <c r="G153" s="301">
        <v>64.5</v>
      </c>
      <c r="H153" s="301">
        <v>73.5</v>
      </c>
      <c r="I153" s="306"/>
      <c r="J153" s="300">
        <f t="shared" si="4"/>
        <v>1.1528150134048256</v>
      </c>
      <c r="K153" s="301" t="s">
        <v>295</v>
      </c>
      <c r="L153" s="301" t="s">
        <v>296</v>
      </c>
      <c r="M153" s="301"/>
    </row>
    <row r="154" spans="1:13">
      <c r="A154" s="301" t="s">
        <v>298</v>
      </c>
      <c r="B154" s="310">
        <v>75</v>
      </c>
      <c r="C154" s="301"/>
      <c r="D154" s="301"/>
      <c r="E154" s="302">
        <v>484.66666666666669</v>
      </c>
      <c r="F154" s="302">
        <v>97.333333333333329</v>
      </c>
      <c r="G154" s="301">
        <v>72.7</v>
      </c>
      <c r="H154" s="301">
        <v>58.4</v>
      </c>
      <c r="I154" s="306"/>
      <c r="J154" s="300">
        <f t="shared" si="4"/>
        <v>1.2993744414655943</v>
      </c>
      <c r="K154" s="301" t="s">
        <v>295</v>
      </c>
      <c r="L154" s="301" t="s">
        <v>296</v>
      </c>
      <c r="M154" s="301"/>
    </row>
    <row r="155" spans="1:13">
      <c r="A155" s="301" t="s">
        <v>298</v>
      </c>
      <c r="B155" s="310">
        <v>75</v>
      </c>
      <c r="C155" s="301"/>
      <c r="D155" s="301"/>
      <c r="E155" s="302">
        <v>0</v>
      </c>
      <c r="F155" s="302">
        <v>0</v>
      </c>
      <c r="G155" s="301">
        <v>47.8</v>
      </c>
      <c r="H155" s="301">
        <v>72.099999999999994</v>
      </c>
      <c r="I155" s="306"/>
      <c r="J155" s="300">
        <f t="shared" si="4"/>
        <v>0.85433422698838235</v>
      </c>
      <c r="K155" s="301" t="s">
        <v>295</v>
      </c>
      <c r="L155" s="301" t="s">
        <v>296</v>
      </c>
      <c r="M155" s="301"/>
    </row>
    <row r="156" spans="1:13">
      <c r="A156" s="301" t="s">
        <v>298</v>
      </c>
      <c r="B156" s="310">
        <v>50</v>
      </c>
      <c r="C156" s="301"/>
      <c r="D156" s="301"/>
      <c r="E156" s="302">
        <v>482.66666666666669</v>
      </c>
      <c r="F156" s="302">
        <v>65.666666666666671</v>
      </c>
      <c r="G156" s="301">
        <v>46.8</v>
      </c>
      <c r="H156" s="301">
        <v>63.4</v>
      </c>
      <c r="I156" s="306"/>
      <c r="J156" s="300">
        <f t="shared" si="4"/>
        <v>1.2546916890080428</v>
      </c>
      <c r="K156" s="301" t="s">
        <v>295</v>
      </c>
      <c r="L156" s="301" t="s">
        <v>296</v>
      </c>
      <c r="M156" s="301"/>
    </row>
    <row r="157" spans="1:13">
      <c r="A157" s="301" t="s">
        <v>298</v>
      </c>
      <c r="B157" s="310">
        <v>50</v>
      </c>
      <c r="C157" s="301"/>
      <c r="D157" s="301"/>
      <c r="E157" s="302">
        <v>0</v>
      </c>
      <c r="F157" s="302">
        <v>0</v>
      </c>
      <c r="G157" s="301">
        <v>39.6</v>
      </c>
      <c r="H157" s="301">
        <v>71.900000000000006</v>
      </c>
      <c r="I157" s="306"/>
      <c r="J157" s="300">
        <f t="shared" si="4"/>
        <v>1.061662198391421</v>
      </c>
      <c r="K157" s="301" t="s">
        <v>295</v>
      </c>
      <c r="L157" s="301" t="s">
        <v>296</v>
      </c>
      <c r="M157" s="301"/>
    </row>
    <row r="158" spans="1:13">
      <c r="A158" s="301" t="s">
        <v>294</v>
      </c>
      <c r="B158" s="310">
        <v>150</v>
      </c>
      <c r="C158" s="301">
        <v>1770</v>
      </c>
      <c r="D158" s="301"/>
      <c r="E158" s="302">
        <v>475</v>
      </c>
      <c r="F158" s="302">
        <v>155.66666666666666</v>
      </c>
      <c r="G158" s="301">
        <v>117</v>
      </c>
      <c r="H158" s="301">
        <v>41.2</v>
      </c>
      <c r="I158" s="306"/>
      <c r="J158" s="300">
        <f t="shared" si="4"/>
        <v>1.0455764075067024</v>
      </c>
      <c r="K158" s="301" t="s">
        <v>295</v>
      </c>
      <c r="L158" s="301" t="s">
        <v>296</v>
      </c>
      <c r="M158" s="301"/>
    </row>
    <row r="159" spans="1:13">
      <c r="A159" s="301" t="s">
        <v>294</v>
      </c>
      <c r="B159" s="310">
        <v>150</v>
      </c>
      <c r="C159" s="301"/>
      <c r="D159" s="301"/>
      <c r="E159" s="302">
        <v>0</v>
      </c>
      <c r="F159" s="302">
        <v>0</v>
      </c>
      <c r="G159" s="301">
        <v>100.9</v>
      </c>
      <c r="H159" s="301">
        <v>72</v>
      </c>
      <c r="I159" s="306"/>
      <c r="J159" s="300">
        <f t="shared" si="4"/>
        <v>0.90169794459338692</v>
      </c>
      <c r="K159" s="301" t="s">
        <v>295</v>
      </c>
      <c r="L159" s="301" t="s">
        <v>296</v>
      </c>
      <c r="M159" s="301"/>
    </row>
    <row r="160" spans="1:13">
      <c r="A160" s="301" t="s">
        <v>294</v>
      </c>
      <c r="B160" s="310">
        <v>100</v>
      </c>
      <c r="C160" s="301"/>
      <c r="D160" s="301"/>
      <c r="E160" s="302">
        <v>460.66666666666669</v>
      </c>
      <c r="F160" s="302">
        <v>106.33333333333333</v>
      </c>
      <c r="G160" s="301">
        <v>72.400000000000006</v>
      </c>
      <c r="H160" s="301">
        <v>65.8</v>
      </c>
      <c r="I160" s="306"/>
      <c r="J160" s="300">
        <f t="shared" si="4"/>
        <v>0.97050938337801629</v>
      </c>
      <c r="K160" s="301" t="s">
        <v>295</v>
      </c>
      <c r="L160" s="301" t="s">
        <v>296</v>
      </c>
      <c r="M160" s="301"/>
    </row>
    <row r="161" spans="1:13">
      <c r="A161" s="301" t="s">
        <v>294</v>
      </c>
      <c r="B161" s="310">
        <v>100</v>
      </c>
      <c r="C161" s="301"/>
      <c r="D161" s="301"/>
      <c r="E161" s="302">
        <v>0</v>
      </c>
      <c r="F161" s="302">
        <v>0</v>
      </c>
      <c r="G161" s="301">
        <v>80.2</v>
      </c>
      <c r="H161" s="301">
        <v>75</v>
      </c>
      <c r="I161" s="306"/>
      <c r="J161" s="300">
        <f t="shared" si="4"/>
        <v>1.0750670241286864</v>
      </c>
      <c r="K161" s="301" t="s">
        <v>295</v>
      </c>
      <c r="L161" s="301" t="s">
        <v>296</v>
      </c>
      <c r="M161" s="301"/>
    </row>
    <row r="162" spans="1:13">
      <c r="A162" s="301" t="s">
        <v>294</v>
      </c>
      <c r="B162" s="310">
        <v>100</v>
      </c>
      <c r="C162" s="301"/>
      <c r="D162" s="301"/>
      <c r="E162" s="302">
        <v>486.66666666666669</v>
      </c>
      <c r="F162" s="302">
        <v>126.33333333333333</v>
      </c>
      <c r="G162" s="301">
        <v>85.7</v>
      </c>
      <c r="H162" s="301">
        <v>48.7</v>
      </c>
      <c r="I162" s="306"/>
      <c r="J162" s="300">
        <f t="shared" si="4"/>
        <v>1.1487935656836463</v>
      </c>
      <c r="K162" s="301" t="s">
        <v>295</v>
      </c>
      <c r="L162" s="301" t="s">
        <v>296</v>
      </c>
      <c r="M162" s="301"/>
    </row>
    <row r="163" spans="1:13">
      <c r="A163" s="301" t="s">
        <v>297</v>
      </c>
      <c r="B163" s="310">
        <v>40</v>
      </c>
      <c r="C163" s="301">
        <v>1770</v>
      </c>
      <c r="D163" s="301"/>
      <c r="E163" s="302">
        <v>486.33333333333331</v>
      </c>
      <c r="F163" s="302">
        <v>51.666666666666664</v>
      </c>
      <c r="G163" s="301">
        <v>36.1</v>
      </c>
      <c r="H163" s="301">
        <v>50.2</v>
      </c>
      <c r="I163" s="306"/>
      <c r="J163" s="300">
        <f t="shared" si="4"/>
        <v>1.2097855227882037</v>
      </c>
      <c r="K163" s="301" t="s">
        <v>295</v>
      </c>
      <c r="L163" s="301" t="s">
        <v>296</v>
      </c>
      <c r="M163" s="301"/>
    </row>
    <row r="164" spans="1:13">
      <c r="A164" s="301" t="s">
        <v>294</v>
      </c>
      <c r="B164" s="310">
        <v>100</v>
      </c>
      <c r="C164" s="301"/>
      <c r="D164" s="301"/>
      <c r="E164" s="302">
        <v>0</v>
      </c>
      <c r="F164" s="302">
        <v>0</v>
      </c>
      <c r="G164" s="301">
        <v>85.7</v>
      </c>
      <c r="H164" s="301">
        <v>48.7</v>
      </c>
      <c r="I164" s="306"/>
      <c r="J164" s="300">
        <f t="shared" si="4"/>
        <v>1.1487935656836463</v>
      </c>
      <c r="K164" s="301" t="s">
        <v>295</v>
      </c>
      <c r="L164" s="301" t="s">
        <v>296</v>
      </c>
      <c r="M164" s="301"/>
    </row>
    <row r="165" spans="1:13">
      <c r="A165" s="301" t="s">
        <v>297</v>
      </c>
      <c r="B165" s="310">
        <v>40</v>
      </c>
      <c r="C165" s="301">
        <v>1770</v>
      </c>
      <c r="D165" s="301"/>
      <c r="E165" s="302">
        <v>0</v>
      </c>
      <c r="F165" s="302">
        <v>0</v>
      </c>
      <c r="G165" s="301">
        <v>22.3</v>
      </c>
      <c r="H165" s="301">
        <v>73.599999999999994</v>
      </c>
      <c r="I165" s="306"/>
      <c r="J165" s="300">
        <f t="shared" si="4"/>
        <v>0.74731903485254692</v>
      </c>
      <c r="K165" s="301" t="s">
        <v>295</v>
      </c>
      <c r="L165" s="301" t="s">
        <v>296</v>
      </c>
      <c r="M165" s="301"/>
    </row>
    <row r="166" spans="1:13">
      <c r="A166" s="301" t="s">
        <v>294</v>
      </c>
      <c r="B166" s="310">
        <v>125</v>
      </c>
      <c r="C166" s="301"/>
      <c r="D166" s="301"/>
      <c r="E166" s="302">
        <v>485.66666666666669</v>
      </c>
      <c r="F166" s="302">
        <v>141.66666666666666</v>
      </c>
      <c r="G166" s="301">
        <v>110.4</v>
      </c>
      <c r="H166" s="301">
        <v>70.5</v>
      </c>
      <c r="I166" s="306"/>
      <c r="J166" s="300">
        <f t="shared" si="4"/>
        <v>1.1839142091152817</v>
      </c>
      <c r="K166" s="301" t="s">
        <v>295</v>
      </c>
      <c r="L166" s="301" t="s">
        <v>296</v>
      </c>
      <c r="M166" s="301"/>
    </row>
    <row r="167" spans="1:13">
      <c r="A167" s="301" t="s">
        <v>294</v>
      </c>
      <c r="B167" s="310">
        <v>125</v>
      </c>
      <c r="C167" s="301"/>
      <c r="D167" s="301"/>
      <c r="E167" s="302">
        <v>0</v>
      </c>
      <c r="F167" s="302">
        <v>0</v>
      </c>
      <c r="G167" s="301">
        <v>79.400000000000006</v>
      </c>
      <c r="H167" s="301">
        <v>73.099999999999994</v>
      </c>
      <c r="I167" s="306"/>
      <c r="J167" s="300">
        <f t="shared" si="4"/>
        <v>0.85147453083109925</v>
      </c>
      <c r="K167" s="301" t="s">
        <v>295</v>
      </c>
      <c r="L167" s="301" t="s">
        <v>296</v>
      </c>
      <c r="M167" s="301"/>
    </row>
    <row r="168" spans="1:13">
      <c r="A168" s="301" t="s">
        <v>298</v>
      </c>
      <c r="B168" s="310">
        <v>75</v>
      </c>
      <c r="C168" s="301"/>
      <c r="D168" s="301"/>
      <c r="E168" s="302">
        <v>484</v>
      </c>
      <c r="F168" s="302">
        <v>93</v>
      </c>
      <c r="G168" s="301">
        <v>65.7</v>
      </c>
      <c r="H168" s="301">
        <v>63.4</v>
      </c>
      <c r="I168" s="306"/>
      <c r="J168" s="300">
        <f t="shared" si="4"/>
        <v>1.1742627345844503</v>
      </c>
      <c r="K168" s="301" t="s">
        <v>295</v>
      </c>
      <c r="L168" s="301" t="s">
        <v>296</v>
      </c>
      <c r="M168" s="301"/>
    </row>
    <row r="169" spans="1:13">
      <c r="A169" s="301" t="s">
        <v>298</v>
      </c>
      <c r="B169" s="310">
        <v>75</v>
      </c>
      <c r="C169" s="301"/>
      <c r="D169" s="301"/>
      <c r="E169" s="302">
        <v>0</v>
      </c>
      <c r="F169" s="302">
        <v>0</v>
      </c>
      <c r="G169" s="301">
        <v>54.5</v>
      </c>
      <c r="H169" s="301">
        <v>75.099999999999994</v>
      </c>
      <c r="I169" s="306"/>
      <c r="J169" s="300">
        <f t="shared" si="4"/>
        <v>0.97408400357462011</v>
      </c>
      <c r="K169" s="301" t="s">
        <v>295</v>
      </c>
      <c r="L169" s="301" t="s">
        <v>296</v>
      </c>
      <c r="M169" s="301"/>
    </row>
    <row r="170" spans="1:13">
      <c r="A170" s="301" t="s">
        <v>298</v>
      </c>
      <c r="B170" s="310">
        <v>50</v>
      </c>
      <c r="C170" s="301"/>
      <c r="D170" s="301"/>
      <c r="E170" s="302">
        <v>481.33333333333331</v>
      </c>
      <c r="F170" s="302">
        <v>39.333333333333336</v>
      </c>
      <c r="G170" s="301">
        <v>27.4</v>
      </c>
      <c r="H170" s="301">
        <v>56.1</v>
      </c>
      <c r="I170" s="306"/>
      <c r="J170" s="300">
        <f t="shared" si="4"/>
        <v>0.73458445040214482</v>
      </c>
      <c r="K170" s="301" t="s">
        <v>295</v>
      </c>
      <c r="L170" s="301" t="s">
        <v>296</v>
      </c>
      <c r="M170" s="301"/>
    </row>
    <row r="171" spans="1:13">
      <c r="A171" s="301" t="s">
        <v>298</v>
      </c>
      <c r="B171" s="310">
        <v>50</v>
      </c>
      <c r="C171" s="301"/>
      <c r="D171" s="301"/>
      <c r="E171" s="302">
        <v>0</v>
      </c>
      <c r="F171" s="302">
        <v>0</v>
      </c>
      <c r="G171" s="301">
        <v>37.799999999999997</v>
      </c>
      <c r="H171" s="301">
        <v>71.900000000000006</v>
      </c>
      <c r="I171" s="306"/>
      <c r="J171" s="300">
        <f t="shared" si="4"/>
        <v>1.0134048257372654</v>
      </c>
      <c r="K171" s="301" t="s">
        <v>295</v>
      </c>
      <c r="L171" s="301" t="s">
        <v>296</v>
      </c>
      <c r="M171" s="301"/>
    </row>
    <row r="172" spans="1:13">
      <c r="A172" s="301" t="s">
        <v>294</v>
      </c>
      <c r="B172" s="310">
        <v>150</v>
      </c>
      <c r="C172" s="301"/>
      <c r="D172" s="301"/>
      <c r="E172" s="302">
        <v>482.33333333333331</v>
      </c>
      <c r="F172" s="302">
        <v>157.33333333333334</v>
      </c>
      <c r="G172" s="301">
        <v>110</v>
      </c>
      <c r="H172" s="301">
        <v>55.3</v>
      </c>
      <c r="I172" s="306"/>
      <c r="J172" s="300">
        <f t="shared" si="4"/>
        <v>0.98302055406613043</v>
      </c>
      <c r="K172" s="301" t="s">
        <v>295</v>
      </c>
      <c r="L172" s="301" t="s">
        <v>296</v>
      </c>
      <c r="M172" s="301"/>
    </row>
    <row r="173" spans="1:13">
      <c r="A173" s="301" t="s">
        <v>294</v>
      </c>
      <c r="B173" s="310">
        <v>150</v>
      </c>
      <c r="C173" s="301"/>
      <c r="D173" s="301"/>
      <c r="E173" s="302">
        <v>0</v>
      </c>
      <c r="F173" s="302">
        <v>0</v>
      </c>
      <c r="G173" s="301">
        <v>59.9</v>
      </c>
      <c r="H173" s="301">
        <v>74.8</v>
      </c>
      <c r="I173" s="306"/>
      <c r="J173" s="300">
        <f t="shared" si="4"/>
        <v>0.53529937444146558</v>
      </c>
      <c r="K173" s="301" t="s">
        <v>295</v>
      </c>
      <c r="L173" s="301" t="s">
        <v>296</v>
      </c>
      <c r="M173" s="301"/>
    </row>
    <row r="174" spans="1:13">
      <c r="A174" s="301" t="s">
        <v>294</v>
      </c>
      <c r="B174" s="310">
        <v>150</v>
      </c>
      <c r="C174" s="301">
        <v>1770</v>
      </c>
      <c r="D174" s="301"/>
      <c r="E174" s="302">
        <v>0</v>
      </c>
      <c r="F174" s="302">
        <v>0</v>
      </c>
      <c r="G174" s="301">
        <v>122</v>
      </c>
      <c r="H174" s="301">
        <v>64.8</v>
      </c>
      <c r="I174" s="306"/>
      <c r="J174" s="300">
        <f t="shared" si="4"/>
        <v>1.0902591599642537</v>
      </c>
      <c r="K174" s="301" t="s">
        <v>295</v>
      </c>
      <c r="L174" s="301" t="s">
        <v>296</v>
      </c>
      <c r="M174" s="301"/>
    </row>
    <row r="175" spans="1:13">
      <c r="A175" s="301" t="s">
        <v>294</v>
      </c>
      <c r="B175" s="310">
        <v>100</v>
      </c>
      <c r="C175" s="301">
        <v>1770</v>
      </c>
      <c r="D175" s="301"/>
      <c r="E175" s="302">
        <v>486.33333333333331</v>
      </c>
      <c r="F175" s="302">
        <v>118.33333333333333</v>
      </c>
      <c r="G175" s="301">
        <v>87.7</v>
      </c>
      <c r="H175" s="301">
        <v>67.8</v>
      </c>
      <c r="I175" s="306"/>
      <c r="J175" s="300">
        <f t="shared" si="4"/>
        <v>1.1756032171581772</v>
      </c>
      <c r="K175" s="301" t="s">
        <v>295</v>
      </c>
      <c r="L175" s="301" t="s">
        <v>296</v>
      </c>
      <c r="M175" s="301"/>
    </row>
    <row r="176" spans="1:13">
      <c r="A176" s="301" t="s">
        <v>294</v>
      </c>
      <c r="B176" s="310">
        <v>100</v>
      </c>
      <c r="C176" s="301">
        <v>1770</v>
      </c>
      <c r="D176" s="301"/>
      <c r="E176" s="302">
        <v>0</v>
      </c>
      <c r="F176" s="302">
        <v>0</v>
      </c>
      <c r="G176" s="301">
        <v>59.9</v>
      </c>
      <c r="H176" s="301">
        <v>69.3</v>
      </c>
      <c r="I176" s="306"/>
      <c r="J176" s="300">
        <f t="shared" si="4"/>
        <v>0.80294906166219848</v>
      </c>
      <c r="K176" s="301" t="s">
        <v>295</v>
      </c>
      <c r="L176" s="301" t="s">
        <v>296</v>
      </c>
      <c r="M176" s="301"/>
    </row>
    <row r="177" spans="1:13">
      <c r="A177" s="301" t="s">
        <v>294</v>
      </c>
      <c r="B177" s="310">
        <v>200</v>
      </c>
      <c r="C177" s="301"/>
      <c r="D177" s="301"/>
      <c r="E177" s="302">
        <v>492.66666666666669</v>
      </c>
      <c r="F177" s="302">
        <v>158.66666666666666</v>
      </c>
      <c r="G177" s="301">
        <v>132.19999999999999</v>
      </c>
      <c r="H177" s="301">
        <v>61.5</v>
      </c>
      <c r="I177" s="306"/>
      <c r="J177" s="300">
        <f t="shared" si="4"/>
        <v>0.886058981233244</v>
      </c>
      <c r="K177" s="301" t="s">
        <v>295</v>
      </c>
      <c r="L177" s="301" t="s">
        <v>296</v>
      </c>
      <c r="M177" s="301"/>
    </row>
    <row r="178" spans="1:13">
      <c r="A178" s="301" t="s">
        <v>294</v>
      </c>
      <c r="B178" s="310">
        <v>200</v>
      </c>
      <c r="C178" s="301"/>
      <c r="D178" s="301"/>
      <c r="E178" s="302">
        <v>0</v>
      </c>
      <c r="F178" s="302">
        <v>0</v>
      </c>
      <c r="G178" s="301">
        <v>132.19999999999999</v>
      </c>
      <c r="H178" s="301">
        <v>61.5</v>
      </c>
      <c r="I178" s="306"/>
      <c r="J178" s="300">
        <f t="shared" si="4"/>
        <v>0.886058981233244</v>
      </c>
      <c r="K178" s="301" t="s">
        <v>295</v>
      </c>
      <c r="L178" s="301" t="s">
        <v>296</v>
      </c>
      <c r="M178" s="301"/>
    </row>
    <row r="179" spans="1:13">
      <c r="A179" s="301" t="s">
        <v>294</v>
      </c>
      <c r="B179" s="310">
        <v>200</v>
      </c>
      <c r="C179" s="301"/>
      <c r="D179" s="301"/>
      <c r="E179" s="302">
        <v>484</v>
      </c>
      <c r="F179" s="302">
        <v>199</v>
      </c>
      <c r="G179" s="301">
        <v>146.80000000000001</v>
      </c>
      <c r="H179" s="301">
        <v>59.1</v>
      </c>
      <c r="I179" s="306"/>
      <c r="J179" s="300">
        <f t="shared" si="4"/>
        <v>0.9839142091152816</v>
      </c>
      <c r="K179" s="301" t="s">
        <v>295</v>
      </c>
      <c r="L179" s="301" t="s">
        <v>296</v>
      </c>
      <c r="M179" s="301"/>
    </row>
    <row r="180" spans="1:13">
      <c r="A180" s="301" t="s">
        <v>298</v>
      </c>
      <c r="B180" s="310">
        <v>40</v>
      </c>
      <c r="C180" s="301">
        <v>3560</v>
      </c>
      <c r="D180" s="301"/>
      <c r="E180" s="302">
        <v>488.66666666666669</v>
      </c>
      <c r="F180" s="302">
        <v>40.666666666666664</v>
      </c>
      <c r="G180" s="301">
        <v>28.3</v>
      </c>
      <c r="H180" s="301">
        <v>60</v>
      </c>
      <c r="I180" s="306"/>
      <c r="J180" s="300">
        <f t="shared" si="4"/>
        <v>0.94839142091152817</v>
      </c>
      <c r="K180" s="301" t="s">
        <v>295</v>
      </c>
      <c r="L180" s="301" t="s">
        <v>296</v>
      </c>
      <c r="M180" s="301"/>
    </row>
    <row r="181" spans="1:13">
      <c r="A181" s="301" t="s">
        <v>298</v>
      </c>
      <c r="B181" s="310">
        <v>40</v>
      </c>
      <c r="C181" s="301">
        <v>3560</v>
      </c>
      <c r="D181" s="301"/>
      <c r="E181" s="302">
        <v>0</v>
      </c>
      <c r="F181" s="302">
        <v>0</v>
      </c>
      <c r="G181" s="301">
        <v>23.8</v>
      </c>
      <c r="H181" s="301">
        <v>75</v>
      </c>
      <c r="I181" s="306"/>
      <c r="J181" s="300">
        <f t="shared" si="4"/>
        <v>0.7975871313672922</v>
      </c>
      <c r="K181" s="301" t="s">
        <v>295</v>
      </c>
      <c r="L181" s="301" t="s">
        <v>296</v>
      </c>
      <c r="M181" s="301"/>
    </row>
    <row r="182" spans="1:13">
      <c r="A182" s="301" t="s">
        <v>294</v>
      </c>
      <c r="B182" s="310">
        <v>300</v>
      </c>
      <c r="C182" s="301">
        <v>1770</v>
      </c>
      <c r="D182" s="301"/>
      <c r="E182" s="302">
        <v>492.33333333333331</v>
      </c>
      <c r="F182" s="302">
        <v>301.66666666666669</v>
      </c>
      <c r="G182" s="301">
        <v>230.7</v>
      </c>
      <c r="H182" s="301">
        <v>54.6</v>
      </c>
      <c r="I182" s="306"/>
      <c r="J182" s="300">
        <f t="shared" si="4"/>
        <v>1.0308310991957104</v>
      </c>
      <c r="K182" s="301" t="s">
        <v>295</v>
      </c>
      <c r="L182" s="301" t="s">
        <v>296</v>
      </c>
      <c r="M182" s="301"/>
    </row>
    <row r="183" spans="1:13">
      <c r="A183" s="301" t="s">
        <v>294</v>
      </c>
      <c r="B183" s="310">
        <v>50</v>
      </c>
      <c r="C183" s="301"/>
      <c r="D183" s="301"/>
      <c r="E183" s="302">
        <v>483.33333333333331</v>
      </c>
      <c r="F183" s="302">
        <v>55</v>
      </c>
      <c r="G183" s="301">
        <v>37.1</v>
      </c>
      <c r="H183" s="301">
        <v>62.4</v>
      </c>
      <c r="I183" s="306"/>
      <c r="J183" s="300">
        <f t="shared" si="4"/>
        <v>0.99463806970509394</v>
      </c>
      <c r="K183" s="301" t="s">
        <v>295</v>
      </c>
      <c r="L183" s="301" t="s">
        <v>296</v>
      </c>
      <c r="M183" s="301"/>
    </row>
    <row r="184" spans="1:13">
      <c r="A184" s="301" t="s">
        <v>298</v>
      </c>
      <c r="B184" s="310">
        <v>50</v>
      </c>
      <c r="C184" s="301"/>
      <c r="D184" s="301"/>
      <c r="E184" s="302">
        <v>0</v>
      </c>
      <c r="F184" s="302">
        <v>0</v>
      </c>
      <c r="G184" s="301">
        <v>32.1</v>
      </c>
      <c r="H184" s="301">
        <v>71.900000000000006</v>
      </c>
      <c r="I184" s="306"/>
      <c r="J184" s="300">
        <f t="shared" si="4"/>
        <v>0.86058981233243981</v>
      </c>
      <c r="K184" s="301" t="s">
        <v>295</v>
      </c>
      <c r="L184" s="301" t="s">
        <v>296</v>
      </c>
      <c r="M184" s="301"/>
    </row>
    <row r="185" spans="1:13">
      <c r="A185" s="301" t="s">
        <v>298</v>
      </c>
      <c r="B185" s="310">
        <v>100</v>
      </c>
      <c r="C185" s="301"/>
      <c r="D185" s="301"/>
      <c r="E185" s="302">
        <v>468.66666666666669</v>
      </c>
      <c r="F185" s="302">
        <v>88.333333333333329</v>
      </c>
      <c r="G185" s="301">
        <v>60</v>
      </c>
      <c r="H185" s="301">
        <v>61.3</v>
      </c>
      <c r="I185" s="306"/>
      <c r="J185" s="300">
        <f t="shared" si="4"/>
        <v>0.80428954423592502</v>
      </c>
      <c r="K185" s="301" t="s">
        <v>295</v>
      </c>
      <c r="L185" s="301" t="s">
        <v>296</v>
      </c>
      <c r="M185" s="301"/>
    </row>
    <row r="186" spans="1:13">
      <c r="A186" s="301" t="s">
        <v>294</v>
      </c>
      <c r="B186" s="310">
        <v>250</v>
      </c>
      <c r="C186" s="301"/>
      <c r="D186" s="301"/>
      <c r="E186" s="302">
        <v>480</v>
      </c>
      <c r="F186" s="302">
        <v>212.33333333333334</v>
      </c>
      <c r="G186" s="301">
        <v>153.6</v>
      </c>
      <c r="H186" s="301">
        <v>68.599999999999994</v>
      </c>
      <c r="I186" s="306"/>
      <c r="J186" s="300">
        <f t="shared" si="4"/>
        <v>0.8235924932975871</v>
      </c>
      <c r="K186" s="301" t="s">
        <v>295</v>
      </c>
      <c r="L186" s="301" t="s">
        <v>296</v>
      </c>
      <c r="M186" s="301"/>
    </row>
    <row r="187" spans="1:13">
      <c r="A187" s="301" t="s">
        <v>294</v>
      </c>
      <c r="B187" s="310">
        <v>250</v>
      </c>
      <c r="C187" s="301"/>
      <c r="D187" s="301"/>
      <c r="E187" s="302">
        <v>0</v>
      </c>
      <c r="F187" s="302">
        <v>0</v>
      </c>
      <c r="G187" s="301">
        <v>146.6</v>
      </c>
      <c r="H187" s="301">
        <v>71.900000000000006</v>
      </c>
      <c r="I187" s="306"/>
      <c r="J187" s="300">
        <f t="shared" si="4"/>
        <v>0.78605898123324391</v>
      </c>
      <c r="K187" s="301" t="s">
        <v>295</v>
      </c>
      <c r="L187" s="301" t="s">
        <v>296</v>
      </c>
      <c r="M187" s="301"/>
    </row>
    <row r="188" spans="1:13">
      <c r="A188" s="301" t="s">
        <v>298</v>
      </c>
      <c r="B188" s="310">
        <v>75</v>
      </c>
      <c r="C188" s="301"/>
      <c r="D188" s="301"/>
      <c r="E188" s="302">
        <v>483.66666666666669</v>
      </c>
      <c r="F188" s="302">
        <v>64</v>
      </c>
      <c r="G188" s="301">
        <v>45.8</v>
      </c>
      <c r="H188" s="301">
        <v>58.8</v>
      </c>
      <c r="I188" s="306"/>
      <c r="J188" s="300">
        <f t="shared" si="4"/>
        <v>0.81858802502234129</v>
      </c>
      <c r="K188" s="301" t="s">
        <v>295</v>
      </c>
      <c r="L188" s="301" t="s">
        <v>296</v>
      </c>
      <c r="M188" s="301"/>
    </row>
    <row r="189" spans="1:13">
      <c r="A189" s="301" t="s">
        <v>298</v>
      </c>
      <c r="B189" s="310">
        <v>100</v>
      </c>
      <c r="C189" s="301"/>
      <c r="D189" s="301"/>
      <c r="E189" s="302">
        <v>0</v>
      </c>
      <c r="F189" s="302">
        <v>0</v>
      </c>
      <c r="G189" s="301">
        <v>63.9</v>
      </c>
      <c r="H189" s="301">
        <v>74.599999999999994</v>
      </c>
      <c r="I189" s="306"/>
      <c r="J189" s="300">
        <f t="shared" si="4"/>
        <v>0.85656836461126007</v>
      </c>
      <c r="K189" s="301" t="s">
        <v>295</v>
      </c>
      <c r="L189" s="301" t="s">
        <v>296</v>
      </c>
      <c r="M189" s="301"/>
    </row>
    <row r="190" spans="1:13">
      <c r="A190" s="301" t="s">
        <v>294</v>
      </c>
      <c r="B190" s="310">
        <v>75</v>
      </c>
      <c r="C190" s="301"/>
      <c r="D190" s="301"/>
      <c r="E190" s="302">
        <v>480.33333333333331</v>
      </c>
      <c r="F190" s="302">
        <v>76</v>
      </c>
      <c r="G190" s="301">
        <v>47</v>
      </c>
      <c r="H190" s="301">
        <v>53.5</v>
      </c>
      <c r="I190" s="306"/>
      <c r="J190" s="300">
        <f t="shared" si="4"/>
        <v>0.84003574620196597</v>
      </c>
      <c r="K190" s="301" t="s">
        <v>295</v>
      </c>
      <c r="L190" s="301" t="s">
        <v>296</v>
      </c>
      <c r="M190" s="301"/>
    </row>
    <row r="191" spans="1:13">
      <c r="A191" s="301" t="s">
        <v>298</v>
      </c>
      <c r="B191" s="310">
        <v>75</v>
      </c>
      <c r="C191" s="301">
        <v>1775</v>
      </c>
      <c r="D191" s="301"/>
      <c r="E191" s="302">
        <v>0</v>
      </c>
      <c r="F191" s="302">
        <v>0</v>
      </c>
      <c r="G191" s="301">
        <v>51.6</v>
      </c>
      <c r="H191" s="301">
        <v>75</v>
      </c>
      <c r="I191" s="306"/>
      <c r="J191" s="300">
        <f t="shared" si="4"/>
        <v>0.92225201072386054</v>
      </c>
      <c r="K191" s="301" t="s">
        <v>295</v>
      </c>
      <c r="L191" s="301" t="s">
        <v>296</v>
      </c>
      <c r="M191" s="301"/>
    </row>
    <row r="192" spans="1:13">
      <c r="A192" s="301" t="s">
        <v>294</v>
      </c>
      <c r="B192" s="310">
        <v>350</v>
      </c>
      <c r="C192" s="301">
        <v>1760</v>
      </c>
      <c r="D192" s="301"/>
      <c r="E192" s="302">
        <v>0</v>
      </c>
      <c r="F192" s="302">
        <v>0</v>
      </c>
      <c r="G192" s="301">
        <v>0</v>
      </c>
      <c r="H192" s="301">
        <v>0</v>
      </c>
      <c r="I192" s="306"/>
      <c r="J192" s="300"/>
      <c r="K192" s="301" t="s">
        <v>295</v>
      </c>
      <c r="L192" s="301" t="s">
        <v>296</v>
      </c>
      <c r="M192" s="301"/>
    </row>
    <row r="193" spans="1:13">
      <c r="A193" s="301" t="s">
        <v>298</v>
      </c>
      <c r="B193" s="310">
        <v>40</v>
      </c>
      <c r="C193" s="301">
        <v>1750</v>
      </c>
      <c r="D193" s="301"/>
      <c r="E193" s="302">
        <v>476.33333333333331</v>
      </c>
      <c r="F193" s="302">
        <v>49.8</v>
      </c>
      <c r="G193" s="301">
        <v>32.299999999999997</v>
      </c>
      <c r="H193" s="301">
        <v>65.3</v>
      </c>
      <c r="I193" s="306"/>
      <c r="J193" s="300">
        <f t="shared" ref="J193:J215" si="5">G193/(B193*0.746)</f>
        <v>1.0824396782841823</v>
      </c>
      <c r="K193" s="301" t="s">
        <v>295</v>
      </c>
      <c r="L193" s="301" t="s">
        <v>296</v>
      </c>
      <c r="M193" s="301"/>
    </row>
    <row r="194" spans="1:13">
      <c r="A194" s="301" t="s">
        <v>298</v>
      </c>
      <c r="B194" s="310">
        <v>40</v>
      </c>
      <c r="C194" s="301">
        <v>3500</v>
      </c>
      <c r="D194" s="301"/>
      <c r="E194" s="302">
        <v>476.33333333333331</v>
      </c>
      <c r="F194" s="302">
        <v>41.3</v>
      </c>
      <c r="G194" s="301">
        <v>29.7</v>
      </c>
      <c r="H194" s="301">
        <v>52.6</v>
      </c>
      <c r="I194" s="306"/>
      <c r="J194" s="300">
        <f t="shared" si="5"/>
        <v>0.99530831099195705</v>
      </c>
      <c r="K194" s="301" t="s">
        <v>295</v>
      </c>
      <c r="L194" s="301" t="s">
        <v>296</v>
      </c>
      <c r="M194" s="301"/>
    </row>
    <row r="195" spans="1:13">
      <c r="A195" s="301" t="s">
        <v>298</v>
      </c>
      <c r="B195" s="310">
        <v>40</v>
      </c>
      <c r="C195" s="301">
        <v>1750</v>
      </c>
      <c r="D195" s="301"/>
      <c r="E195" s="302">
        <v>0</v>
      </c>
      <c r="F195" s="302">
        <v>0</v>
      </c>
      <c r="G195" s="301">
        <v>30.9</v>
      </c>
      <c r="H195" s="301">
        <v>72</v>
      </c>
      <c r="I195" s="306"/>
      <c r="J195" s="300">
        <f t="shared" si="5"/>
        <v>1.0355227882037532</v>
      </c>
      <c r="K195" s="301" t="s">
        <v>295</v>
      </c>
      <c r="L195" s="301" t="s">
        <v>296</v>
      </c>
      <c r="M195" s="301"/>
    </row>
    <row r="196" spans="1:13">
      <c r="A196" s="301" t="s">
        <v>298</v>
      </c>
      <c r="B196" s="310">
        <v>40</v>
      </c>
      <c r="C196" s="301">
        <v>1750</v>
      </c>
      <c r="D196" s="301"/>
      <c r="E196" s="302">
        <v>0</v>
      </c>
      <c r="F196" s="302">
        <v>0</v>
      </c>
      <c r="G196" s="301">
        <v>22.9</v>
      </c>
      <c r="H196" s="301">
        <v>70</v>
      </c>
      <c r="I196" s="306"/>
      <c r="J196" s="300">
        <f t="shared" si="5"/>
        <v>0.76742627345844494</v>
      </c>
      <c r="K196" s="301" t="s">
        <v>295</v>
      </c>
      <c r="L196" s="301" t="s">
        <v>296</v>
      </c>
      <c r="M196" s="301"/>
    </row>
    <row r="197" spans="1:13">
      <c r="A197" s="301" t="s">
        <v>294</v>
      </c>
      <c r="B197" s="310">
        <v>125</v>
      </c>
      <c r="C197" s="301">
        <v>1770</v>
      </c>
      <c r="D197" s="301"/>
      <c r="E197" s="302">
        <v>482</v>
      </c>
      <c r="F197" s="302">
        <v>108.16666666666667</v>
      </c>
      <c r="G197" s="301">
        <v>87</v>
      </c>
      <c r="H197" s="301">
        <v>50.6</v>
      </c>
      <c r="I197" s="306"/>
      <c r="J197" s="300">
        <f t="shared" si="5"/>
        <v>0.93297587131367288</v>
      </c>
      <c r="K197" s="301" t="s">
        <v>295</v>
      </c>
      <c r="L197" s="301" t="s">
        <v>296</v>
      </c>
      <c r="M197" s="301"/>
    </row>
    <row r="198" spans="1:13">
      <c r="A198" s="301" t="s">
        <v>294</v>
      </c>
      <c r="B198" s="310">
        <v>125</v>
      </c>
      <c r="C198" s="301">
        <v>1770</v>
      </c>
      <c r="D198" s="301"/>
      <c r="E198" s="302">
        <v>483.33333333333331</v>
      </c>
      <c r="F198" s="302">
        <v>98.766666666666652</v>
      </c>
      <c r="G198" s="301">
        <v>71</v>
      </c>
      <c r="H198" s="301">
        <v>48.6</v>
      </c>
      <c r="I198" s="306"/>
      <c r="J198" s="300">
        <f t="shared" si="5"/>
        <v>0.76139410187667556</v>
      </c>
      <c r="K198" s="301" t="s">
        <v>295</v>
      </c>
      <c r="L198" s="301" t="s">
        <v>296</v>
      </c>
      <c r="M198" s="301"/>
    </row>
    <row r="199" spans="1:13">
      <c r="A199" s="301" t="s">
        <v>294</v>
      </c>
      <c r="B199" s="310">
        <v>300</v>
      </c>
      <c r="C199" s="301">
        <v>1770</v>
      </c>
      <c r="D199" s="301"/>
      <c r="E199" s="302">
        <v>156</v>
      </c>
      <c r="F199" s="302">
        <v>105.66666666666667</v>
      </c>
      <c r="G199" s="301">
        <v>236.4</v>
      </c>
      <c r="H199" s="301">
        <v>63.6</v>
      </c>
      <c r="I199" s="306"/>
      <c r="J199" s="300">
        <f t="shared" si="5"/>
        <v>1.0563002680965148</v>
      </c>
      <c r="K199" s="301" t="s">
        <v>295</v>
      </c>
      <c r="L199" s="301" t="s">
        <v>296</v>
      </c>
      <c r="M199" s="301"/>
    </row>
    <row r="200" spans="1:13">
      <c r="A200" s="301" t="s">
        <v>294</v>
      </c>
      <c r="B200" s="310">
        <v>300</v>
      </c>
      <c r="C200" s="301">
        <v>1770</v>
      </c>
      <c r="D200" s="301"/>
      <c r="E200" s="302">
        <v>0</v>
      </c>
      <c r="F200" s="302">
        <v>0</v>
      </c>
      <c r="G200" s="301">
        <v>236.4</v>
      </c>
      <c r="H200" s="301">
        <v>63.6</v>
      </c>
      <c r="I200" s="306"/>
      <c r="J200" s="300">
        <f t="shared" si="5"/>
        <v>1.0563002680965148</v>
      </c>
      <c r="K200" s="301" t="s">
        <v>295</v>
      </c>
      <c r="L200" s="301" t="s">
        <v>296</v>
      </c>
      <c r="M200" s="301"/>
    </row>
    <row r="201" spans="1:13">
      <c r="A201" s="301" t="s">
        <v>294</v>
      </c>
      <c r="B201" s="310">
        <v>125</v>
      </c>
      <c r="C201" s="301"/>
      <c r="D201" s="301"/>
      <c r="E201" s="302">
        <v>477</v>
      </c>
      <c r="F201" s="302">
        <v>127.3</v>
      </c>
      <c r="G201" s="301">
        <v>89</v>
      </c>
      <c r="H201" s="301">
        <v>61.5</v>
      </c>
      <c r="I201" s="306"/>
      <c r="J201" s="300">
        <f t="shared" si="5"/>
        <v>0.95442359249329756</v>
      </c>
      <c r="K201" s="301" t="s">
        <v>295</v>
      </c>
      <c r="L201" s="301" t="s">
        <v>296</v>
      </c>
      <c r="M201" s="301"/>
    </row>
    <row r="202" spans="1:13">
      <c r="A202" s="301" t="s">
        <v>294</v>
      </c>
      <c r="B202" s="310">
        <v>125</v>
      </c>
      <c r="C202" s="301">
        <v>1770</v>
      </c>
      <c r="D202" s="301"/>
      <c r="E202" s="302">
        <v>484</v>
      </c>
      <c r="F202" s="302">
        <v>136.66666666666666</v>
      </c>
      <c r="G202" s="301">
        <v>94</v>
      </c>
      <c r="H202" s="301">
        <v>43.3</v>
      </c>
      <c r="I202" s="306"/>
      <c r="J202" s="300">
        <f t="shared" si="5"/>
        <v>1.0080428954423593</v>
      </c>
      <c r="K202" s="301" t="s">
        <v>295</v>
      </c>
      <c r="L202" s="301" t="s">
        <v>296</v>
      </c>
      <c r="M202" s="301"/>
    </row>
    <row r="203" spans="1:13">
      <c r="A203" s="301" t="s">
        <v>294</v>
      </c>
      <c r="B203" s="310">
        <v>100</v>
      </c>
      <c r="C203" s="301">
        <v>1770</v>
      </c>
      <c r="D203" s="301"/>
      <c r="E203" s="302">
        <v>486</v>
      </c>
      <c r="F203" s="302">
        <v>69</v>
      </c>
      <c r="G203" s="301">
        <v>53</v>
      </c>
      <c r="H203" s="301">
        <v>38</v>
      </c>
      <c r="I203" s="306"/>
      <c r="J203" s="300">
        <f t="shared" si="5"/>
        <v>0.71045576407506705</v>
      </c>
      <c r="K203" s="301" t="s">
        <v>295</v>
      </c>
      <c r="L203" s="301" t="s">
        <v>296</v>
      </c>
      <c r="M203" s="301"/>
    </row>
    <row r="204" spans="1:13">
      <c r="A204" s="301" t="s">
        <v>294</v>
      </c>
      <c r="B204" s="310">
        <v>60</v>
      </c>
      <c r="C204" s="301"/>
      <c r="D204" s="301"/>
      <c r="E204" s="302">
        <v>468.33333333333331</v>
      </c>
      <c r="F204" s="302">
        <v>60.5</v>
      </c>
      <c r="G204" s="301">
        <v>44.2</v>
      </c>
      <c r="H204" s="301">
        <v>60</v>
      </c>
      <c r="I204" s="306"/>
      <c r="J204" s="300">
        <f t="shared" si="5"/>
        <v>0.98748882931188575</v>
      </c>
      <c r="K204" s="301" t="s">
        <v>295</v>
      </c>
      <c r="L204" s="301" t="s">
        <v>296</v>
      </c>
      <c r="M204" s="301"/>
    </row>
    <row r="205" spans="1:13">
      <c r="A205" s="301" t="s">
        <v>298</v>
      </c>
      <c r="B205" s="310">
        <v>40</v>
      </c>
      <c r="C205" s="301">
        <v>1800</v>
      </c>
      <c r="D205" s="301"/>
      <c r="E205" s="302">
        <v>461.66666666666669</v>
      </c>
      <c r="F205" s="302">
        <v>35.866666666666667</v>
      </c>
      <c r="G205" s="301">
        <v>26.6</v>
      </c>
      <c r="H205" s="301">
        <v>62.3</v>
      </c>
      <c r="I205" s="306"/>
      <c r="J205" s="300">
        <f t="shared" si="5"/>
        <v>0.89142091152815017</v>
      </c>
      <c r="K205" s="301" t="s">
        <v>295</v>
      </c>
      <c r="L205" s="301" t="s">
        <v>296</v>
      </c>
      <c r="M205" s="301"/>
    </row>
    <row r="206" spans="1:13">
      <c r="A206" s="301" t="s">
        <v>298</v>
      </c>
      <c r="B206" s="310">
        <v>60</v>
      </c>
      <c r="C206" s="301">
        <v>1800</v>
      </c>
      <c r="D206" s="301"/>
      <c r="E206" s="302">
        <v>461.66666666666669</v>
      </c>
      <c r="F206" s="302">
        <v>72.366666666666674</v>
      </c>
      <c r="G206" s="301">
        <v>46.8</v>
      </c>
      <c r="H206" s="301">
        <v>56.7</v>
      </c>
      <c r="I206" s="306"/>
      <c r="J206" s="300">
        <f t="shared" si="5"/>
        <v>1.0455764075067024</v>
      </c>
      <c r="K206" s="301" t="s">
        <v>295</v>
      </c>
      <c r="L206" s="301" t="s">
        <v>296</v>
      </c>
      <c r="M206" s="301"/>
    </row>
    <row r="207" spans="1:13">
      <c r="A207" s="301" t="s">
        <v>294</v>
      </c>
      <c r="B207" s="310">
        <v>50</v>
      </c>
      <c r="C207" s="301"/>
      <c r="D207" s="301"/>
      <c r="E207" s="302">
        <v>473.66666666666669</v>
      </c>
      <c r="F207" s="302">
        <v>58.666666666666664</v>
      </c>
      <c r="G207" s="301">
        <v>39.9</v>
      </c>
      <c r="H207" s="301">
        <v>56.2</v>
      </c>
      <c r="I207" s="306"/>
      <c r="J207" s="300">
        <f t="shared" si="5"/>
        <v>1.0697050938337802</v>
      </c>
      <c r="K207" s="301" t="s">
        <v>295</v>
      </c>
      <c r="L207" s="301" t="s">
        <v>296</v>
      </c>
      <c r="M207" s="301"/>
    </row>
    <row r="208" spans="1:13">
      <c r="A208" s="301" t="s">
        <v>294</v>
      </c>
      <c r="B208" s="310">
        <v>165</v>
      </c>
      <c r="C208" s="301">
        <v>1770</v>
      </c>
      <c r="D208" s="301"/>
      <c r="E208" s="302">
        <v>321</v>
      </c>
      <c r="F208" s="302">
        <v>114.33333333333333</v>
      </c>
      <c r="G208" s="301">
        <v>130.19999999999999</v>
      </c>
      <c r="H208" s="301">
        <v>62.4</v>
      </c>
      <c r="I208" s="306"/>
      <c r="J208" s="300">
        <f t="shared" si="5"/>
        <v>1.057762612722398</v>
      </c>
      <c r="K208" s="301" t="s">
        <v>295</v>
      </c>
      <c r="L208" s="301" t="s">
        <v>296</v>
      </c>
      <c r="M208" s="301"/>
    </row>
    <row r="209" spans="1:13">
      <c r="A209" s="301" t="s">
        <v>298</v>
      </c>
      <c r="B209" s="310">
        <v>15</v>
      </c>
      <c r="C209" s="301">
        <v>1775</v>
      </c>
      <c r="D209" s="301"/>
      <c r="E209" s="302">
        <v>484</v>
      </c>
      <c r="F209" s="302">
        <v>19</v>
      </c>
      <c r="G209" s="301">
        <v>13.8</v>
      </c>
      <c r="H209" s="301">
        <v>46.1</v>
      </c>
      <c r="I209" s="306"/>
      <c r="J209" s="300">
        <f t="shared" si="5"/>
        <v>1.2332439678284184</v>
      </c>
      <c r="K209" s="301" t="s">
        <v>295</v>
      </c>
      <c r="L209" s="301" t="s">
        <v>296</v>
      </c>
      <c r="M209" s="301"/>
    </row>
    <row r="210" spans="1:13">
      <c r="A210" s="301" t="s">
        <v>298</v>
      </c>
      <c r="B210" s="310">
        <v>15</v>
      </c>
      <c r="C210" s="301">
        <v>1775</v>
      </c>
      <c r="D210" s="301"/>
      <c r="E210" s="302">
        <v>0</v>
      </c>
      <c r="F210" s="302">
        <v>0</v>
      </c>
      <c r="G210" s="301">
        <v>13.8</v>
      </c>
      <c r="H210" s="301">
        <v>46.1</v>
      </c>
      <c r="I210" s="306"/>
      <c r="J210" s="300">
        <f t="shared" si="5"/>
        <v>1.2332439678284184</v>
      </c>
      <c r="K210" s="301" t="s">
        <v>295</v>
      </c>
      <c r="L210" s="301" t="s">
        <v>296</v>
      </c>
      <c r="M210" s="301"/>
    </row>
    <row r="211" spans="1:13">
      <c r="A211" s="301" t="s">
        <v>294</v>
      </c>
      <c r="B211" s="310">
        <v>100</v>
      </c>
      <c r="C211" s="301">
        <v>1770</v>
      </c>
      <c r="D211" s="301"/>
      <c r="E211" s="302">
        <v>470.33333333333331</v>
      </c>
      <c r="F211" s="302">
        <v>115</v>
      </c>
      <c r="G211" s="301">
        <v>83.4</v>
      </c>
      <c r="H211" s="301">
        <v>69.099999999999994</v>
      </c>
      <c r="I211" s="306"/>
      <c r="J211" s="300">
        <f t="shared" si="5"/>
        <v>1.1179624664879357</v>
      </c>
      <c r="K211" s="301" t="s">
        <v>295</v>
      </c>
      <c r="L211" s="301" t="s">
        <v>296</v>
      </c>
      <c r="M211" s="301"/>
    </row>
    <row r="212" spans="1:13">
      <c r="A212" s="301" t="s">
        <v>294</v>
      </c>
      <c r="B212" s="310">
        <v>100</v>
      </c>
      <c r="C212" s="301">
        <v>1770</v>
      </c>
      <c r="D212" s="301"/>
      <c r="E212" s="302">
        <v>0</v>
      </c>
      <c r="F212" s="302">
        <v>0</v>
      </c>
      <c r="G212" s="301">
        <v>75.8</v>
      </c>
      <c r="H212" s="301">
        <v>72.099999999999994</v>
      </c>
      <c r="I212" s="306"/>
      <c r="J212" s="300">
        <f t="shared" si="5"/>
        <v>1.0160857908847185</v>
      </c>
      <c r="K212" s="301" t="s">
        <v>295</v>
      </c>
      <c r="L212" s="301" t="s">
        <v>296</v>
      </c>
      <c r="M212" s="301"/>
    </row>
    <row r="213" spans="1:13">
      <c r="A213" s="301" t="s">
        <v>294</v>
      </c>
      <c r="B213" s="310">
        <v>150</v>
      </c>
      <c r="C213" s="301">
        <v>1770</v>
      </c>
      <c r="D213" s="301"/>
      <c r="E213" s="302">
        <v>484.33333333333331</v>
      </c>
      <c r="F213" s="302">
        <v>161.66666666666666</v>
      </c>
      <c r="G213" s="301">
        <v>124</v>
      </c>
      <c r="H213" s="301">
        <v>61.1</v>
      </c>
      <c r="I213" s="306"/>
      <c r="J213" s="300">
        <f t="shared" si="5"/>
        <v>1.1081322609472744</v>
      </c>
      <c r="K213" s="301" t="s">
        <v>295</v>
      </c>
      <c r="L213" s="301" t="s">
        <v>296</v>
      </c>
      <c r="M213" s="301"/>
    </row>
    <row r="214" spans="1:13">
      <c r="A214" s="301" t="s">
        <v>294</v>
      </c>
      <c r="B214" s="310">
        <v>150</v>
      </c>
      <c r="C214" s="301">
        <v>1770</v>
      </c>
      <c r="D214" s="301"/>
      <c r="E214" s="302">
        <v>484</v>
      </c>
      <c r="F214" s="302">
        <v>162.33333333333334</v>
      </c>
      <c r="G214" s="301">
        <v>126</v>
      </c>
      <c r="H214" s="301">
        <v>56.5</v>
      </c>
      <c r="I214" s="306"/>
      <c r="J214" s="300">
        <f t="shared" si="5"/>
        <v>1.1260053619302948</v>
      </c>
      <c r="K214" s="301" t="s">
        <v>295</v>
      </c>
      <c r="L214" s="301" t="s">
        <v>296</v>
      </c>
      <c r="M214" s="301"/>
    </row>
    <row r="215" spans="1:13">
      <c r="A215" s="301" t="s">
        <v>294</v>
      </c>
      <c r="B215" s="310">
        <v>150</v>
      </c>
      <c r="C215" s="301">
        <v>1770</v>
      </c>
      <c r="D215" s="301"/>
      <c r="E215" s="302">
        <v>484</v>
      </c>
      <c r="F215" s="302">
        <v>149.66666666666666</v>
      </c>
      <c r="G215" s="301">
        <v>116</v>
      </c>
      <c r="H215" s="301">
        <v>58.7</v>
      </c>
      <c r="I215" s="306"/>
      <c r="J215" s="300">
        <f t="shared" si="5"/>
        <v>1.036639857015192</v>
      </c>
      <c r="K215" s="301" t="s">
        <v>295</v>
      </c>
      <c r="L215" s="301" t="s">
        <v>296</v>
      </c>
      <c r="M215" s="301"/>
    </row>
    <row r="216" spans="1:13">
      <c r="A216" s="301" t="s">
        <v>297</v>
      </c>
      <c r="B216" s="310">
        <v>1250</v>
      </c>
      <c r="C216" s="301">
        <v>720</v>
      </c>
      <c r="D216" s="301"/>
      <c r="E216" s="302">
        <v>0</v>
      </c>
      <c r="F216" s="302">
        <v>0</v>
      </c>
      <c r="G216" s="301">
        <v>0</v>
      </c>
      <c r="H216" s="301">
        <v>0</v>
      </c>
      <c r="I216" s="306"/>
      <c r="J216" s="300"/>
      <c r="K216" s="301" t="s">
        <v>295</v>
      </c>
      <c r="L216" s="301" t="s">
        <v>296</v>
      </c>
      <c r="M216" s="301"/>
    </row>
    <row r="217" spans="1:13">
      <c r="A217" s="301" t="s">
        <v>297</v>
      </c>
      <c r="B217" s="310">
        <v>1250</v>
      </c>
      <c r="C217" s="301">
        <v>720</v>
      </c>
      <c r="D217" s="301"/>
      <c r="E217" s="302">
        <v>773.33333333333337</v>
      </c>
      <c r="F217" s="302">
        <v>69.333333333333329</v>
      </c>
      <c r="G217" s="301">
        <v>859.5</v>
      </c>
      <c r="H217" s="301">
        <v>78.2</v>
      </c>
      <c r="I217" s="306"/>
      <c r="J217" s="300">
        <f t="shared" ref="J217:J239" si="6">G217/(B217*0.746)</f>
        <v>0.92171581769436994</v>
      </c>
      <c r="K217" s="301" t="s">
        <v>295</v>
      </c>
      <c r="L217" s="301" t="s">
        <v>296</v>
      </c>
      <c r="M217" s="301"/>
    </row>
    <row r="218" spans="1:13">
      <c r="A218" s="301" t="s">
        <v>297</v>
      </c>
      <c r="B218" s="310">
        <v>800</v>
      </c>
      <c r="C218" s="301">
        <v>900</v>
      </c>
      <c r="D218" s="301"/>
      <c r="E218" s="302">
        <v>773.33333333333337</v>
      </c>
      <c r="F218" s="302">
        <v>48.666666666666664</v>
      </c>
      <c r="G218" s="301">
        <v>603.29999999999995</v>
      </c>
      <c r="H218" s="301">
        <v>78</v>
      </c>
      <c r="I218" s="306"/>
      <c r="J218" s="300">
        <f t="shared" si="6"/>
        <v>1.0108914209115281</v>
      </c>
      <c r="K218" s="301" t="s">
        <v>295</v>
      </c>
      <c r="L218" s="301" t="s">
        <v>296</v>
      </c>
      <c r="M218" s="301"/>
    </row>
    <row r="219" spans="1:13">
      <c r="A219" s="301" t="s">
        <v>297</v>
      </c>
      <c r="B219" s="310">
        <v>400</v>
      </c>
      <c r="C219" s="301">
        <v>1200</v>
      </c>
      <c r="D219" s="301"/>
      <c r="E219" s="302">
        <v>773.33333333333337</v>
      </c>
      <c r="F219" s="302">
        <v>23.666666666666668</v>
      </c>
      <c r="G219" s="301">
        <v>293.39999999999998</v>
      </c>
      <c r="H219" s="301">
        <v>77.099999999999994</v>
      </c>
      <c r="I219" s="306"/>
      <c r="J219" s="300">
        <f t="shared" si="6"/>
        <v>0.98324396782841827</v>
      </c>
      <c r="K219" s="301" t="s">
        <v>295</v>
      </c>
      <c r="L219" s="301" t="s">
        <v>296</v>
      </c>
      <c r="M219" s="301"/>
    </row>
    <row r="220" spans="1:13">
      <c r="A220" s="301" t="s">
        <v>294</v>
      </c>
      <c r="B220" s="310">
        <v>125</v>
      </c>
      <c r="C220" s="301">
        <v>1770</v>
      </c>
      <c r="D220" s="301"/>
      <c r="E220" s="302">
        <v>476.33333333333331</v>
      </c>
      <c r="F220" s="302">
        <v>108.86666666666667</v>
      </c>
      <c r="G220" s="301">
        <v>78</v>
      </c>
      <c r="H220" s="301">
        <v>61.3</v>
      </c>
      <c r="I220" s="306"/>
      <c r="J220" s="300">
        <f t="shared" si="6"/>
        <v>0.83646112600536193</v>
      </c>
      <c r="K220" s="301" t="s">
        <v>295</v>
      </c>
      <c r="L220" s="301" t="s">
        <v>296</v>
      </c>
      <c r="M220" s="301"/>
    </row>
    <row r="221" spans="1:13">
      <c r="A221" s="301" t="s">
        <v>294</v>
      </c>
      <c r="B221" s="310">
        <v>125</v>
      </c>
      <c r="C221" s="301">
        <v>1770</v>
      </c>
      <c r="D221" s="301"/>
      <c r="E221" s="302">
        <v>477</v>
      </c>
      <c r="F221" s="302">
        <v>89.266666666666666</v>
      </c>
      <c r="G221" s="301">
        <v>63</v>
      </c>
      <c r="H221" s="301">
        <v>56.7</v>
      </c>
      <c r="I221" s="306"/>
      <c r="J221" s="300">
        <f t="shared" si="6"/>
        <v>0.67560321715817695</v>
      </c>
      <c r="K221" s="301" t="s">
        <v>295</v>
      </c>
      <c r="L221" s="301" t="s">
        <v>296</v>
      </c>
      <c r="M221" s="301"/>
    </row>
    <row r="222" spans="1:13">
      <c r="A222" s="301" t="s">
        <v>294</v>
      </c>
      <c r="B222" s="310">
        <v>125</v>
      </c>
      <c r="C222" s="301">
        <v>1770</v>
      </c>
      <c r="D222" s="301"/>
      <c r="E222" s="302">
        <v>477</v>
      </c>
      <c r="F222" s="302">
        <v>95.1</v>
      </c>
      <c r="G222" s="301">
        <v>68</v>
      </c>
      <c r="H222" s="301">
        <v>59.7</v>
      </c>
      <c r="I222" s="306"/>
      <c r="J222" s="300">
        <f t="shared" si="6"/>
        <v>0.72922252010723865</v>
      </c>
      <c r="K222" s="301" t="s">
        <v>295</v>
      </c>
      <c r="L222" s="301" t="s">
        <v>296</v>
      </c>
      <c r="M222" s="301"/>
    </row>
    <row r="223" spans="1:13">
      <c r="A223" s="301" t="s">
        <v>298</v>
      </c>
      <c r="B223" s="310">
        <v>75</v>
      </c>
      <c r="C223" s="301">
        <v>1770</v>
      </c>
      <c r="D223" s="301"/>
      <c r="E223" s="302">
        <v>481</v>
      </c>
      <c r="F223" s="302">
        <v>86.066666666666677</v>
      </c>
      <c r="G223" s="301">
        <v>61.1</v>
      </c>
      <c r="H223" s="301">
        <v>70.8</v>
      </c>
      <c r="I223" s="306"/>
      <c r="J223" s="300">
        <f t="shared" si="6"/>
        <v>1.0920464700625558</v>
      </c>
      <c r="K223" s="301" t="s">
        <v>295</v>
      </c>
      <c r="L223" s="301" t="s">
        <v>296</v>
      </c>
      <c r="M223" s="301"/>
    </row>
    <row r="224" spans="1:13">
      <c r="A224" s="301" t="s">
        <v>298</v>
      </c>
      <c r="B224" s="310">
        <v>60</v>
      </c>
      <c r="C224" s="301">
        <v>1770</v>
      </c>
      <c r="D224" s="301"/>
      <c r="E224" s="302">
        <v>484.33333333333331</v>
      </c>
      <c r="F224" s="302">
        <v>69.099999999999994</v>
      </c>
      <c r="G224" s="301">
        <v>46</v>
      </c>
      <c r="H224" s="301">
        <v>67</v>
      </c>
      <c r="I224" s="306"/>
      <c r="J224" s="300">
        <f t="shared" si="6"/>
        <v>1.0277033065236818</v>
      </c>
      <c r="K224" s="301" t="s">
        <v>295</v>
      </c>
      <c r="L224" s="301" t="s">
        <v>296</v>
      </c>
      <c r="M224" s="301"/>
    </row>
    <row r="225" spans="1:13">
      <c r="A225" s="301" t="s">
        <v>294</v>
      </c>
      <c r="B225" s="310">
        <v>100</v>
      </c>
      <c r="C225" s="301">
        <v>1770</v>
      </c>
      <c r="D225" s="301"/>
      <c r="E225" s="302">
        <v>480.66666666666669</v>
      </c>
      <c r="F225" s="302">
        <v>61.666666666666664</v>
      </c>
      <c r="G225" s="301">
        <v>41.1</v>
      </c>
      <c r="H225" s="301">
        <v>53.9</v>
      </c>
      <c r="I225" s="306"/>
      <c r="J225" s="300">
        <f t="shared" si="6"/>
        <v>0.55093833780160861</v>
      </c>
      <c r="K225" s="301" t="s">
        <v>295</v>
      </c>
      <c r="L225" s="301" t="s">
        <v>296</v>
      </c>
      <c r="M225" s="301"/>
    </row>
    <row r="226" spans="1:13">
      <c r="A226" s="301" t="s">
        <v>294</v>
      </c>
      <c r="B226" s="310">
        <v>60</v>
      </c>
      <c r="C226" s="301">
        <v>1770</v>
      </c>
      <c r="D226" s="301"/>
      <c r="E226" s="302">
        <v>0</v>
      </c>
      <c r="F226" s="302">
        <v>0</v>
      </c>
      <c r="G226" s="301">
        <v>48.2</v>
      </c>
      <c r="H226" s="301">
        <v>67.2</v>
      </c>
      <c r="I226" s="306"/>
      <c r="J226" s="300">
        <f t="shared" si="6"/>
        <v>1.0768543342269885</v>
      </c>
      <c r="K226" s="301" t="s">
        <v>295</v>
      </c>
      <c r="L226" s="301" t="s">
        <v>296</v>
      </c>
      <c r="M226" s="301"/>
    </row>
    <row r="227" spans="1:13">
      <c r="A227" s="301" t="s">
        <v>294</v>
      </c>
      <c r="B227" s="310">
        <v>100</v>
      </c>
      <c r="C227" s="301">
        <v>1770</v>
      </c>
      <c r="D227" s="301"/>
      <c r="E227" s="302">
        <v>480.66666666666669</v>
      </c>
      <c r="F227" s="302">
        <v>125.33333333333333</v>
      </c>
      <c r="G227" s="301">
        <v>86.3</v>
      </c>
      <c r="H227" s="301">
        <v>66.099999999999994</v>
      </c>
      <c r="I227" s="306"/>
      <c r="J227" s="300">
        <f t="shared" si="6"/>
        <v>1.1568364611260054</v>
      </c>
      <c r="K227" s="301" t="s">
        <v>295</v>
      </c>
      <c r="L227" s="301" t="s">
        <v>296</v>
      </c>
      <c r="M227" s="301"/>
    </row>
    <row r="228" spans="1:13">
      <c r="A228" s="301" t="s">
        <v>297</v>
      </c>
      <c r="B228" s="310">
        <v>50</v>
      </c>
      <c r="C228" s="301"/>
      <c r="D228" s="301"/>
      <c r="E228" s="302">
        <v>481.33333333333331</v>
      </c>
      <c r="F228" s="302">
        <v>39.666666666666664</v>
      </c>
      <c r="G228" s="301">
        <v>27.4</v>
      </c>
      <c r="H228" s="301">
        <v>66.599999999999994</v>
      </c>
      <c r="I228" s="306"/>
      <c r="J228" s="300">
        <f t="shared" si="6"/>
        <v>0.73458445040214482</v>
      </c>
      <c r="K228" s="301" t="s">
        <v>295</v>
      </c>
      <c r="L228" s="301" t="s">
        <v>296</v>
      </c>
      <c r="M228" s="301"/>
    </row>
    <row r="229" spans="1:13">
      <c r="A229" s="301" t="s">
        <v>294</v>
      </c>
      <c r="B229" s="310">
        <v>100</v>
      </c>
      <c r="C229" s="301">
        <v>1770</v>
      </c>
      <c r="D229" s="301"/>
      <c r="E229" s="302">
        <v>0</v>
      </c>
      <c r="F229" s="302">
        <v>0</v>
      </c>
      <c r="G229" s="301">
        <v>72.099999999999994</v>
      </c>
      <c r="H229" s="301">
        <v>75</v>
      </c>
      <c r="I229" s="306"/>
      <c r="J229" s="300">
        <f t="shared" si="6"/>
        <v>0.96648793565683644</v>
      </c>
      <c r="K229" s="301" t="s">
        <v>295</v>
      </c>
      <c r="L229" s="301" t="s">
        <v>296</v>
      </c>
      <c r="M229" s="301"/>
    </row>
    <row r="230" spans="1:13">
      <c r="A230" s="301" t="s">
        <v>297</v>
      </c>
      <c r="B230" s="310">
        <v>50</v>
      </c>
      <c r="C230" s="301"/>
      <c r="D230" s="301"/>
      <c r="E230" s="302">
        <v>0</v>
      </c>
      <c r="F230" s="302">
        <v>0</v>
      </c>
      <c r="G230" s="301">
        <v>31.6</v>
      </c>
      <c r="H230" s="301">
        <v>76.900000000000006</v>
      </c>
      <c r="I230" s="306"/>
      <c r="J230" s="300">
        <f t="shared" si="6"/>
        <v>0.84718498659517438</v>
      </c>
      <c r="K230" s="301" t="s">
        <v>295</v>
      </c>
      <c r="L230" s="301" t="s">
        <v>296</v>
      </c>
      <c r="M230" s="301"/>
    </row>
    <row r="231" spans="1:13">
      <c r="A231" s="301" t="s">
        <v>294</v>
      </c>
      <c r="B231" s="310">
        <v>125</v>
      </c>
      <c r="C231" s="301">
        <v>1770</v>
      </c>
      <c r="D231" s="301"/>
      <c r="E231" s="302">
        <v>482.33333333333331</v>
      </c>
      <c r="F231" s="302">
        <v>87</v>
      </c>
      <c r="G231" s="301">
        <v>67.400000000000006</v>
      </c>
      <c r="H231" s="301">
        <v>52</v>
      </c>
      <c r="I231" s="306"/>
      <c r="J231" s="300">
        <f t="shared" si="6"/>
        <v>0.72278820375335129</v>
      </c>
      <c r="K231" s="301" t="s">
        <v>295</v>
      </c>
      <c r="L231" s="301" t="s">
        <v>296</v>
      </c>
      <c r="M231" s="301"/>
    </row>
    <row r="232" spans="1:13">
      <c r="A232" s="301" t="s">
        <v>294</v>
      </c>
      <c r="B232" s="310">
        <v>125</v>
      </c>
      <c r="C232" s="301">
        <v>1770</v>
      </c>
      <c r="D232" s="301"/>
      <c r="E232" s="302">
        <v>0</v>
      </c>
      <c r="F232" s="302">
        <v>0</v>
      </c>
      <c r="G232" s="301">
        <v>70.900000000000006</v>
      </c>
      <c r="H232" s="301">
        <v>72</v>
      </c>
      <c r="I232" s="306"/>
      <c r="J232" s="300">
        <f t="shared" si="6"/>
        <v>0.76032171581769448</v>
      </c>
      <c r="K232" s="301" t="s">
        <v>295</v>
      </c>
      <c r="L232" s="301" t="s">
        <v>296</v>
      </c>
      <c r="M232" s="301"/>
    </row>
    <row r="233" spans="1:13">
      <c r="A233" s="301" t="s">
        <v>298</v>
      </c>
      <c r="B233" s="310">
        <v>75</v>
      </c>
      <c r="C233" s="301">
        <v>1770</v>
      </c>
      <c r="D233" s="301"/>
      <c r="E233" s="302">
        <v>481</v>
      </c>
      <c r="F233" s="302">
        <v>78.333333333333329</v>
      </c>
      <c r="G233" s="301">
        <v>50.9</v>
      </c>
      <c r="H233" s="301">
        <v>57.1</v>
      </c>
      <c r="I233" s="306"/>
      <c r="J233" s="300">
        <f t="shared" si="6"/>
        <v>0.90974084003574618</v>
      </c>
      <c r="K233" s="301" t="s">
        <v>295</v>
      </c>
      <c r="L233" s="301" t="s">
        <v>296</v>
      </c>
      <c r="M233" s="301"/>
    </row>
    <row r="234" spans="1:13">
      <c r="A234" s="301" t="s">
        <v>298</v>
      </c>
      <c r="B234" s="310">
        <v>75</v>
      </c>
      <c r="C234" s="301">
        <v>1770</v>
      </c>
      <c r="D234" s="301"/>
      <c r="E234" s="302">
        <v>0</v>
      </c>
      <c r="F234" s="302">
        <v>0</v>
      </c>
      <c r="G234" s="301">
        <v>59.7</v>
      </c>
      <c r="H234" s="301">
        <v>72</v>
      </c>
      <c r="I234" s="306"/>
      <c r="J234" s="300">
        <f t="shared" si="6"/>
        <v>1.0670241286863271</v>
      </c>
      <c r="K234" s="301" t="s">
        <v>295</v>
      </c>
      <c r="L234" s="301" t="s">
        <v>296</v>
      </c>
      <c r="M234" s="301"/>
    </row>
    <row r="235" spans="1:13">
      <c r="A235" s="301" t="s">
        <v>298</v>
      </c>
      <c r="B235" s="310">
        <v>30</v>
      </c>
      <c r="C235" s="301">
        <v>3550</v>
      </c>
      <c r="D235" s="301"/>
      <c r="E235" s="302">
        <v>488</v>
      </c>
      <c r="F235" s="302">
        <v>32.333333333333336</v>
      </c>
      <c r="G235" s="301">
        <v>24.9</v>
      </c>
      <c r="H235" s="301">
        <v>55.7</v>
      </c>
      <c r="I235" s="306"/>
      <c r="J235" s="300">
        <f t="shared" si="6"/>
        <v>1.1126005361930296</v>
      </c>
      <c r="K235" s="301" t="s">
        <v>295</v>
      </c>
      <c r="L235" s="301" t="s">
        <v>296</v>
      </c>
      <c r="M235" s="301"/>
    </row>
    <row r="236" spans="1:13">
      <c r="A236" s="301" t="s">
        <v>298</v>
      </c>
      <c r="B236" s="310">
        <v>30</v>
      </c>
      <c r="C236" s="301">
        <v>3550</v>
      </c>
      <c r="D236" s="301"/>
      <c r="E236" s="302">
        <v>0</v>
      </c>
      <c r="F236" s="302">
        <v>0</v>
      </c>
      <c r="G236" s="301">
        <v>26.2</v>
      </c>
      <c r="H236" s="301">
        <v>70</v>
      </c>
      <c r="I236" s="306"/>
      <c r="J236" s="300">
        <f t="shared" si="6"/>
        <v>1.1706881143878463</v>
      </c>
      <c r="K236" s="301" t="s">
        <v>295</v>
      </c>
      <c r="L236" s="301" t="s">
        <v>296</v>
      </c>
      <c r="M236" s="301"/>
    </row>
    <row r="237" spans="1:13">
      <c r="A237" s="301" t="s">
        <v>294</v>
      </c>
      <c r="B237" s="310">
        <v>600</v>
      </c>
      <c r="C237" s="301">
        <v>1775</v>
      </c>
      <c r="D237" s="301"/>
      <c r="E237" s="302">
        <v>164.33333333333334</v>
      </c>
      <c r="F237" s="302">
        <v>200.33333333333334</v>
      </c>
      <c r="G237" s="301">
        <v>472.1</v>
      </c>
      <c r="H237" s="301">
        <v>65.8</v>
      </c>
      <c r="I237" s="306"/>
      <c r="J237" s="300">
        <f t="shared" si="6"/>
        <v>1.0547363717605005</v>
      </c>
      <c r="K237" s="301" t="s">
        <v>295</v>
      </c>
      <c r="L237" s="301" t="s">
        <v>296</v>
      </c>
      <c r="M237" s="301"/>
    </row>
    <row r="238" spans="1:13">
      <c r="A238" s="301" t="s">
        <v>298</v>
      </c>
      <c r="B238" s="310">
        <v>30</v>
      </c>
      <c r="C238" s="301">
        <v>1775</v>
      </c>
      <c r="D238" s="301"/>
      <c r="E238" s="302">
        <v>482.33333333333331</v>
      </c>
      <c r="F238" s="302">
        <v>36</v>
      </c>
      <c r="G238" s="301">
        <v>25.6</v>
      </c>
      <c r="H238" s="301">
        <v>71.400000000000006</v>
      </c>
      <c r="I238" s="306"/>
      <c r="J238" s="300">
        <f t="shared" si="6"/>
        <v>1.1438784629133156</v>
      </c>
      <c r="K238" s="301" t="s">
        <v>295</v>
      </c>
      <c r="L238" s="301" t="s">
        <v>296</v>
      </c>
      <c r="M238" s="301"/>
    </row>
    <row r="239" spans="1:13">
      <c r="A239" s="301" t="s">
        <v>298</v>
      </c>
      <c r="B239" s="310">
        <v>30</v>
      </c>
      <c r="C239" s="301">
        <v>1775</v>
      </c>
      <c r="D239" s="301"/>
      <c r="E239" s="302">
        <v>0</v>
      </c>
      <c r="F239" s="302">
        <v>0</v>
      </c>
      <c r="G239" s="301">
        <v>20.7</v>
      </c>
      <c r="H239" s="301">
        <v>74.900000000000006</v>
      </c>
      <c r="I239" s="306"/>
      <c r="J239" s="300">
        <f t="shared" si="6"/>
        <v>0.92493297587131373</v>
      </c>
      <c r="K239" s="301" t="s">
        <v>295</v>
      </c>
      <c r="L239" s="301" t="s">
        <v>296</v>
      </c>
      <c r="M239" s="301"/>
    </row>
    <row r="240" spans="1:13">
      <c r="A240" s="301" t="s">
        <v>297</v>
      </c>
      <c r="B240" s="310">
        <v>1250</v>
      </c>
      <c r="C240" s="301">
        <v>720</v>
      </c>
      <c r="D240" s="301"/>
      <c r="E240" s="302">
        <v>0</v>
      </c>
      <c r="F240" s="302">
        <v>0</v>
      </c>
      <c r="G240" s="301">
        <v>0</v>
      </c>
      <c r="H240" s="301">
        <v>0</v>
      </c>
      <c r="I240" s="306"/>
      <c r="J240" s="300"/>
      <c r="K240" s="301" t="s">
        <v>295</v>
      </c>
      <c r="L240" s="301" t="s">
        <v>296</v>
      </c>
      <c r="M240" s="301"/>
    </row>
    <row r="241" spans="1:13">
      <c r="A241" s="301" t="s">
        <v>297</v>
      </c>
      <c r="B241" s="310">
        <v>1250</v>
      </c>
      <c r="C241" s="301">
        <v>720</v>
      </c>
      <c r="D241" s="301"/>
      <c r="E241" s="302">
        <v>0</v>
      </c>
      <c r="F241" s="302">
        <v>0</v>
      </c>
      <c r="G241" s="301">
        <v>859.5</v>
      </c>
      <c r="H241" s="301">
        <v>78.2</v>
      </c>
      <c r="I241" s="306"/>
      <c r="J241" s="300">
        <f t="shared" ref="J241:J272" si="7">G241/(B241*0.746)</f>
        <v>0.92171581769436994</v>
      </c>
      <c r="K241" s="301" t="s">
        <v>295</v>
      </c>
      <c r="L241" s="301" t="s">
        <v>296</v>
      </c>
      <c r="M241" s="301"/>
    </row>
    <row r="242" spans="1:13">
      <c r="A242" s="301" t="s">
        <v>297</v>
      </c>
      <c r="B242" s="310">
        <v>800</v>
      </c>
      <c r="C242" s="301">
        <v>900</v>
      </c>
      <c r="D242" s="301"/>
      <c r="E242" s="302">
        <v>0</v>
      </c>
      <c r="F242" s="302">
        <v>0</v>
      </c>
      <c r="G242" s="301">
        <v>603.29999999999995</v>
      </c>
      <c r="H242" s="301">
        <v>78</v>
      </c>
      <c r="I242" s="306"/>
      <c r="J242" s="300">
        <f t="shared" si="7"/>
        <v>1.0108914209115281</v>
      </c>
      <c r="K242" s="301" t="s">
        <v>295</v>
      </c>
      <c r="L242" s="301" t="s">
        <v>296</v>
      </c>
      <c r="M242" s="301"/>
    </row>
    <row r="243" spans="1:13">
      <c r="A243" s="301" t="s">
        <v>297</v>
      </c>
      <c r="B243" s="310">
        <v>400</v>
      </c>
      <c r="C243" s="301">
        <v>1200</v>
      </c>
      <c r="D243" s="301"/>
      <c r="E243" s="302">
        <v>0</v>
      </c>
      <c r="F243" s="302">
        <v>0</v>
      </c>
      <c r="G243" s="301">
        <v>293.39999999999998</v>
      </c>
      <c r="H243" s="301">
        <v>77.099999999999994</v>
      </c>
      <c r="I243" s="306"/>
      <c r="J243" s="300">
        <f t="shared" si="7"/>
        <v>0.98324396782841827</v>
      </c>
      <c r="K243" s="301" t="s">
        <v>295</v>
      </c>
      <c r="L243" s="301" t="s">
        <v>296</v>
      </c>
      <c r="M243" s="301"/>
    </row>
    <row r="244" spans="1:13">
      <c r="A244" s="301" t="s">
        <v>294</v>
      </c>
      <c r="B244" s="310">
        <v>100</v>
      </c>
      <c r="C244" s="301">
        <v>1770</v>
      </c>
      <c r="D244" s="301"/>
      <c r="E244" s="302">
        <v>475</v>
      </c>
      <c r="F244" s="302">
        <v>85</v>
      </c>
      <c r="G244" s="301">
        <v>55.3</v>
      </c>
      <c r="H244" s="301">
        <v>54</v>
      </c>
      <c r="I244" s="306"/>
      <c r="J244" s="300">
        <f t="shared" si="7"/>
        <v>0.74128686327077753</v>
      </c>
      <c r="K244" s="301" t="s">
        <v>295</v>
      </c>
      <c r="L244" s="301" t="s">
        <v>296</v>
      </c>
      <c r="M244" s="301"/>
    </row>
    <row r="245" spans="1:13">
      <c r="A245" s="301" t="s">
        <v>294</v>
      </c>
      <c r="B245" s="310">
        <v>100</v>
      </c>
      <c r="C245" s="301">
        <v>1770</v>
      </c>
      <c r="D245" s="301"/>
      <c r="E245" s="302">
        <v>0</v>
      </c>
      <c r="F245" s="302">
        <v>0</v>
      </c>
      <c r="G245" s="301">
        <v>56.3</v>
      </c>
      <c r="H245" s="301">
        <v>68.8</v>
      </c>
      <c r="I245" s="306"/>
      <c r="J245" s="300">
        <f t="shared" si="7"/>
        <v>0.75469168900804295</v>
      </c>
      <c r="K245" s="301" t="s">
        <v>295</v>
      </c>
      <c r="L245" s="301" t="s">
        <v>296</v>
      </c>
      <c r="M245" s="301"/>
    </row>
    <row r="246" spans="1:13">
      <c r="A246" s="301" t="s">
        <v>294</v>
      </c>
      <c r="B246" s="310">
        <v>75</v>
      </c>
      <c r="C246" s="301"/>
      <c r="D246" s="301"/>
      <c r="E246" s="302">
        <v>488.66666666666669</v>
      </c>
      <c r="F246" s="302">
        <v>95</v>
      </c>
      <c r="G246" s="301">
        <v>65.099999999999994</v>
      </c>
      <c r="H246" s="301">
        <v>64.2</v>
      </c>
      <c r="I246" s="306"/>
      <c r="J246" s="300">
        <f t="shared" si="7"/>
        <v>1.163538873994638</v>
      </c>
      <c r="K246" s="301" t="s">
        <v>295</v>
      </c>
      <c r="L246" s="301" t="s">
        <v>296</v>
      </c>
      <c r="M246" s="301"/>
    </row>
    <row r="247" spans="1:13">
      <c r="A247" s="301" t="s">
        <v>294</v>
      </c>
      <c r="B247" s="310">
        <v>50</v>
      </c>
      <c r="C247" s="301"/>
      <c r="D247" s="301"/>
      <c r="E247" s="302">
        <v>0</v>
      </c>
      <c r="F247" s="302">
        <v>0</v>
      </c>
      <c r="G247" s="301">
        <v>33.700000000000003</v>
      </c>
      <c r="H247" s="301">
        <v>72</v>
      </c>
      <c r="I247" s="306"/>
      <c r="J247" s="300">
        <f t="shared" si="7"/>
        <v>0.90348525469168917</v>
      </c>
      <c r="K247" s="301" t="s">
        <v>295</v>
      </c>
      <c r="L247" s="301" t="s">
        <v>296</v>
      </c>
      <c r="M247" s="301"/>
    </row>
    <row r="248" spans="1:13">
      <c r="A248" s="301" t="s">
        <v>298</v>
      </c>
      <c r="B248" s="310">
        <v>40</v>
      </c>
      <c r="C248" s="301">
        <v>1775</v>
      </c>
      <c r="D248" s="301"/>
      <c r="E248" s="302">
        <v>0</v>
      </c>
      <c r="F248" s="302">
        <v>0</v>
      </c>
      <c r="G248" s="301">
        <v>30.4</v>
      </c>
      <c r="H248" s="301">
        <v>74.900000000000006</v>
      </c>
      <c r="I248" s="306"/>
      <c r="J248" s="300">
        <f t="shared" si="7"/>
        <v>1.0187667560321716</v>
      </c>
      <c r="K248" s="301" t="s">
        <v>295</v>
      </c>
      <c r="L248" s="301" t="s">
        <v>296</v>
      </c>
      <c r="M248" s="301"/>
    </row>
    <row r="249" spans="1:13">
      <c r="A249" s="301" t="s">
        <v>294</v>
      </c>
      <c r="B249" s="310">
        <v>350</v>
      </c>
      <c r="C249" s="301">
        <v>1770</v>
      </c>
      <c r="D249" s="301"/>
      <c r="E249" s="302">
        <v>162</v>
      </c>
      <c r="F249" s="302">
        <v>103.73333333333333</v>
      </c>
      <c r="G249" s="301">
        <v>253.6</v>
      </c>
      <c r="H249" s="301">
        <v>47.9</v>
      </c>
      <c r="I249" s="306"/>
      <c r="J249" s="300">
        <f t="shared" si="7"/>
        <v>0.97127537342014547</v>
      </c>
      <c r="K249" s="301" t="s">
        <v>295</v>
      </c>
      <c r="L249" s="301" t="s">
        <v>296</v>
      </c>
      <c r="M249" s="301"/>
    </row>
    <row r="250" spans="1:13">
      <c r="A250" s="301" t="s">
        <v>294</v>
      </c>
      <c r="B250" s="310">
        <v>300</v>
      </c>
      <c r="C250" s="301">
        <v>1770</v>
      </c>
      <c r="D250" s="301"/>
      <c r="E250" s="302">
        <v>0</v>
      </c>
      <c r="F250" s="302">
        <v>0</v>
      </c>
      <c r="G250" s="301">
        <v>167.8</v>
      </c>
      <c r="H250" s="301">
        <v>72.400000000000006</v>
      </c>
      <c r="I250" s="306"/>
      <c r="J250" s="300">
        <f t="shared" si="7"/>
        <v>0.74977658623771226</v>
      </c>
      <c r="K250" s="301" t="s">
        <v>295</v>
      </c>
      <c r="L250" s="301" t="s">
        <v>296</v>
      </c>
      <c r="M250" s="301"/>
    </row>
    <row r="251" spans="1:13">
      <c r="A251" s="301" t="s">
        <v>294</v>
      </c>
      <c r="B251" s="310">
        <v>150</v>
      </c>
      <c r="C251" s="301">
        <v>1770</v>
      </c>
      <c r="D251" s="301"/>
      <c r="E251" s="302">
        <v>479</v>
      </c>
      <c r="F251" s="302">
        <v>158.33333333333334</v>
      </c>
      <c r="G251" s="301">
        <v>112</v>
      </c>
      <c r="H251" s="301">
        <v>28.2</v>
      </c>
      <c r="I251" s="306"/>
      <c r="J251" s="300">
        <f t="shared" si="7"/>
        <v>1.000893655049151</v>
      </c>
      <c r="K251" s="301" t="s">
        <v>295</v>
      </c>
      <c r="L251" s="301" t="s">
        <v>296</v>
      </c>
      <c r="M251" s="301"/>
    </row>
    <row r="252" spans="1:13">
      <c r="A252" s="301" t="s">
        <v>294</v>
      </c>
      <c r="B252" s="310">
        <v>150</v>
      </c>
      <c r="C252" s="301">
        <v>1770</v>
      </c>
      <c r="D252" s="301"/>
      <c r="E252" s="302">
        <v>0</v>
      </c>
      <c r="F252" s="302">
        <v>0</v>
      </c>
      <c r="G252" s="301">
        <v>132.6</v>
      </c>
      <c r="H252" s="301">
        <v>67.5</v>
      </c>
      <c r="I252" s="306"/>
      <c r="J252" s="300">
        <f t="shared" si="7"/>
        <v>1.1849865951742626</v>
      </c>
      <c r="K252" s="301" t="s">
        <v>295</v>
      </c>
      <c r="L252" s="301" t="s">
        <v>296</v>
      </c>
      <c r="M252" s="301"/>
    </row>
    <row r="253" spans="1:13">
      <c r="A253" s="301" t="s">
        <v>294</v>
      </c>
      <c r="B253" s="310">
        <v>125</v>
      </c>
      <c r="C253" s="301">
        <v>1770</v>
      </c>
      <c r="D253" s="301"/>
      <c r="E253" s="302">
        <v>471</v>
      </c>
      <c r="F253" s="302">
        <v>139.16666666666666</v>
      </c>
      <c r="G253" s="301">
        <v>104</v>
      </c>
      <c r="H253" s="301">
        <v>71.5</v>
      </c>
      <c r="I253" s="306"/>
      <c r="J253" s="300">
        <f t="shared" si="7"/>
        <v>1.1152815013404827</v>
      </c>
      <c r="K253" s="301" t="s">
        <v>295</v>
      </c>
      <c r="L253" s="301" t="s">
        <v>296</v>
      </c>
      <c r="M253" s="301"/>
    </row>
    <row r="254" spans="1:13">
      <c r="A254" s="301" t="s">
        <v>294</v>
      </c>
      <c r="B254" s="310">
        <v>60</v>
      </c>
      <c r="C254" s="301"/>
      <c r="D254" s="301"/>
      <c r="E254" s="302">
        <v>0</v>
      </c>
      <c r="F254" s="302">
        <v>0</v>
      </c>
      <c r="G254" s="301">
        <v>44.2</v>
      </c>
      <c r="H254" s="301">
        <v>60</v>
      </c>
      <c r="I254" s="306"/>
      <c r="J254" s="300">
        <f t="shared" si="7"/>
        <v>0.98748882931188575</v>
      </c>
      <c r="K254" s="301" t="s">
        <v>295</v>
      </c>
      <c r="L254" s="301" t="s">
        <v>296</v>
      </c>
      <c r="M254" s="301"/>
    </row>
    <row r="255" spans="1:13">
      <c r="A255" s="301" t="s">
        <v>294</v>
      </c>
      <c r="B255" s="310">
        <v>60</v>
      </c>
      <c r="C255" s="301"/>
      <c r="D255" s="301"/>
      <c r="E255" s="302">
        <v>473.33333333333331</v>
      </c>
      <c r="F255" s="302">
        <v>48.333333333333336</v>
      </c>
      <c r="G255" s="301">
        <v>41</v>
      </c>
      <c r="H255" s="301">
        <v>41</v>
      </c>
      <c r="I255" s="306"/>
      <c r="J255" s="300">
        <f t="shared" si="7"/>
        <v>0.91599642537980341</v>
      </c>
      <c r="K255" s="301" t="s">
        <v>295</v>
      </c>
      <c r="L255" s="301" t="s">
        <v>296</v>
      </c>
      <c r="M255" s="301"/>
    </row>
    <row r="256" spans="1:13">
      <c r="A256" s="301" t="s">
        <v>294</v>
      </c>
      <c r="B256" s="310">
        <v>100</v>
      </c>
      <c r="C256" s="301">
        <v>1770</v>
      </c>
      <c r="D256" s="301"/>
      <c r="E256" s="302">
        <v>476.33333333333331</v>
      </c>
      <c r="F256" s="302">
        <v>107.73333333333333</v>
      </c>
      <c r="G256" s="301">
        <v>73</v>
      </c>
      <c r="H256" s="301">
        <v>32.9</v>
      </c>
      <c r="I256" s="306"/>
      <c r="J256" s="300">
        <f t="shared" si="7"/>
        <v>0.97855227882037543</v>
      </c>
      <c r="K256" s="301" t="s">
        <v>295</v>
      </c>
      <c r="L256" s="301" t="s">
        <v>296</v>
      </c>
      <c r="M256" s="301"/>
    </row>
    <row r="257" spans="1:13">
      <c r="A257" s="301" t="s">
        <v>294</v>
      </c>
      <c r="B257" s="310">
        <v>100</v>
      </c>
      <c r="C257" s="301">
        <v>1770</v>
      </c>
      <c r="D257" s="301"/>
      <c r="E257" s="302">
        <v>475</v>
      </c>
      <c r="F257" s="302">
        <v>104.2</v>
      </c>
      <c r="G257" s="301">
        <v>70</v>
      </c>
      <c r="H257" s="301">
        <v>35</v>
      </c>
      <c r="I257" s="306"/>
      <c r="J257" s="300">
        <f t="shared" si="7"/>
        <v>0.93833780160857916</v>
      </c>
      <c r="K257" s="301" t="s">
        <v>295</v>
      </c>
      <c r="L257" s="301" t="s">
        <v>296</v>
      </c>
      <c r="M257" s="301"/>
    </row>
    <row r="258" spans="1:13">
      <c r="A258" s="301" t="s">
        <v>294</v>
      </c>
      <c r="B258" s="310">
        <v>50</v>
      </c>
      <c r="C258" s="301">
        <v>1800</v>
      </c>
      <c r="D258" s="301"/>
      <c r="E258" s="302">
        <v>486</v>
      </c>
      <c r="F258" s="302">
        <v>55.95</v>
      </c>
      <c r="G258" s="301">
        <v>41</v>
      </c>
      <c r="H258" s="301">
        <v>49.7</v>
      </c>
      <c r="I258" s="306"/>
      <c r="J258" s="300">
        <f t="shared" si="7"/>
        <v>1.0991957104557641</v>
      </c>
      <c r="K258" s="301" t="s">
        <v>295</v>
      </c>
      <c r="L258" s="301" t="s">
        <v>296</v>
      </c>
      <c r="M258" s="301"/>
    </row>
    <row r="259" spans="1:13">
      <c r="A259" s="301" t="s">
        <v>294</v>
      </c>
      <c r="B259" s="310">
        <v>100</v>
      </c>
      <c r="C259" s="301">
        <v>1800</v>
      </c>
      <c r="D259" s="301"/>
      <c r="E259" s="302">
        <v>489.33333333333331</v>
      </c>
      <c r="F259" s="302">
        <v>114.26666666666667</v>
      </c>
      <c r="G259" s="301">
        <v>79</v>
      </c>
      <c r="H259" s="301">
        <v>42.8</v>
      </c>
      <c r="I259" s="306"/>
      <c r="J259" s="300">
        <f t="shared" si="7"/>
        <v>1.0589812332439679</v>
      </c>
      <c r="K259" s="301" t="s">
        <v>295</v>
      </c>
      <c r="L259" s="301" t="s">
        <v>296</v>
      </c>
      <c r="M259" s="301"/>
    </row>
    <row r="260" spans="1:13">
      <c r="A260" s="301" t="s">
        <v>294</v>
      </c>
      <c r="B260" s="310">
        <v>150</v>
      </c>
      <c r="C260" s="301">
        <v>1770</v>
      </c>
      <c r="D260" s="301"/>
      <c r="E260" s="302">
        <v>472.66666666666669</v>
      </c>
      <c r="F260" s="302">
        <v>190</v>
      </c>
      <c r="G260" s="301">
        <v>133.6</v>
      </c>
      <c r="H260" s="301">
        <v>63.6</v>
      </c>
      <c r="I260" s="306"/>
      <c r="J260" s="300">
        <f t="shared" si="7"/>
        <v>1.1939231456657728</v>
      </c>
      <c r="K260" s="301" t="s">
        <v>295</v>
      </c>
      <c r="L260" s="301" t="s">
        <v>296</v>
      </c>
      <c r="M260" s="301"/>
    </row>
    <row r="261" spans="1:13">
      <c r="A261" s="301" t="s">
        <v>298</v>
      </c>
      <c r="B261" s="310">
        <v>75</v>
      </c>
      <c r="C261" s="301">
        <v>1780</v>
      </c>
      <c r="D261" s="301"/>
      <c r="E261" s="302">
        <v>0</v>
      </c>
      <c r="F261" s="302">
        <v>0</v>
      </c>
      <c r="G261" s="301">
        <v>60.4</v>
      </c>
      <c r="H261" s="301">
        <v>81.400000000000006</v>
      </c>
      <c r="I261" s="306"/>
      <c r="J261" s="300">
        <f t="shared" si="7"/>
        <v>1.0795352993744414</v>
      </c>
      <c r="K261" s="301" t="s">
        <v>295</v>
      </c>
      <c r="L261" s="301" t="s">
        <v>296</v>
      </c>
      <c r="M261" s="301"/>
    </row>
    <row r="262" spans="1:13">
      <c r="A262" s="301" t="s">
        <v>298</v>
      </c>
      <c r="B262" s="310">
        <v>75</v>
      </c>
      <c r="C262" s="301">
        <v>1780</v>
      </c>
      <c r="D262" s="301"/>
      <c r="E262" s="302">
        <v>0</v>
      </c>
      <c r="F262" s="302">
        <v>0</v>
      </c>
      <c r="G262" s="301">
        <v>43.1</v>
      </c>
      <c r="H262" s="301">
        <v>71.2</v>
      </c>
      <c r="I262" s="306"/>
      <c r="J262" s="300">
        <f t="shared" si="7"/>
        <v>0.77033065236818588</v>
      </c>
      <c r="K262" s="301" t="s">
        <v>295</v>
      </c>
      <c r="L262" s="301" t="s">
        <v>296</v>
      </c>
      <c r="M262" s="301"/>
    </row>
    <row r="263" spans="1:13">
      <c r="A263" s="301" t="s">
        <v>294</v>
      </c>
      <c r="B263" s="310">
        <v>150</v>
      </c>
      <c r="C263" s="301"/>
      <c r="D263" s="301"/>
      <c r="E263" s="302">
        <v>476</v>
      </c>
      <c r="F263" s="302">
        <v>159.33333333333334</v>
      </c>
      <c r="G263" s="301">
        <v>120</v>
      </c>
      <c r="H263" s="301">
        <v>39.1</v>
      </c>
      <c r="I263" s="306"/>
      <c r="J263" s="300">
        <f t="shared" si="7"/>
        <v>1.0723860589812333</v>
      </c>
      <c r="K263" s="301" t="s">
        <v>295</v>
      </c>
      <c r="L263" s="301" t="s">
        <v>296</v>
      </c>
      <c r="M263" s="301"/>
    </row>
    <row r="264" spans="1:13">
      <c r="A264" s="301" t="s">
        <v>294</v>
      </c>
      <c r="B264" s="310">
        <v>125</v>
      </c>
      <c r="C264" s="301">
        <v>1760</v>
      </c>
      <c r="D264" s="301"/>
      <c r="E264" s="302">
        <v>474.66666666666669</v>
      </c>
      <c r="F264" s="302">
        <v>160.23333333333335</v>
      </c>
      <c r="G264" s="301">
        <v>112.4</v>
      </c>
      <c r="H264" s="301">
        <v>66.099999999999994</v>
      </c>
      <c r="I264" s="306"/>
      <c r="J264" s="300">
        <f t="shared" si="7"/>
        <v>1.2053619302949061</v>
      </c>
      <c r="K264" s="301" t="s">
        <v>295</v>
      </c>
      <c r="L264" s="301" t="s">
        <v>296</v>
      </c>
      <c r="M264" s="301"/>
    </row>
    <row r="265" spans="1:13">
      <c r="A265" s="301" t="s">
        <v>298</v>
      </c>
      <c r="B265" s="310">
        <v>60</v>
      </c>
      <c r="C265" s="301">
        <v>1750</v>
      </c>
      <c r="D265" s="301"/>
      <c r="E265" s="302">
        <v>477.66666666666669</v>
      </c>
      <c r="F265" s="302">
        <v>73</v>
      </c>
      <c r="G265" s="301">
        <v>57.4</v>
      </c>
      <c r="H265" s="301">
        <v>78.099999999999994</v>
      </c>
      <c r="I265" s="306"/>
      <c r="J265" s="300">
        <f t="shared" si="7"/>
        <v>1.2823949955317249</v>
      </c>
      <c r="K265" s="301" t="s">
        <v>295</v>
      </c>
      <c r="L265" s="301" t="s">
        <v>296</v>
      </c>
      <c r="M265" s="301"/>
    </row>
    <row r="266" spans="1:13">
      <c r="A266" s="301" t="s">
        <v>294</v>
      </c>
      <c r="B266" s="310">
        <v>50</v>
      </c>
      <c r="C266" s="301"/>
      <c r="D266" s="301"/>
      <c r="E266" s="302">
        <v>0</v>
      </c>
      <c r="F266" s="302">
        <v>0</v>
      </c>
      <c r="G266" s="301">
        <v>28.2</v>
      </c>
      <c r="H266" s="301">
        <v>72.099999999999994</v>
      </c>
      <c r="I266" s="306"/>
      <c r="J266" s="300">
        <f t="shared" si="7"/>
        <v>0.7560321715817695</v>
      </c>
      <c r="K266" s="301" t="s">
        <v>295</v>
      </c>
      <c r="L266" s="301" t="s">
        <v>296</v>
      </c>
      <c r="M266" s="301"/>
    </row>
    <row r="267" spans="1:13">
      <c r="A267" s="301" t="s">
        <v>298</v>
      </c>
      <c r="B267" s="310">
        <v>30</v>
      </c>
      <c r="C267" s="301">
        <v>3600</v>
      </c>
      <c r="D267" s="301"/>
      <c r="E267" s="302">
        <v>475.33333333333331</v>
      </c>
      <c r="F267" s="302">
        <v>33.533333333333339</v>
      </c>
      <c r="G267" s="301">
        <v>25.7</v>
      </c>
      <c r="H267" s="301">
        <v>58.2</v>
      </c>
      <c r="I267" s="306"/>
      <c r="J267" s="300">
        <f t="shared" si="7"/>
        <v>1.1483467381590706</v>
      </c>
      <c r="K267" s="301" t="s">
        <v>295</v>
      </c>
      <c r="L267" s="301" t="s">
        <v>296</v>
      </c>
      <c r="M267" s="301"/>
    </row>
    <row r="268" spans="1:13">
      <c r="A268" s="301" t="s">
        <v>298</v>
      </c>
      <c r="B268" s="310">
        <v>60</v>
      </c>
      <c r="C268" s="301">
        <v>1750</v>
      </c>
      <c r="D268" s="301"/>
      <c r="E268" s="302">
        <v>0</v>
      </c>
      <c r="F268" s="302">
        <v>0</v>
      </c>
      <c r="G268" s="301">
        <v>35.4</v>
      </c>
      <c r="H268" s="301">
        <v>64</v>
      </c>
      <c r="I268" s="306"/>
      <c r="J268" s="300">
        <f t="shared" si="7"/>
        <v>0.79088471849865949</v>
      </c>
      <c r="K268" s="301" t="s">
        <v>295</v>
      </c>
      <c r="L268" s="301" t="s">
        <v>296</v>
      </c>
      <c r="M268" s="301"/>
    </row>
    <row r="269" spans="1:13">
      <c r="A269" s="301" t="s">
        <v>294</v>
      </c>
      <c r="B269" s="310">
        <v>450</v>
      </c>
      <c r="C269" s="301">
        <v>1770</v>
      </c>
      <c r="D269" s="301"/>
      <c r="E269" s="302">
        <v>0</v>
      </c>
      <c r="F269" s="302">
        <v>0</v>
      </c>
      <c r="G269" s="301">
        <v>398.5</v>
      </c>
      <c r="H269" s="301">
        <v>62.6</v>
      </c>
      <c r="I269" s="306"/>
      <c r="J269" s="300">
        <f t="shared" si="7"/>
        <v>1.1870717902889485</v>
      </c>
      <c r="K269" s="301" t="s">
        <v>295</v>
      </c>
      <c r="L269" s="301" t="s">
        <v>296</v>
      </c>
      <c r="M269" s="301"/>
    </row>
    <row r="270" spans="1:13">
      <c r="A270" s="301" t="s">
        <v>298</v>
      </c>
      <c r="B270" s="310">
        <v>75</v>
      </c>
      <c r="C270" s="301">
        <v>1780</v>
      </c>
      <c r="D270" s="301"/>
      <c r="E270" s="302">
        <v>0</v>
      </c>
      <c r="F270" s="302">
        <v>0</v>
      </c>
      <c r="G270" s="301">
        <v>66</v>
      </c>
      <c r="H270" s="301">
        <v>64.5</v>
      </c>
      <c r="I270" s="306"/>
      <c r="J270" s="300">
        <f t="shared" si="7"/>
        <v>1.1796246648793565</v>
      </c>
      <c r="K270" s="301" t="s">
        <v>295</v>
      </c>
      <c r="L270" s="301" t="s">
        <v>296</v>
      </c>
      <c r="M270" s="301"/>
    </row>
    <row r="271" spans="1:13">
      <c r="A271" s="301" t="s">
        <v>298</v>
      </c>
      <c r="B271" s="310">
        <v>30</v>
      </c>
      <c r="C271" s="301">
        <v>3550</v>
      </c>
      <c r="D271" s="301"/>
      <c r="E271" s="302">
        <v>475.33333333333331</v>
      </c>
      <c r="F271" s="302">
        <v>26.333333333333332</v>
      </c>
      <c r="G271" s="301">
        <v>21</v>
      </c>
      <c r="H271" s="301">
        <v>35.299999999999997</v>
      </c>
      <c r="I271" s="306"/>
      <c r="J271" s="300">
        <f t="shared" si="7"/>
        <v>0.93833780160857916</v>
      </c>
      <c r="K271" s="301" t="s">
        <v>295</v>
      </c>
      <c r="L271" s="301" t="s">
        <v>296</v>
      </c>
      <c r="M271" s="301"/>
    </row>
    <row r="272" spans="1:13">
      <c r="A272" s="301" t="s">
        <v>298</v>
      </c>
      <c r="B272" s="310">
        <v>40</v>
      </c>
      <c r="C272" s="301">
        <v>1750</v>
      </c>
      <c r="D272" s="301"/>
      <c r="E272" s="302">
        <v>476.33333333333331</v>
      </c>
      <c r="F272" s="302">
        <v>35.666666666666664</v>
      </c>
      <c r="G272" s="301">
        <v>28.3</v>
      </c>
      <c r="H272" s="301">
        <v>52.8</v>
      </c>
      <c r="I272" s="306"/>
      <c r="J272" s="300">
        <f t="shared" si="7"/>
        <v>0.94839142091152817</v>
      </c>
      <c r="K272" s="301" t="s">
        <v>295</v>
      </c>
      <c r="L272" s="301" t="s">
        <v>296</v>
      </c>
      <c r="M272" s="301"/>
    </row>
    <row r="273" spans="1:13">
      <c r="A273" s="301" t="s">
        <v>298</v>
      </c>
      <c r="B273" s="310">
        <v>30</v>
      </c>
      <c r="C273" s="301">
        <v>3550</v>
      </c>
      <c r="D273" s="301"/>
      <c r="E273" s="302">
        <v>0</v>
      </c>
      <c r="F273" s="302">
        <v>0</v>
      </c>
      <c r="G273" s="301">
        <v>0</v>
      </c>
      <c r="H273" s="301">
        <v>0</v>
      </c>
      <c r="I273" s="306"/>
      <c r="J273" s="300"/>
      <c r="K273" s="301" t="s">
        <v>295</v>
      </c>
      <c r="L273" s="301" t="s">
        <v>296</v>
      </c>
      <c r="M273" s="301"/>
    </row>
    <row r="274" spans="1:13">
      <c r="A274" s="301" t="s">
        <v>298</v>
      </c>
      <c r="B274" s="310">
        <v>50</v>
      </c>
      <c r="C274" s="301">
        <v>1775</v>
      </c>
      <c r="D274" s="301"/>
      <c r="E274" s="302">
        <v>0</v>
      </c>
      <c r="F274" s="302">
        <v>0</v>
      </c>
      <c r="G274" s="301">
        <v>35.299999999999997</v>
      </c>
      <c r="H274" s="301">
        <v>75.099999999999994</v>
      </c>
      <c r="I274" s="306"/>
      <c r="J274" s="300">
        <f t="shared" ref="J274:J337" si="8">G274/(B274*0.746)</f>
        <v>0.9463806970509383</v>
      </c>
      <c r="K274" s="301" t="s">
        <v>295</v>
      </c>
      <c r="L274" s="301" t="s">
        <v>296</v>
      </c>
      <c r="M274" s="301"/>
    </row>
    <row r="275" spans="1:13">
      <c r="A275" s="301" t="s">
        <v>297</v>
      </c>
      <c r="B275" s="310">
        <v>1025</v>
      </c>
      <c r="C275" s="301">
        <v>865</v>
      </c>
      <c r="D275" s="301"/>
      <c r="E275" s="302">
        <v>780</v>
      </c>
      <c r="F275" s="302">
        <v>88.433333333333337</v>
      </c>
      <c r="G275" s="301">
        <v>967.2</v>
      </c>
      <c r="H275" s="301">
        <v>68.900000000000006</v>
      </c>
      <c r="I275" s="306"/>
      <c r="J275" s="300">
        <f t="shared" si="8"/>
        <v>1.2648924344471328</v>
      </c>
      <c r="K275" s="301" t="s">
        <v>295</v>
      </c>
      <c r="L275" s="301" t="s">
        <v>296</v>
      </c>
      <c r="M275" s="301"/>
    </row>
    <row r="276" spans="1:13">
      <c r="A276" s="301" t="s">
        <v>297</v>
      </c>
      <c r="B276" s="310">
        <v>1025</v>
      </c>
      <c r="C276" s="301">
        <v>865</v>
      </c>
      <c r="D276" s="301"/>
      <c r="E276" s="302">
        <v>773.33333333333337</v>
      </c>
      <c r="F276" s="302">
        <v>94.266666666666666</v>
      </c>
      <c r="G276" s="301">
        <v>1023.4</v>
      </c>
      <c r="H276" s="301">
        <v>65.900000000000006</v>
      </c>
      <c r="I276" s="306"/>
      <c r="J276" s="300">
        <f t="shared" si="8"/>
        <v>1.3383901131236513</v>
      </c>
      <c r="K276" s="301" t="s">
        <v>295</v>
      </c>
      <c r="L276" s="301" t="s">
        <v>296</v>
      </c>
      <c r="M276" s="301"/>
    </row>
    <row r="277" spans="1:13">
      <c r="A277" s="301" t="s">
        <v>297</v>
      </c>
      <c r="B277" s="310">
        <v>1025</v>
      </c>
      <c r="C277" s="301">
        <v>865</v>
      </c>
      <c r="D277" s="301"/>
      <c r="E277" s="302">
        <v>773.33333333333337</v>
      </c>
      <c r="F277" s="302">
        <v>74.166666666666671</v>
      </c>
      <c r="G277" s="301">
        <v>804.2</v>
      </c>
      <c r="H277" s="301">
        <v>70.400000000000006</v>
      </c>
      <c r="I277" s="306"/>
      <c r="J277" s="300">
        <f t="shared" si="8"/>
        <v>1.0517230105276925</v>
      </c>
      <c r="K277" s="301" t="s">
        <v>295</v>
      </c>
      <c r="L277" s="301" t="s">
        <v>296</v>
      </c>
      <c r="M277" s="301"/>
    </row>
    <row r="278" spans="1:13">
      <c r="A278" s="301" t="s">
        <v>297</v>
      </c>
      <c r="B278" s="310">
        <v>1025</v>
      </c>
      <c r="C278" s="301">
        <v>865</v>
      </c>
      <c r="D278" s="301"/>
      <c r="E278" s="302">
        <v>793.33333333333337</v>
      </c>
      <c r="F278" s="302">
        <v>68.333333333333329</v>
      </c>
      <c r="G278" s="301">
        <v>750.8</v>
      </c>
      <c r="H278" s="301">
        <v>70.099999999999994</v>
      </c>
      <c r="I278" s="306"/>
      <c r="J278" s="300">
        <f t="shared" si="8"/>
        <v>0.98188713790623161</v>
      </c>
      <c r="K278" s="301" t="s">
        <v>295</v>
      </c>
      <c r="L278" s="301" t="s">
        <v>296</v>
      </c>
      <c r="M278" s="301"/>
    </row>
    <row r="279" spans="1:13">
      <c r="A279" s="301" t="s">
        <v>297</v>
      </c>
      <c r="B279" s="310">
        <v>700</v>
      </c>
      <c r="C279" s="301">
        <v>700</v>
      </c>
      <c r="D279" s="301"/>
      <c r="E279" s="302">
        <v>773.33333333333337</v>
      </c>
      <c r="F279" s="302">
        <v>53</v>
      </c>
      <c r="G279" s="301">
        <v>575.70000000000005</v>
      </c>
      <c r="H279" s="301">
        <v>76.900000000000006</v>
      </c>
      <c r="I279" s="306"/>
      <c r="J279" s="300">
        <f t="shared" si="8"/>
        <v>1.1024511681348141</v>
      </c>
      <c r="K279" s="301" t="s">
        <v>295</v>
      </c>
      <c r="L279" s="301" t="s">
        <v>296</v>
      </c>
      <c r="M279" s="301"/>
    </row>
    <row r="280" spans="1:13">
      <c r="A280" s="301" t="s">
        <v>297</v>
      </c>
      <c r="B280" s="310">
        <v>700</v>
      </c>
      <c r="C280" s="301">
        <v>700</v>
      </c>
      <c r="D280" s="301"/>
      <c r="E280" s="302">
        <v>773.33333333333337</v>
      </c>
      <c r="F280" s="302">
        <v>55.5</v>
      </c>
      <c r="G280" s="301">
        <v>575</v>
      </c>
      <c r="H280" s="301">
        <v>75.7</v>
      </c>
      <c r="I280" s="306"/>
      <c r="J280" s="300">
        <f t="shared" si="8"/>
        <v>1.1011106855610877</v>
      </c>
      <c r="K280" s="301" t="s">
        <v>295</v>
      </c>
      <c r="L280" s="301" t="s">
        <v>296</v>
      </c>
      <c r="M280" s="301"/>
    </row>
    <row r="281" spans="1:13">
      <c r="A281" s="301" t="s">
        <v>297</v>
      </c>
      <c r="B281" s="310">
        <v>600</v>
      </c>
      <c r="C281" s="301">
        <v>885</v>
      </c>
      <c r="D281" s="301"/>
      <c r="E281" s="302">
        <v>766.66666666666663</v>
      </c>
      <c r="F281" s="302">
        <v>51.833333333333336</v>
      </c>
      <c r="G281" s="301">
        <v>507.7</v>
      </c>
      <c r="H281" s="301">
        <v>73.900000000000006</v>
      </c>
      <c r="I281" s="306"/>
      <c r="J281" s="300">
        <f t="shared" si="8"/>
        <v>1.1342716711349419</v>
      </c>
      <c r="K281" s="301" t="s">
        <v>295</v>
      </c>
      <c r="L281" s="301" t="s">
        <v>296</v>
      </c>
      <c r="M281" s="301"/>
    </row>
    <row r="282" spans="1:13">
      <c r="A282" s="301" t="s">
        <v>297</v>
      </c>
      <c r="B282" s="310">
        <v>350</v>
      </c>
      <c r="C282" s="301"/>
      <c r="D282" s="301"/>
      <c r="E282" s="302">
        <v>773.33333333333337</v>
      </c>
      <c r="F282" s="302">
        <v>29.933333333333334</v>
      </c>
      <c r="G282" s="301">
        <v>310.39999999999998</v>
      </c>
      <c r="H282" s="301">
        <v>72.7</v>
      </c>
      <c r="I282" s="306"/>
      <c r="J282" s="300">
        <f t="shared" si="8"/>
        <v>1.1888165453849098</v>
      </c>
      <c r="K282" s="301" t="s">
        <v>295</v>
      </c>
      <c r="L282" s="301" t="s">
        <v>296</v>
      </c>
      <c r="M282" s="301"/>
    </row>
    <row r="283" spans="1:13">
      <c r="A283" s="301" t="s">
        <v>297</v>
      </c>
      <c r="B283" s="310">
        <v>350</v>
      </c>
      <c r="C283" s="301"/>
      <c r="D283" s="301"/>
      <c r="E283" s="302">
        <v>773.33333333333337</v>
      </c>
      <c r="F283" s="302">
        <v>28.5</v>
      </c>
      <c r="G283" s="301">
        <v>302.3</v>
      </c>
      <c r="H283" s="301">
        <v>63</v>
      </c>
      <c r="I283" s="306"/>
      <c r="J283" s="300">
        <f t="shared" si="8"/>
        <v>1.157793948678667</v>
      </c>
      <c r="K283" s="301" t="s">
        <v>295</v>
      </c>
      <c r="L283" s="301" t="s">
        <v>296</v>
      </c>
      <c r="M283" s="301"/>
    </row>
    <row r="284" spans="1:13">
      <c r="A284" s="301" t="s">
        <v>297</v>
      </c>
      <c r="B284" s="310">
        <v>500</v>
      </c>
      <c r="C284" s="301">
        <v>590</v>
      </c>
      <c r="D284" s="301"/>
      <c r="E284" s="302">
        <v>783.33333333333337</v>
      </c>
      <c r="F284" s="302">
        <v>39</v>
      </c>
      <c r="G284" s="301">
        <v>412.9</v>
      </c>
      <c r="H284" s="301">
        <v>76.2</v>
      </c>
      <c r="I284" s="306"/>
      <c r="J284" s="300">
        <f t="shared" si="8"/>
        <v>1.1069705093833779</v>
      </c>
      <c r="K284" s="301" t="s">
        <v>295</v>
      </c>
      <c r="L284" s="301" t="s">
        <v>296</v>
      </c>
      <c r="M284" s="301"/>
    </row>
    <row r="285" spans="1:13">
      <c r="A285" s="301" t="s">
        <v>297</v>
      </c>
      <c r="B285" s="310">
        <v>500</v>
      </c>
      <c r="C285" s="301">
        <v>590</v>
      </c>
      <c r="D285" s="301"/>
      <c r="E285" s="302">
        <v>783.33333333333337</v>
      </c>
      <c r="F285" s="302">
        <v>35.833333333333336</v>
      </c>
      <c r="G285" s="301">
        <v>379.4</v>
      </c>
      <c r="H285" s="301">
        <v>78</v>
      </c>
      <c r="I285" s="306"/>
      <c r="J285" s="300">
        <f t="shared" si="8"/>
        <v>1.0171581769436997</v>
      </c>
      <c r="K285" s="301" t="s">
        <v>295</v>
      </c>
      <c r="L285" s="301" t="s">
        <v>296</v>
      </c>
      <c r="M285" s="301"/>
    </row>
    <row r="286" spans="1:13">
      <c r="A286" s="301" t="s">
        <v>297</v>
      </c>
      <c r="B286" s="310">
        <v>600</v>
      </c>
      <c r="C286" s="301">
        <v>590</v>
      </c>
      <c r="D286" s="301"/>
      <c r="E286" s="302">
        <v>783.33333333333337</v>
      </c>
      <c r="F286" s="302">
        <v>35.4</v>
      </c>
      <c r="G286" s="301">
        <v>432.3</v>
      </c>
      <c r="H286" s="301">
        <v>73.599999999999994</v>
      </c>
      <c r="I286" s="306"/>
      <c r="J286" s="300">
        <f t="shared" si="8"/>
        <v>0.96581769436997311</v>
      </c>
      <c r="K286" s="301" t="s">
        <v>295</v>
      </c>
      <c r="L286" s="301" t="s">
        <v>296</v>
      </c>
      <c r="M286" s="301"/>
    </row>
    <row r="287" spans="1:13">
      <c r="A287" s="301" t="s">
        <v>299</v>
      </c>
      <c r="B287" s="310">
        <v>200</v>
      </c>
      <c r="C287" s="301">
        <v>1200</v>
      </c>
      <c r="D287" s="301"/>
      <c r="E287" s="302">
        <v>783.33333333333337</v>
      </c>
      <c r="F287" s="302">
        <v>46.666666666666664</v>
      </c>
      <c r="G287" s="301">
        <v>161.5</v>
      </c>
      <c r="H287" s="301">
        <v>52.5</v>
      </c>
      <c r="I287" s="306"/>
      <c r="J287" s="300">
        <f t="shared" si="8"/>
        <v>1.0824396782841823</v>
      </c>
      <c r="K287" s="301" t="s">
        <v>295</v>
      </c>
      <c r="L287" s="301" t="s">
        <v>296</v>
      </c>
      <c r="M287" s="301"/>
    </row>
    <row r="288" spans="1:13">
      <c r="A288" s="301" t="s">
        <v>294</v>
      </c>
      <c r="B288" s="310">
        <v>100</v>
      </c>
      <c r="C288" s="301">
        <v>900</v>
      </c>
      <c r="D288" s="301"/>
      <c r="E288" s="302">
        <v>2350</v>
      </c>
      <c r="F288" s="302">
        <v>18.233333333333334</v>
      </c>
      <c r="G288" s="301">
        <v>94.6</v>
      </c>
      <c r="H288" s="301">
        <v>45.7</v>
      </c>
      <c r="I288" s="306"/>
      <c r="J288" s="300">
        <f t="shared" si="8"/>
        <v>1.2680965147453083</v>
      </c>
      <c r="K288" s="301" t="s">
        <v>295</v>
      </c>
      <c r="L288" s="301" t="s">
        <v>296</v>
      </c>
      <c r="M288" s="301"/>
    </row>
    <row r="289" spans="1:13">
      <c r="A289" s="301" t="s">
        <v>294</v>
      </c>
      <c r="B289" s="310">
        <v>75</v>
      </c>
      <c r="C289" s="301">
        <v>1200</v>
      </c>
      <c r="D289" s="301"/>
      <c r="E289" s="302">
        <v>783.33333333333337</v>
      </c>
      <c r="F289" s="302">
        <v>17.5</v>
      </c>
      <c r="G289" s="301">
        <v>60.5</v>
      </c>
      <c r="H289" s="301">
        <v>45.9</v>
      </c>
      <c r="I289" s="306"/>
      <c r="J289" s="300">
        <f t="shared" si="8"/>
        <v>1.0813226094727435</v>
      </c>
      <c r="K289" s="301" t="s">
        <v>295</v>
      </c>
      <c r="L289" s="301" t="s">
        <v>296</v>
      </c>
      <c r="M289" s="301"/>
    </row>
    <row r="290" spans="1:13">
      <c r="A290" s="301" t="s">
        <v>298</v>
      </c>
      <c r="B290" s="310">
        <v>60</v>
      </c>
      <c r="C290" s="301">
        <v>1780</v>
      </c>
      <c r="D290" s="301"/>
      <c r="E290" s="302">
        <v>330</v>
      </c>
      <c r="F290" s="302">
        <v>48.99666666666667</v>
      </c>
      <c r="G290" s="301">
        <v>49.2</v>
      </c>
      <c r="H290" s="301">
        <v>80.900000000000006</v>
      </c>
      <c r="I290" s="306"/>
      <c r="J290" s="300">
        <f t="shared" si="8"/>
        <v>1.0991957104557641</v>
      </c>
      <c r="K290" s="301" t="s">
        <v>295</v>
      </c>
      <c r="L290" s="301" t="s">
        <v>296</v>
      </c>
      <c r="M290" s="301"/>
    </row>
    <row r="291" spans="1:13">
      <c r="A291" s="301" t="s">
        <v>297</v>
      </c>
      <c r="B291" s="310">
        <v>350</v>
      </c>
      <c r="C291" s="301"/>
      <c r="D291" s="301"/>
      <c r="E291" s="302">
        <v>0</v>
      </c>
      <c r="F291" s="302">
        <v>0</v>
      </c>
      <c r="G291" s="301">
        <v>271.2</v>
      </c>
      <c r="H291" s="301">
        <v>67.7</v>
      </c>
      <c r="I291" s="306"/>
      <c r="J291" s="300">
        <f t="shared" si="8"/>
        <v>1.0386824971275372</v>
      </c>
      <c r="K291" s="301" t="s">
        <v>295</v>
      </c>
      <c r="L291" s="301" t="s">
        <v>296</v>
      </c>
      <c r="M291" s="301"/>
    </row>
    <row r="292" spans="1:13">
      <c r="A292" s="301" t="s">
        <v>297</v>
      </c>
      <c r="B292" s="310">
        <v>350</v>
      </c>
      <c r="C292" s="301"/>
      <c r="D292" s="301"/>
      <c r="E292" s="302">
        <v>0</v>
      </c>
      <c r="F292" s="302">
        <v>0</v>
      </c>
      <c r="G292" s="301">
        <v>286.7</v>
      </c>
      <c r="H292" s="301">
        <v>72.3</v>
      </c>
      <c r="I292" s="306"/>
      <c r="J292" s="300">
        <f t="shared" si="8"/>
        <v>1.0980467253925699</v>
      </c>
      <c r="K292" s="301" t="s">
        <v>295</v>
      </c>
      <c r="L292" s="301" t="s">
        <v>296</v>
      </c>
      <c r="M292" s="301"/>
    </row>
    <row r="293" spans="1:13">
      <c r="A293" s="301" t="s">
        <v>297</v>
      </c>
      <c r="B293" s="310">
        <v>350</v>
      </c>
      <c r="C293" s="301"/>
      <c r="D293" s="301"/>
      <c r="E293" s="302">
        <v>0</v>
      </c>
      <c r="F293" s="302">
        <v>0</v>
      </c>
      <c r="G293" s="301">
        <v>259.2</v>
      </c>
      <c r="H293" s="301">
        <v>72.3</v>
      </c>
      <c r="I293" s="306"/>
      <c r="J293" s="300">
        <f t="shared" si="8"/>
        <v>0.99272309459977004</v>
      </c>
      <c r="K293" s="301" t="s">
        <v>295</v>
      </c>
      <c r="L293" s="301" t="s">
        <v>296</v>
      </c>
      <c r="M293" s="301"/>
    </row>
    <row r="294" spans="1:13">
      <c r="A294" s="301" t="s">
        <v>297</v>
      </c>
      <c r="B294" s="310">
        <v>200</v>
      </c>
      <c r="C294" s="301">
        <v>700</v>
      </c>
      <c r="D294" s="301"/>
      <c r="E294" s="302">
        <v>783.33333333333337</v>
      </c>
      <c r="F294" s="302">
        <v>47.333333333333336</v>
      </c>
      <c r="G294" s="301">
        <v>163.69999999999999</v>
      </c>
      <c r="H294" s="301">
        <v>64.099999999999994</v>
      </c>
      <c r="I294" s="306"/>
      <c r="J294" s="300">
        <f t="shared" si="8"/>
        <v>1.0971849865951742</v>
      </c>
      <c r="K294" s="301" t="s">
        <v>295</v>
      </c>
      <c r="L294" s="301" t="s">
        <v>296</v>
      </c>
      <c r="M294" s="301"/>
    </row>
    <row r="295" spans="1:13">
      <c r="A295" s="301" t="s">
        <v>294</v>
      </c>
      <c r="B295" s="310">
        <v>125</v>
      </c>
      <c r="C295" s="301"/>
      <c r="D295" s="301"/>
      <c r="E295" s="302">
        <v>2350</v>
      </c>
      <c r="F295" s="302">
        <v>34.766666666666666</v>
      </c>
      <c r="G295" s="301">
        <v>120.3</v>
      </c>
      <c r="H295" s="301">
        <v>62.4</v>
      </c>
      <c r="I295" s="306"/>
      <c r="J295" s="300">
        <f t="shared" si="8"/>
        <v>1.2900804289544237</v>
      </c>
      <c r="K295" s="301" t="s">
        <v>295</v>
      </c>
      <c r="L295" s="301" t="s">
        <v>296</v>
      </c>
      <c r="M295" s="301"/>
    </row>
    <row r="296" spans="1:13">
      <c r="A296" s="301" t="s">
        <v>297</v>
      </c>
      <c r="B296" s="310">
        <v>150</v>
      </c>
      <c r="C296" s="301">
        <v>870</v>
      </c>
      <c r="D296" s="301"/>
      <c r="E296" s="302">
        <v>783.33333333333337</v>
      </c>
      <c r="F296" s="302">
        <v>34</v>
      </c>
      <c r="G296" s="301">
        <v>115.6</v>
      </c>
      <c r="H296" s="301">
        <v>59.1</v>
      </c>
      <c r="I296" s="306"/>
      <c r="J296" s="300">
        <f t="shared" si="8"/>
        <v>1.033065236818588</v>
      </c>
      <c r="K296" s="301" t="s">
        <v>295</v>
      </c>
      <c r="L296" s="301" t="s">
        <v>296</v>
      </c>
      <c r="M296" s="301"/>
    </row>
    <row r="297" spans="1:13">
      <c r="A297" s="301" t="s">
        <v>297</v>
      </c>
      <c r="B297" s="310">
        <v>250</v>
      </c>
      <c r="C297" s="301">
        <v>695</v>
      </c>
      <c r="D297" s="301"/>
      <c r="E297" s="302">
        <v>783.33333333333337</v>
      </c>
      <c r="F297" s="302">
        <v>61.333333333333336</v>
      </c>
      <c r="G297" s="301">
        <v>211</v>
      </c>
      <c r="H297" s="301">
        <v>55.9</v>
      </c>
      <c r="I297" s="306"/>
      <c r="J297" s="300">
        <f t="shared" si="8"/>
        <v>1.1313672922252012</v>
      </c>
      <c r="K297" s="301" t="s">
        <v>295</v>
      </c>
      <c r="L297" s="301" t="s">
        <v>296</v>
      </c>
      <c r="M297" s="301"/>
    </row>
    <row r="298" spans="1:13">
      <c r="A298" s="301" t="s">
        <v>300</v>
      </c>
      <c r="B298" s="310">
        <v>100</v>
      </c>
      <c r="C298" s="301"/>
      <c r="D298" s="301"/>
      <c r="E298" s="302">
        <v>482</v>
      </c>
      <c r="F298" s="302">
        <v>127.8</v>
      </c>
      <c r="G298" s="301">
        <v>98.8</v>
      </c>
      <c r="H298" s="301">
        <v>49.7</v>
      </c>
      <c r="I298" s="306"/>
      <c r="J298" s="300">
        <f t="shared" si="8"/>
        <v>1.3243967828418231</v>
      </c>
      <c r="K298" s="301" t="s">
        <v>295</v>
      </c>
      <c r="L298" s="301" t="s">
        <v>296</v>
      </c>
      <c r="M298" s="301"/>
    </row>
    <row r="299" spans="1:13">
      <c r="A299" s="301" t="s">
        <v>300</v>
      </c>
      <c r="B299" s="310">
        <v>200</v>
      </c>
      <c r="C299" s="301"/>
      <c r="D299" s="301"/>
      <c r="E299" s="302">
        <v>481.33333333333331</v>
      </c>
      <c r="F299" s="302">
        <v>140.06666666666669</v>
      </c>
      <c r="G299" s="301">
        <v>104.4</v>
      </c>
      <c r="H299" s="301">
        <v>32.4</v>
      </c>
      <c r="I299" s="306"/>
      <c r="J299" s="300">
        <f t="shared" si="8"/>
        <v>0.69973190348525482</v>
      </c>
      <c r="K299" s="301" t="s">
        <v>295</v>
      </c>
      <c r="L299" s="301" t="s">
        <v>296</v>
      </c>
      <c r="M299" s="301"/>
    </row>
    <row r="300" spans="1:13">
      <c r="A300" s="301" t="s">
        <v>300</v>
      </c>
      <c r="B300" s="310">
        <v>100</v>
      </c>
      <c r="C300" s="301"/>
      <c r="D300" s="301"/>
      <c r="E300" s="302">
        <v>482.66666666666669</v>
      </c>
      <c r="F300" s="302">
        <v>98.8</v>
      </c>
      <c r="G300" s="301">
        <v>74.2</v>
      </c>
      <c r="H300" s="301">
        <v>35.9</v>
      </c>
      <c r="I300" s="306"/>
      <c r="J300" s="300">
        <f t="shared" si="8"/>
        <v>0.99463806970509394</v>
      </c>
      <c r="K300" s="301" t="s">
        <v>295</v>
      </c>
      <c r="L300" s="301" t="s">
        <v>296</v>
      </c>
      <c r="M300" s="301"/>
    </row>
    <row r="301" spans="1:13">
      <c r="A301" s="301" t="s">
        <v>300</v>
      </c>
      <c r="B301" s="310">
        <v>50</v>
      </c>
      <c r="C301" s="301"/>
      <c r="D301" s="301"/>
      <c r="E301" s="302">
        <v>483.66666666666669</v>
      </c>
      <c r="F301" s="302">
        <v>55.4</v>
      </c>
      <c r="G301" s="301">
        <v>50.3</v>
      </c>
      <c r="H301" s="301">
        <v>34.4</v>
      </c>
      <c r="I301" s="306"/>
      <c r="J301" s="300">
        <f t="shared" si="8"/>
        <v>1.3485254691689008</v>
      </c>
      <c r="K301" s="301" t="s">
        <v>295</v>
      </c>
      <c r="L301" s="301" t="s">
        <v>296</v>
      </c>
      <c r="M301" s="301"/>
    </row>
    <row r="302" spans="1:13">
      <c r="A302" s="301" t="s">
        <v>300</v>
      </c>
      <c r="B302" s="310">
        <v>75</v>
      </c>
      <c r="C302" s="301">
        <v>1200</v>
      </c>
      <c r="D302" s="301"/>
      <c r="E302" s="302">
        <v>486.66666666666669</v>
      </c>
      <c r="F302" s="302">
        <v>78.5</v>
      </c>
      <c r="G302" s="301">
        <v>56.3</v>
      </c>
      <c r="H302" s="301">
        <v>45.8</v>
      </c>
      <c r="I302" s="306"/>
      <c r="J302" s="300">
        <f t="shared" si="8"/>
        <v>1.0062555853440571</v>
      </c>
      <c r="K302" s="301" t="s">
        <v>295</v>
      </c>
      <c r="L302" s="301" t="s">
        <v>296</v>
      </c>
      <c r="M302" s="301"/>
    </row>
    <row r="303" spans="1:13">
      <c r="A303" s="301" t="s">
        <v>300</v>
      </c>
      <c r="B303" s="310">
        <v>100</v>
      </c>
      <c r="C303" s="301">
        <v>1170</v>
      </c>
      <c r="D303" s="301"/>
      <c r="E303" s="302">
        <v>486.33333333333331</v>
      </c>
      <c r="F303" s="302">
        <v>115.56666666666666</v>
      </c>
      <c r="G303" s="301">
        <v>82.1</v>
      </c>
      <c r="H303" s="301">
        <v>45</v>
      </c>
      <c r="I303" s="306"/>
      <c r="J303" s="300">
        <f t="shared" si="8"/>
        <v>1.1005361930294906</v>
      </c>
      <c r="K303" s="301" t="s">
        <v>295</v>
      </c>
      <c r="L303" s="301" t="s">
        <v>296</v>
      </c>
      <c r="M303" s="301"/>
    </row>
    <row r="304" spans="1:13">
      <c r="A304" s="301" t="s">
        <v>298</v>
      </c>
      <c r="B304" s="310">
        <v>1500</v>
      </c>
      <c r="C304" s="301">
        <v>400</v>
      </c>
      <c r="D304" s="301"/>
      <c r="E304" s="302">
        <v>786.66666666666663</v>
      </c>
      <c r="F304" s="302">
        <v>266.33333333333331</v>
      </c>
      <c r="G304" s="301">
        <v>1088.7</v>
      </c>
      <c r="H304" s="301">
        <v>86.7</v>
      </c>
      <c r="I304" s="306"/>
      <c r="J304" s="300">
        <f t="shared" si="8"/>
        <v>0.97292225201072391</v>
      </c>
      <c r="K304" s="301" t="s">
        <v>295</v>
      </c>
      <c r="L304" s="301" t="s">
        <v>296</v>
      </c>
      <c r="M304" s="301"/>
    </row>
    <row r="305" spans="1:13">
      <c r="A305" s="301" t="s">
        <v>298</v>
      </c>
      <c r="B305" s="310">
        <v>1500</v>
      </c>
      <c r="C305" s="301">
        <v>400</v>
      </c>
      <c r="D305" s="301"/>
      <c r="E305" s="302">
        <v>786.66666666666663</v>
      </c>
      <c r="F305" s="302">
        <v>249.33333333333334</v>
      </c>
      <c r="G305" s="301">
        <v>1019.2</v>
      </c>
      <c r="H305" s="301">
        <v>88.9</v>
      </c>
      <c r="I305" s="306"/>
      <c r="J305" s="300">
        <f t="shared" si="8"/>
        <v>0.91081322609472748</v>
      </c>
      <c r="K305" s="301" t="s">
        <v>295</v>
      </c>
      <c r="L305" s="301" t="s">
        <v>296</v>
      </c>
      <c r="M305" s="301"/>
    </row>
    <row r="306" spans="1:13">
      <c r="A306" s="301" t="s">
        <v>298</v>
      </c>
      <c r="B306" s="310">
        <v>1500</v>
      </c>
      <c r="C306" s="301">
        <v>400</v>
      </c>
      <c r="D306" s="301"/>
      <c r="E306" s="302">
        <v>786.66666666666663</v>
      </c>
      <c r="F306" s="302">
        <v>257.66666666666669</v>
      </c>
      <c r="G306" s="301">
        <v>1053.2</v>
      </c>
      <c r="H306" s="301">
        <v>88.8</v>
      </c>
      <c r="I306" s="306"/>
      <c r="J306" s="300">
        <f t="shared" si="8"/>
        <v>0.94119749776586237</v>
      </c>
      <c r="K306" s="301" t="s">
        <v>295</v>
      </c>
      <c r="L306" s="301" t="s">
        <v>296</v>
      </c>
      <c r="M306" s="301"/>
    </row>
    <row r="307" spans="1:13">
      <c r="A307" s="301" t="s">
        <v>298</v>
      </c>
      <c r="B307" s="310">
        <v>1500</v>
      </c>
      <c r="C307" s="301">
        <v>400</v>
      </c>
      <c r="D307" s="301"/>
      <c r="E307" s="302">
        <v>786.66666666666663</v>
      </c>
      <c r="F307" s="302">
        <v>269.33333333333331</v>
      </c>
      <c r="G307" s="301">
        <v>1100.9000000000001</v>
      </c>
      <c r="H307" s="301">
        <v>83.4</v>
      </c>
      <c r="I307" s="306"/>
      <c r="J307" s="300">
        <f t="shared" si="8"/>
        <v>0.98382484361036648</v>
      </c>
      <c r="K307" s="301" t="s">
        <v>295</v>
      </c>
      <c r="L307" s="301" t="s">
        <v>296</v>
      </c>
      <c r="M307" s="301"/>
    </row>
    <row r="308" spans="1:13">
      <c r="A308" s="301" t="s">
        <v>298</v>
      </c>
      <c r="B308" s="310">
        <v>1250</v>
      </c>
      <c r="C308" s="301">
        <v>400</v>
      </c>
      <c r="D308" s="301"/>
      <c r="E308" s="302">
        <v>786.66666666666663</v>
      </c>
      <c r="F308" s="302">
        <v>193.33333333333334</v>
      </c>
      <c r="G308" s="301">
        <v>790.3</v>
      </c>
      <c r="H308" s="301">
        <v>84.5</v>
      </c>
      <c r="I308" s="306"/>
      <c r="J308" s="300">
        <f t="shared" si="8"/>
        <v>0.84750670241286863</v>
      </c>
      <c r="K308" s="301" t="s">
        <v>295</v>
      </c>
      <c r="L308" s="301" t="s">
        <v>296</v>
      </c>
      <c r="M308" s="301"/>
    </row>
    <row r="309" spans="1:13">
      <c r="A309" s="301" t="s">
        <v>300</v>
      </c>
      <c r="B309" s="310">
        <v>25</v>
      </c>
      <c r="C309" s="301">
        <v>0</v>
      </c>
      <c r="D309" s="301"/>
      <c r="E309" s="302">
        <v>485.33333333333331</v>
      </c>
      <c r="F309" s="302">
        <v>34.733333333333334</v>
      </c>
      <c r="G309" s="301">
        <v>26.5</v>
      </c>
      <c r="H309" s="301">
        <v>21.9</v>
      </c>
      <c r="I309" s="306"/>
      <c r="J309" s="300">
        <f t="shared" si="8"/>
        <v>1.4209115281501341</v>
      </c>
      <c r="K309" s="301" t="s">
        <v>295</v>
      </c>
      <c r="L309" s="301" t="s">
        <v>296</v>
      </c>
      <c r="M309" s="301"/>
    </row>
    <row r="310" spans="1:13">
      <c r="A310" s="301" t="s">
        <v>300</v>
      </c>
      <c r="B310" s="310">
        <v>15</v>
      </c>
      <c r="C310" s="301">
        <v>1180</v>
      </c>
      <c r="D310" s="301"/>
      <c r="E310" s="302">
        <v>240.66666666666666</v>
      </c>
      <c r="F310" s="302">
        <v>31.933333333333337</v>
      </c>
      <c r="G310" s="301">
        <v>10</v>
      </c>
      <c r="H310" s="301">
        <v>29.8</v>
      </c>
      <c r="I310" s="306"/>
      <c r="J310" s="300">
        <f t="shared" si="8"/>
        <v>0.89365504915102778</v>
      </c>
      <c r="K310" s="301" t="s">
        <v>295</v>
      </c>
      <c r="L310" s="301" t="s">
        <v>296</v>
      </c>
      <c r="M310" s="301"/>
    </row>
    <row r="311" spans="1:13">
      <c r="A311" s="301" t="s">
        <v>300</v>
      </c>
      <c r="B311" s="310">
        <v>7.5</v>
      </c>
      <c r="C311" s="301"/>
      <c r="D311" s="301"/>
      <c r="E311" s="302">
        <v>0</v>
      </c>
      <c r="F311" s="302">
        <v>0</v>
      </c>
      <c r="G311" s="301">
        <v>5.7</v>
      </c>
      <c r="H311" s="301">
        <v>36.200000000000003</v>
      </c>
      <c r="I311" s="306"/>
      <c r="J311" s="300">
        <f t="shared" si="8"/>
        <v>1.0187667560321716</v>
      </c>
      <c r="K311" s="301" t="s">
        <v>295</v>
      </c>
      <c r="L311" s="301" t="s">
        <v>296</v>
      </c>
      <c r="M311" s="301"/>
    </row>
    <row r="312" spans="1:13">
      <c r="A312" s="301" t="s">
        <v>298</v>
      </c>
      <c r="B312" s="310">
        <v>720</v>
      </c>
      <c r="C312" s="301"/>
      <c r="D312" s="301"/>
      <c r="E312" s="302">
        <v>2424.3333333333335</v>
      </c>
      <c r="F312" s="302">
        <v>168.86666666666665</v>
      </c>
      <c r="G312" s="301">
        <v>709.1</v>
      </c>
      <c r="H312" s="301">
        <v>86.3</v>
      </c>
      <c r="I312" s="306"/>
      <c r="J312" s="300">
        <f t="shared" si="8"/>
        <v>1.3201891569854036</v>
      </c>
      <c r="K312" s="301" t="s">
        <v>295</v>
      </c>
      <c r="L312" s="301" t="s">
        <v>296</v>
      </c>
      <c r="M312" s="301"/>
    </row>
    <row r="313" spans="1:13">
      <c r="A313" s="301" t="s">
        <v>298</v>
      </c>
      <c r="B313" s="310">
        <v>720</v>
      </c>
      <c r="C313" s="301"/>
      <c r="D313" s="301"/>
      <c r="E313" s="302">
        <v>2408</v>
      </c>
      <c r="F313" s="302">
        <v>159.76666666666665</v>
      </c>
      <c r="G313" s="301">
        <v>666.4</v>
      </c>
      <c r="H313" s="301">
        <v>87.4</v>
      </c>
      <c r="I313" s="306"/>
      <c r="J313" s="300">
        <f t="shared" si="8"/>
        <v>1.24069109323801</v>
      </c>
      <c r="K313" s="301" t="s">
        <v>295</v>
      </c>
      <c r="L313" s="301" t="s">
        <v>296</v>
      </c>
      <c r="M313" s="301"/>
    </row>
    <row r="314" spans="1:13">
      <c r="A314" s="301" t="s">
        <v>298</v>
      </c>
      <c r="B314" s="310">
        <v>720</v>
      </c>
      <c r="C314" s="301"/>
      <c r="D314" s="301"/>
      <c r="E314" s="302">
        <v>2411</v>
      </c>
      <c r="F314" s="302">
        <v>158.56666666666669</v>
      </c>
      <c r="G314" s="301">
        <v>662.2</v>
      </c>
      <c r="H314" s="301">
        <v>82.5</v>
      </c>
      <c r="I314" s="306"/>
      <c r="J314" s="300">
        <f t="shared" si="8"/>
        <v>1.2328716115579388</v>
      </c>
      <c r="K314" s="301" t="s">
        <v>295</v>
      </c>
      <c r="L314" s="301" t="s">
        <v>296</v>
      </c>
      <c r="M314" s="301"/>
    </row>
    <row r="315" spans="1:13">
      <c r="A315" s="301" t="s">
        <v>298</v>
      </c>
      <c r="B315" s="310">
        <v>720</v>
      </c>
      <c r="C315" s="301"/>
      <c r="D315" s="301"/>
      <c r="E315" s="302">
        <v>2413.3333333333335</v>
      </c>
      <c r="F315" s="302">
        <v>167</v>
      </c>
      <c r="G315" s="301">
        <v>698.1</v>
      </c>
      <c r="H315" s="301">
        <v>78.3</v>
      </c>
      <c r="I315" s="306"/>
      <c r="J315" s="300">
        <f t="shared" si="8"/>
        <v>1.299709562109026</v>
      </c>
      <c r="K315" s="301" t="s">
        <v>295</v>
      </c>
      <c r="L315" s="301" t="s">
        <v>296</v>
      </c>
      <c r="M315" s="301"/>
    </row>
    <row r="316" spans="1:13">
      <c r="A316" s="301" t="s">
        <v>298</v>
      </c>
      <c r="B316" s="310">
        <v>800</v>
      </c>
      <c r="C316" s="301">
        <v>300</v>
      </c>
      <c r="D316" s="301"/>
      <c r="E316" s="302">
        <v>2401.3333333333335</v>
      </c>
      <c r="F316" s="302">
        <v>185.16666666666666</v>
      </c>
      <c r="G316" s="301">
        <v>770.2</v>
      </c>
      <c r="H316" s="301">
        <v>77.400000000000006</v>
      </c>
      <c r="I316" s="306"/>
      <c r="J316" s="300">
        <f t="shared" si="8"/>
        <v>1.2905495978552282</v>
      </c>
      <c r="K316" s="301" t="s">
        <v>295</v>
      </c>
      <c r="L316" s="301" t="s">
        <v>296</v>
      </c>
      <c r="M316" s="301"/>
    </row>
    <row r="317" spans="1:13">
      <c r="A317" s="301" t="s">
        <v>298</v>
      </c>
      <c r="B317" s="310">
        <v>720</v>
      </c>
      <c r="C317" s="301"/>
      <c r="D317" s="301"/>
      <c r="E317" s="302">
        <v>2414.3333333333335</v>
      </c>
      <c r="F317" s="302">
        <v>164.63333333333333</v>
      </c>
      <c r="G317" s="301">
        <v>688.5</v>
      </c>
      <c r="H317" s="301">
        <v>81.3</v>
      </c>
      <c r="I317" s="306"/>
      <c r="J317" s="300">
        <f t="shared" si="8"/>
        <v>1.2818364611260054</v>
      </c>
      <c r="K317" s="301" t="s">
        <v>295</v>
      </c>
      <c r="L317" s="301" t="s">
        <v>296</v>
      </c>
      <c r="M317" s="301"/>
    </row>
    <row r="318" spans="1:13">
      <c r="A318" s="301" t="s">
        <v>298</v>
      </c>
      <c r="B318" s="310">
        <v>900</v>
      </c>
      <c r="C318" s="301"/>
      <c r="D318" s="301"/>
      <c r="E318" s="302">
        <v>2416.3333333333335</v>
      </c>
      <c r="F318" s="302">
        <v>193.6</v>
      </c>
      <c r="G318" s="301">
        <v>810.3</v>
      </c>
      <c r="H318" s="301">
        <v>75.900000000000006</v>
      </c>
      <c r="I318" s="306"/>
      <c r="J318" s="300">
        <f t="shared" si="8"/>
        <v>1.2068811438784628</v>
      </c>
      <c r="K318" s="301" t="s">
        <v>295</v>
      </c>
      <c r="L318" s="301" t="s">
        <v>296</v>
      </c>
      <c r="M318" s="301"/>
    </row>
    <row r="319" spans="1:13">
      <c r="A319" s="301" t="s">
        <v>298</v>
      </c>
      <c r="B319" s="310">
        <v>720</v>
      </c>
      <c r="C319" s="301"/>
      <c r="D319" s="301"/>
      <c r="E319" s="302">
        <v>2414.3333333333335</v>
      </c>
      <c r="F319" s="302">
        <v>171.26666666666665</v>
      </c>
      <c r="G319" s="301">
        <v>716.2</v>
      </c>
      <c r="H319" s="301">
        <v>84</v>
      </c>
      <c r="I319" s="306"/>
      <c r="J319" s="300">
        <f t="shared" si="8"/>
        <v>1.3334078045874294</v>
      </c>
      <c r="K319" s="301" t="s">
        <v>295</v>
      </c>
      <c r="L319" s="301" t="s">
        <v>296</v>
      </c>
      <c r="M319" s="301"/>
    </row>
    <row r="320" spans="1:13">
      <c r="A320" s="301" t="s">
        <v>298</v>
      </c>
      <c r="B320" s="310">
        <v>720</v>
      </c>
      <c r="C320" s="301"/>
      <c r="D320" s="301"/>
      <c r="E320" s="302">
        <v>2400.3333333333335</v>
      </c>
      <c r="F320" s="302">
        <v>170.36666666666665</v>
      </c>
      <c r="G320" s="301">
        <v>687.1</v>
      </c>
      <c r="H320" s="301">
        <v>50.3</v>
      </c>
      <c r="I320" s="306"/>
      <c r="J320" s="300">
        <f t="shared" si="8"/>
        <v>1.2792299672326481</v>
      </c>
      <c r="K320" s="301" t="s">
        <v>295</v>
      </c>
      <c r="L320" s="301" t="s">
        <v>296</v>
      </c>
      <c r="M320" s="301"/>
    </row>
    <row r="321" spans="1:13">
      <c r="A321" s="301" t="s">
        <v>298</v>
      </c>
      <c r="B321" s="310">
        <v>720</v>
      </c>
      <c r="C321" s="301"/>
      <c r="D321" s="301"/>
      <c r="E321" s="302">
        <v>2414</v>
      </c>
      <c r="F321" s="302">
        <v>169.03333333333333</v>
      </c>
      <c r="G321" s="301">
        <v>643.1</v>
      </c>
      <c r="H321" s="301">
        <v>58.9</v>
      </c>
      <c r="I321" s="306"/>
      <c r="J321" s="300">
        <f t="shared" si="8"/>
        <v>1.1973115877271374</v>
      </c>
      <c r="K321" s="301" t="s">
        <v>295</v>
      </c>
      <c r="L321" s="301" t="s">
        <v>296</v>
      </c>
      <c r="M321" s="301"/>
    </row>
    <row r="322" spans="1:13">
      <c r="A322" s="301" t="s">
        <v>298</v>
      </c>
      <c r="B322" s="310">
        <v>720</v>
      </c>
      <c r="C322" s="301"/>
      <c r="D322" s="301"/>
      <c r="E322" s="302">
        <v>2390</v>
      </c>
      <c r="F322" s="302">
        <v>185.83333333333334</v>
      </c>
      <c r="G322" s="301">
        <v>769.3</v>
      </c>
      <c r="H322" s="301">
        <v>78</v>
      </c>
      <c r="I322" s="306"/>
      <c r="J322" s="300">
        <f t="shared" si="8"/>
        <v>1.4322683943997616</v>
      </c>
      <c r="K322" s="301" t="s">
        <v>295</v>
      </c>
      <c r="L322" s="301" t="s">
        <v>296</v>
      </c>
      <c r="M322" s="301"/>
    </row>
    <row r="323" spans="1:13">
      <c r="A323" s="301" t="s">
        <v>298</v>
      </c>
      <c r="B323" s="310">
        <v>720</v>
      </c>
      <c r="C323" s="301"/>
      <c r="D323" s="301"/>
      <c r="E323" s="302">
        <v>2391</v>
      </c>
      <c r="F323" s="302">
        <v>166.66666666666666</v>
      </c>
      <c r="G323" s="301">
        <v>690.2</v>
      </c>
      <c r="H323" s="301">
        <v>83.2</v>
      </c>
      <c r="I323" s="306"/>
      <c r="J323" s="300">
        <f t="shared" si="8"/>
        <v>1.2850014894250821</v>
      </c>
      <c r="K323" s="301" t="s">
        <v>295</v>
      </c>
      <c r="L323" s="301" t="s">
        <v>296</v>
      </c>
      <c r="M323" s="301"/>
    </row>
    <row r="324" spans="1:13">
      <c r="A324" s="301" t="s">
        <v>298</v>
      </c>
      <c r="B324" s="310">
        <v>360</v>
      </c>
      <c r="C324" s="301"/>
      <c r="D324" s="301"/>
      <c r="E324" s="302">
        <v>2392.6666666666665</v>
      </c>
      <c r="F324" s="302">
        <v>97.333333333333329</v>
      </c>
      <c r="G324" s="301">
        <v>387.2</v>
      </c>
      <c r="H324" s="301">
        <v>66.400000000000006</v>
      </c>
      <c r="I324" s="306"/>
      <c r="J324" s="300">
        <f t="shared" si="8"/>
        <v>1.4417634792969913</v>
      </c>
      <c r="K324" s="301" t="s">
        <v>295</v>
      </c>
      <c r="L324" s="301" t="s">
        <v>296</v>
      </c>
      <c r="M324" s="301"/>
    </row>
    <row r="325" spans="1:13">
      <c r="A325" s="301" t="s">
        <v>298</v>
      </c>
      <c r="B325" s="310">
        <v>350</v>
      </c>
      <c r="C325" s="301"/>
      <c r="D325" s="301"/>
      <c r="E325" s="302">
        <v>2399.6666666666665</v>
      </c>
      <c r="F325" s="302">
        <v>62.1</v>
      </c>
      <c r="G325" s="301">
        <v>258.10000000000002</v>
      </c>
      <c r="H325" s="301">
        <v>62</v>
      </c>
      <c r="I325" s="306"/>
      <c r="J325" s="300">
        <f t="shared" si="8"/>
        <v>0.98851014936805826</v>
      </c>
      <c r="K325" s="301" t="s">
        <v>295</v>
      </c>
      <c r="L325" s="301" t="s">
        <v>296</v>
      </c>
      <c r="M325" s="301"/>
    </row>
    <row r="326" spans="1:13">
      <c r="A326" s="301" t="s">
        <v>294</v>
      </c>
      <c r="B326" s="310">
        <v>150</v>
      </c>
      <c r="C326" s="301">
        <v>1770</v>
      </c>
      <c r="D326" s="301"/>
      <c r="E326" s="302">
        <v>477.66666666666669</v>
      </c>
      <c r="F326" s="302">
        <v>174</v>
      </c>
      <c r="G326" s="301">
        <v>124</v>
      </c>
      <c r="H326" s="301">
        <v>42.5</v>
      </c>
      <c r="I326" s="306"/>
      <c r="J326" s="300">
        <f t="shared" si="8"/>
        <v>1.1081322609472744</v>
      </c>
      <c r="K326" s="301" t="s">
        <v>295</v>
      </c>
      <c r="L326" s="301" t="s">
        <v>296</v>
      </c>
      <c r="M326" s="301"/>
    </row>
    <row r="327" spans="1:13">
      <c r="A327" s="301" t="s">
        <v>298</v>
      </c>
      <c r="B327" s="310">
        <v>60</v>
      </c>
      <c r="C327" s="301">
        <v>1750</v>
      </c>
      <c r="D327" s="301"/>
      <c r="E327" s="302">
        <v>477.66666666666669</v>
      </c>
      <c r="F327" s="302">
        <v>84.3</v>
      </c>
      <c r="G327" s="301">
        <v>53</v>
      </c>
      <c r="H327" s="301">
        <v>33.799999999999997</v>
      </c>
      <c r="I327" s="306"/>
      <c r="J327" s="300">
        <f t="shared" si="8"/>
        <v>1.1840929401251117</v>
      </c>
      <c r="K327" s="301" t="s">
        <v>295</v>
      </c>
      <c r="L327" s="301" t="s">
        <v>296</v>
      </c>
      <c r="M327" s="301"/>
    </row>
    <row r="328" spans="1:13">
      <c r="A328" s="301" t="s">
        <v>294</v>
      </c>
      <c r="B328" s="310">
        <v>100</v>
      </c>
      <c r="C328" s="301">
        <v>1770</v>
      </c>
      <c r="D328" s="301"/>
      <c r="E328" s="302">
        <v>480.66666666666669</v>
      </c>
      <c r="F328" s="302">
        <v>87.966666666666654</v>
      </c>
      <c r="G328" s="301">
        <v>63</v>
      </c>
      <c r="H328" s="301">
        <v>61.6</v>
      </c>
      <c r="I328" s="306"/>
      <c r="J328" s="300">
        <f t="shared" si="8"/>
        <v>0.8445040214477213</v>
      </c>
      <c r="K328" s="301" t="s">
        <v>295</v>
      </c>
      <c r="L328" s="301" t="s">
        <v>296</v>
      </c>
      <c r="M328" s="301"/>
    </row>
    <row r="329" spans="1:13">
      <c r="A329" s="301" t="s">
        <v>297</v>
      </c>
      <c r="B329" s="310">
        <v>200</v>
      </c>
      <c r="C329" s="301">
        <v>875</v>
      </c>
      <c r="D329" s="301"/>
      <c r="E329" s="302">
        <v>2329.3333333333335</v>
      </c>
      <c r="F329" s="302">
        <v>40.666666666666664</v>
      </c>
      <c r="G329" s="301">
        <v>146</v>
      </c>
      <c r="H329" s="301">
        <v>57.1</v>
      </c>
      <c r="I329" s="306"/>
      <c r="J329" s="300">
        <f t="shared" si="8"/>
        <v>0.97855227882037543</v>
      </c>
      <c r="K329" s="301" t="s">
        <v>295</v>
      </c>
      <c r="L329" s="301" t="s">
        <v>296</v>
      </c>
      <c r="M329" s="301"/>
    </row>
    <row r="330" spans="1:13">
      <c r="A330" s="301" t="s">
        <v>297</v>
      </c>
      <c r="B330" s="310">
        <v>200</v>
      </c>
      <c r="C330" s="301">
        <v>875</v>
      </c>
      <c r="D330" s="301"/>
      <c r="E330" s="302">
        <v>2269</v>
      </c>
      <c r="F330" s="302">
        <v>38.666666666666664</v>
      </c>
      <c r="G330" s="301">
        <v>130</v>
      </c>
      <c r="H330" s="301">
        <v>62</v>
      </c>
      <c r="I330" s="306"/>
      <c r="J330" s="300">
        <f t="shared" si="8"/>
        <v>0.87131367292225204</v>
      </c>
      <c r="K330" s="301" t="s">
        <v>295</v>
      </c>
      <c r="L330" s="301" t="s">
        <v>296</v>
      </c>
      <c r="M330" s="301"/>
    </row>
    <row r="331" spans="1:13">
      <c r="A331" s="301" t="s">
        <v>297</v>
      </c>
      <c r="B331" s="310">
        <v>400</v>
      </c>
      <c r="C331" s="301">
        <v>900</v>
      </c>
      <c r="D331" s="301"/>
      <c r="E331" s="302">
        <v>2292.6666666666665</v>
      </c>
      <c r="F331" s="302">
        <v>63</v>
      </c>
      <c r="G331" s="301">
        <v>248</v>
      </c>
      <c r="H331" s="301">
        <v>81.8</v>
      </c>
      <c r="I331" s="306"/>
      <c r="J331" s="300">
        <f t="shared" si="8"/>
        <v>0.83109919571045587</v>
      </c>
      <c r="K331" s="301" t="s">
        <v>295</v>
      </c>
      <c r="L331" s="301" t="s">
        <v>296</v>
      </c>
      <c r="M331" s="301"/>
    </row>
    <row r="332" spans="1:13">
      <c r="A332" s="301" t="s">
        <v>297</v>
      </c>
      <c r="B332" s="310">
        <v>400</v>
      </c>
      <c r="C332" s="301">
        <v>900</v>
      </c>
      <c r="D332" s="301"/>
      <c r="E332" s="302">
        <v>2326.6666666666665</v>
      </c>
      <c r="F332" s="302">
        <v>66.333333333333329</v>
      </c>
      <c r="G332" s="301">
        <v>267.3</v>
      </c>
      <c r="H332" s="301">
        <v>80.3</v>
      </c>
      <c r="I332" s="306"/>
      <c r="J332" s="300">
        <f t="shared" si="8"/>
        <v>0.89577747989276146</v>
      </c>
      <c r="K332" s="301" t="s">
        <v>295</v>
      </c>
      <c r="L332" s="301" t="s">
        <v>296</v>
      </c>
      <c r="M332" s="301"/>
    </row>
    <row r="333" spans="1:13">
      <c r="A333" s="301" t="s">
        <v>297</v>
      </c>
      <c r="B333" s="310">
        <v>700</v>
      </c>
      <c r="C333" s="301">
        <v>900</v>
      </c>
      <c r="D333" s="301"/>
      <c r="E333" s="302">
        <v>2343.3333333333335</v>
      </c>
      <c r="F333" s="302">
        <v>130</v>
      </c>
      <c r="G333" s="301">
        <v>526</v>
      </c>
      <c r="H333" s="301">
        <v>77.2</v>
      </c>
      <c r="I333" s="306"/>
      <c r="J333" s="300">
        <f t="shared" si="8"/>
        <v>1.0072769054002297</v>
      </c>
      <c r="K333" s="301" t="s">
        <v>295</v>
      </c>
      <c r="L333" s="301" t="s">
        <v>296</v>
      </c>
      <c r="M333" s="301"/>
    </row>
    <row r="334" spans="1:13">
      <c r="A334" s="301" t="s">
        <v>297</v>
      </c>
      <c r="B334" s="310">
        <v>1250</v>
      </c>
      <c r="C334" s="301">
        <v>900</v>
      </c>
      <c r="D334" s="301"/>
      <c r="E334" s="302">
        <v>2439.3333333333335</v>
      </c>
      <c r="F334" s="302">
        <v>190.66666666666666</v>
      </c>
      <c r="G334" s="301">
        <v>808.5</v>
      </c>
      <c r="H334" s="301">
        <v>68.5</v>
      </c>
      <c r="I334" s="306"/>
      <c r="J334" s="300">
        <f t="shared" si="8"/>
        <v>0.86702412868632706</v>
      </c>
      <c r="K334" s="301" t="s">
        <v>295</v>
      </c>
      <c r="L334" s="301" t="s">
        <v>296</v>
      </c>
      <c r="M334" s="301"/>
    </row>
    <row r="335" spans="1:13">
      <c r="A335" s="301" t="s">
        <v>297</v>
      </c>
      <c r="B335" s="310">
        <v>1250</v>
      </c>
      <c r="C335" s="301">
        <v>900</v>
      </c>
      <c r="D335" s="301"/>
      <c r="E335" s="302">
        <v>2439.3333333333335</v>
      </c>
      <c r="F335" s="302">
        <v>199.33333333333334</v>
      </c>
      <c r="G335" s="301">
        <v>845.1</v>
      </c>
      <c r="H335" s="301">
        <v>66.8</v>
      </c>
      <c r="I335" s="306"/>
      <c r="J335" s="300">
        <f t="shared" si="8"/>
        <v>0.90627345844504026</v>
      </c>
      <c r="K335" s="301" t="s">
        <v>295</v>
      </c>
      <c r="L335" s="301" t="s">
        <v>296</v>
      </c>
      <c r="M335" s="301"/>
    </row>
    <row r="336" spans="1:13">
      <c r="A336" s="301" t="s">
        <v>297</v>
      </c>
      <c r="B336" s="310">
        <v>1250</v>
      </c>
      <c r="C336" s="301">
        <v>900</v>
      </c>
      <c r="D336" s="301"/>
      <c r="E336" s="302">
        <v>814.33333333333337</v>
      </c>
      <c r="F336" s="302">
        <v>62.333333333333336</v>
      </c>
      <c r="G336" s="301">
        <v>791.3</v>
      </c>
      <c r="H336" s="301">
        <v>65.099999999999994</v>
      </c>
      <c r="I336" s="306"/>
      <c r="J336" s="300">
        <f t="shared" si="8"/>
        <v>0.84857908847184982</v>
      </c>
      <c r="K336" s="301" t="s">
        <v>295</v>
      </c>
      <c r="L336" s="301" t="s">
        <v>296</v>
      </c>
      <c r="M336" s="301"/>
    </row>
    <row r="337" spans="1:13">
      <c r="A337" s="301" t="s">
        <v>297</v>
      </c>
      <c r="B337" s="310">
        <v>1250</v>
      </c>
      <c r="C337" s="301">
        <v>900</v>
      </c>
      <c r="D337" s="301"/>
      <c r="E337" s="302">
        <v>2439.3333333333335</v>
      </c>
      <c r="F337" s="302">
        <v>186.33333333333334</v>
      </c>
      <c r="G337" s="301">
        <v>790.2</v>
      </c>
      <c r="H337" s="301">
        <v>70</v>
      </c>
      <c r="I337" s="306"/>
      <c r="J337" s="300">
        <f t="shared" si="8"/>
        <v>0.84739946380697051</v>
      </c>
      <c r="K337" s="301" t="s">
        <v>295</v>
      </c>
      <c r="L337" s="301" t="s">
        <v>296</v>
      </c>
      <c r="M337" s="301"/>
    </row>
    <row r="338" spans="1:13">
      <c r="A338" s="301" t="s">
        <v>297</v>
      </c>
      <c r="B338" s="310">
        <v>450</v>
      </c>
      <c r="C338" s="301">
        <v>900</v>
      </c>
      <c r="D338" s="301"/>
      <c r="E338" s="302">
        <v>2439.3333333333335</v>
      </c>
      <c r="F338" s="302">
        <v>84.333333333333329</v>
      </c>
      <c r="G338" s="301">
        <v>358.9</v>
      </c>
      <c r="H338" s="301">
        <v>69.599999999999994</v>
      </c>
      <c r="I338" s="306"/>
      <c r="J338" s="300">
        <f t="shared" ref="J338:J350" si="9">G338/(B338*0.746)</f>
        <v>1.0691093238010128</v>
      </c>
      <c r="K338" s="301" t="s">
        <v>295</v>
      </c>
      <c r="L338" s="301" t="s">
        <v>296</v>
      </c>
      <c r="M338" s="301"/>
    </row>
    <row r="339" spans="1:13">
      <c r="A339" s="301" t="s">
        <v>297</v>
      </c>
      <c r="B339" s="310">
        <v>450</v>
      </c>
      <c r="C339" s="301">
        <v>900</v>
      </c>
      <c r="D339" s="301"/>
      <c r="E339" s="302">
        <v>2439.3333333333335</v>
      </c>
      <c r="F339" s="302">
        <v>84.333333333333329</v>
      </c>
      <c r="G339" s="301">
        <v>358.9</v>
      </c>
      <c r="H339" s="301">
        <v>70.8</v>
      </c>
      <c r="I339" s="306"/>
      <c r="J339" s="300">
        <f t="shared" si="9"/>
        <v>1.0691093238010128</v>
      </c>
      <c r="K339" s="301" t="s">
        <v>295</v>
      </c>
      <c r="L339" s="301" t="s">
        <v>296</v>
      </c>
      <c r="M339" s="301"/>
    </row>
    <row r="340" spans="1:13">
      <c r="A340" s="301" t="s">
        <v>297</v>
      </c>
      <c r="B340" s="310">
        <v>450</v>
      </c>
      <c r="C340" s="301">
        <v>800</v>
      </c>
      <c r="D340" s="301"/>
      <c r="E340" s="302">
        <v>2439.3333333333335</v>
      </c>
      <c r="F340" s="302">
        <v>83.333333333333329</v>
      </c>
      <c r="G340" s="301">
        <v>354.4</v>
      </c>
      <c r="H340" s="301">
        <v>81.400000000000006</v>
      </c>
      <c r="I340" s="306"/>
      <c r="J340" s="300">
        <f t="shared" si="9"/>
        <v>1.0557044980637473</v>
      </c>
      <c r="K340" s="301" t="s">
        <v>295</v>
      </c>
      <c r="L340" s="301" t="s">
        <v>296</v>
      </c>
      <c r="M340" s="301"/>
    </row>
    <row r="341" spans="1:13">
      <c r="A341" s="301" t="s">
        <v>297</v>
      </c>
      <c r="B341" s="310">
        <v>300</v>
      </c>
      <c r="C341" s="301">
        <v>720</v>
      </c>
      <c r="D341" s="301"/>
      <c r="E341" s="302">
        <v>2434.3333333333335</v>
      </c>
      <c r="F341" s="302">
        <v>45.333333333333336</v>
      </c>
      <c r="G341" s="301">
        <v>193.7</v>
      </c>
      <c r="H341" s="301">
        <v>69.599999999999994</v>
      </c>
      <c r="I341" s="306"/>
      <c r="J341" s="300">
        <f t="shared" si="9"/>
        <v>0.86550491510277028</v>
      </c>
      <c r="K341" s="301" t="s">
        <v>295</v>
      </c>
      <c r="L341" s="301" t="s">
        <v>296</v>
      </c>
      <c r="M341" s="301"/>
    </row>
    <row r="342" spans="1:13">
      <c r="A342" s="301" t="s">
        <v>297</v>
      </c>
      <c r="B342" s="310">
        <v>300</v>
      </c>
      <c r="C342" s="301">
        <v>720</v>
      </c>
      <c r="D342" s="301"/>
      <c r="E342" s="302">
        <v>2438.3333333333335</v>
      </c>
      <c r="F342" s="302">
        <v>48.333333333333336</v>
      </c>
      <c r="G342" s="301">
        <v>205.8</v>
      </c>
      <c r="H342" s="301">
        <v>73.400000000000006</v>
      </c>
      <c r="I342" s="306"/>
      <c r="J342" s="300">
        <f t="shared" si="9"/>
        <v>0.91957104557640756</v>
      </c>
      <c r="K342" s="301" t="s">
        <v>295</v>
      </c>
      <c r="L342" s="301" t="s">
        <v>296</v>
      </c>
      <c r="M342" s="301"/>
    </row>
    <row r="343" spans="1:13">
      <c r="A343" s="301" t="s">
        <v>297</v>
      </c>
      <c r="B343" s="310">
        <v>450</v>
      </c>
      <c r="C343" s="301">
        <v>900</v>
      </c>
      <c r="D343" s="301"/>
      <c r="E343" s="302">
        <v>2434.3333333333335</v>
      </c>
      <c r="F343" s="302">
        <v>80.333333333333329</v>
      </c>
      <c r="G343" s="301">
        <v>341.1</v>
      </c>
      <c r="H343" s="301">
        <v>77.599999999999994</v>
      </c>
      <c r="I343" s="306"/>
      <c r="J343" s="300">
        <f t="shared" si="9"/>
        <v>1.0160857908847185</v>
      </c>
      <c r="K343" s="301" t="s">
        <v>295</v>
      </c>
      <c r="L343" s="301" t="s">
        <v>296</v>
      </c>
      <c r="M343" s="301"/>
    </row>
    <row r="344" spans="1:13">
      <c r="A344" s="301" t="s">
        <v>297</v>
      </c>
      <c r="B344" s="310">
        <v>450</v>
      </c>
      <c r="C344" s="301">
        <v>900</v>
      </c>
      <c r="D344" s="301"/>
      <c r="E344" s="302">
        <v>2433.6666666666665</v>
      </c>
      <c r="F344" s="302">
        <v>80</v>
      </c>
      <c r="G344" s="301">
        <v>351.1</v>
      </c>
      <c r="H344" s="301">
        <v>80.599999999999994</v>
      </c>
      <c r="I344" s="306"/>
      <c r="J344" s="300">
        <f t="shared" si="9"/>
        <v>1.0458742925230862</v>
      </c>
      <c r="K344" s="301" t="s">
        <v>295</v>
      </c>
      <c r="L344" s="301" t="s">
        <v>296</v>
      </c>
      <c r="M344" s="301"/>
    </row>
    <row r="345" spans="1:13">
      <c r="A345" s="301" t="s">
        <v>297</v>
      </c>
      <c r="B345" s="310">
        <v>800</v>
      </c>
      <c r="C345" s="301">
        <v>1200</v>
      </c>
      <c r="D345" s="301"/>
      <c r="E345" s="302">
        <v>2425</v>
      </c>
      <c r="F345" s="302">
        <v>145.66666666666666</v>
      </c>
      <c r="G345" s="301">
        <v>615.70000000000005</v>
      </c>
      <c r="H345" s="301">
        <v>81.8</v>
      </c>
      <c r="I345" s="306"/>
      <c r="J345" s="300">
        <f t="shared" si="9"/>
        <v>1.0316689008042896</v>
      </c>
      <c r="K345" s="301" t="s">
        <v>295</v>
      </c>
      <c r="L345" s="301" t="s">
        <v>296</v>
      </c>
      <c r="M345" s="301"/>
    </row>
    <row r="346" spans="1:13">
      <c r="A346" s="301" t="s">
        <v>297</v>
      </c>
      <c r="B346" s="310">
        <v>800</v>
      </c>
      <c r="C346" s="301">
        <v>1200</v>
      </c>
      <c r="D346" s="301"/>
      <c r="E346" s="302">
        <v>2425</v>
      </c>
      <c r="F346" s="302">
        <v>144</v>
      </c>
      <c r="G346" s="301">
        <v>608.70000000000005</v>
      </c>
      <c r="H346" s="301">
        <v>85.1</v>
      </c>
      <c r="I346" s="306"/>
      <c r="J346" s="300">
        <f t="shared" si="9"/>
        <v>1.0199396782841825</v>
      </c>
      <c r="K346" s="301" t="s">
        <v>295</v>
      </c>
      <c r="L346" s="301" t="s">
        <v>296</v>
      </c>
      <c r="M346" s="301"/>
    </row>
    <row r="347" spans="1:13">
      <c r="A347" s="301" t="s">
        <v>297</v>
      </c>
      <c r="B347" s="310">
        <v>800</v>
      </c>
      <c r="C347" s="301">
        <v>1200</v>
      </c>
      <c r="D347" s="301"/>
      <c r="E347" s="302">
        <v>2427.6666666666665</v>
      </c>
      <c r="F347" s="302">
        <v>150</v>
      </c>
      <c r="G347" s="301">
        <v>633.4</v>
      </c>
      <c r="H347" s="301">
        <v>84</v>
      </c>
      <c r="I347" s="306"/>
      <c r="J347" s="300">
        <f t="shared" si="9"/>
        <v>1.0613270777479893</v>
      </c>
      <c r="K347" s="301" t="s">
        <v>295</v>
      </c>
      <c r="L347" s="301" t="s">
        <v>296</v>
      </c>
      <c r="M347" s="301"/>
    </row>
    <row r="348" spans="1:13">
      <c r="A348" s="301" t="s">
        <v>297</v>
      </c>
      <c r="B348" s="310">
        <v>800</v>
      </c>
      <c r="C348" s="301">
        <v>1200</v>
      </c>
      <c r="D348" s="301"/>
      <c r="E348" s="302">
        <v>2425</v>
      </c>
      <c r="F348" s="302">
        <v>145.66666666666666</v>
      </c>
      <c r="G348" s="301">
        <v>614.5</v>
      </c>
      <c r="H348" s="301">
        <v>82.3</v>
      </c>
      <c r="I348" s="306"/>
      <c r="J348" s="300">
        <f t="shared" si="9"/>
        <v>1.0296581769436999</v>
      </c>
      <c r="K348" s="301" t="s">
        <v>295</v>
      </c>
      <c r="L348" s="301" t="s">
        <v>296</v>
      </c>
      <c r="M348" s="301"/>
    </row>
    <row r="349" spans="1:13">
      <c r="A349" s="301" t="s">
        <v>294</v>
      </c>
      <c r="B349" s="310">
        <v>50</v>
      </c>
      <c r="C349" s="301">
        <v>1800</v>
      </c>
      <c r="D349" s="301"/>
      <c r="E349" s="302">
        <v>510</v>
      </c>
      <c r="F349" s="302">
        <v>67</v>
      </c>
      <c r="G349" s="301">
        <v>51</v>
      </c>
      <c r="H349" s="301">
        <v>56.6</v>
      </c>
      <c r="I349" s="306"/>
      <c r="J349" s="300">
        <f t="shared" si="9"/>
        <v>1.3672922252010724</v>
      </c>
      <c r="K349" s="301" t="s">
        <v>295</v>
      </c>
      <c r="L349" s="301" t="s">
        <v>296</v>
      </c>
      <c r="M349" s="301"/>
    </row>
    <row r="350" spans="1:13">
      <c r="A350" s="301" t="s">
        <v>294</v>
      </c>
      <c r="B350" s="310">
        <v>100</v>
      </c>
      <c r="C350" s="301">
        <v>1800</v>
      </c>
      <c r="D350" s="301"/>
      <c r="E350" s="302">
        <v>509.66666666666669</v>
      </c>
      <c r="F350" s="302">
        <v>123.53333333333335</v>
      </c>
      <c r="G350" s="301">
        <v>86</v>
      </c>
      <c r="H350" s="301">
        <v>54.9</v>
      </c>
      <c r="I350" s="306"/>
      <c r="J350" s="300">
        <f t="shared" si="9"/>
        <v>1.1528150134048258</v>
      </c>
      <c r="K350" s="301" t="s">
        <v>295</v>
      </c>
      <c r="L350" s="301" t="s">
        <v>296</v>
      </c>
      <c r="M350" s="301"/>
    </row>
    <row r="351" spans="1:13">
      <c r="A351" s="301" t="s">
        <v>298</v>
      </c>
      <c r="B351" s="310">
        <v>30</v>
      </c>
      <c r="C351" s="301">
        <v>3550</v>
      </c>
      <c r="D351" s="301"/>
      <c r="E351" s="302">
        <v>0</v>
      </c>
      <c r="F351" s="302">
        <v>0</v>
      </c>
      <c r="G351" s="301">
        <v>0</v>
      </c>
      <c r="H351" s="301">
        <v>0</v>
      </c>
      <c r="I351" s="306"/>
      <c r="J351" s="300"/>
      <c r="K351" s="301" t="s">
        <v>295</v>
      </c>
      <c r="L351" s="301" t="s">
        <v>296</v>
      </c>
      <c r="M351" s="301"/>
    </row>
    <row r="352" spans="1:13">
      <c r="A352" s="301" t="s">
        <v>298</v>
      </c>
      <c r="B352" s="310">
        <v>50</v>
      </c>
      <c r="C352" s="301">
        <v>1775</v>
      </c>
      <c r="D352" s="301"/>
      <c r="E352" s="302">
        <v>475.33333333333331</v>
      </c>
      <c r="F352" s="302">
        <v>52.266666666666673</v>
      </c>
      <c r="G352" s="301">
        <v>31.9</v>
      </c>
      <c r="H352" s="301">
        <v>68.400000000000006</v>
      </c>
      <c r="I352" s="306"/>
      <c r="J352" s="300">
        <f t="shared" ref="J352:J373" si="10">G352/(B352*0.746)</f>
        <v>0.85522788203753353</v>
      </c>
      <c r="K352" s="301" t="s">
        <v>295</v>
      </c>
      <c r="L352" s="301" t="s">
        <v>296</v>
      </c>
      <c r="M352" s="301"/>
    </row>
    <row r="353" spans="1:13">
      <c r="A353" s="301" t="s">
        <v>294</v>
      </c>
      <c r="B353" s="310">
        <v>800</v>
      </c>
      <c r="C353" s="301">
        <v>885</v>
      </c>
      <c r="D353" s="301"/>
      <c r="E353" s="302">
        <v>0</v>
      </c>
      <c r="F353" s="302">
        <v>0</v>
      </c>
      <c r="G353" s="301">
        <v>612.5</v>
      </c>
      <c r="H353" s="301">
        <v>59</v>
      </c>
      <c r="I353" s="306"/>
      <c r="J353" s="300">
        <f t="shared" si="10"/>
        <v>1.0263069705093835</v>
      </c>
      <c r="K353" s="301" t="s">
        <v>295</v>
      </c>
      <c r="L353" s="301" t="s">
        <v>296</v>
      </c>
      <c r="M353" s="301"/>
    </row>
    <row r="354" spans="1:13">
      <c r="A354" s="301" t="s">
        <v>294</v>
      </c>
      <c r="B354" s="310">
        <v>800</v>
      </c>
      <c r="C354" s="301">
        <v>885</v>
      </c>
      <c r="D354" s="301"/>
      <c r="E354" s="302">
        <v>0</v>
      </c>
      <c r="F354" s="302">
        <v>0</v>
      </c>
      <c r="G354" s="301">
        <v>590.20000000000005</v>
      </c>
      <c r="H354" s="301">
        <v>66.5</v>
      </c>
      <c r="I354" s="306"/>
      <c r="J354" s="300">
        <f t="shared" si="10"/>
        <v>0.98894101876675622</v>
      </c>
      <c r="K354" s="301" t="s">
        <v>295</v>
      </c>
      <c r="L354" s="301" t="s">
        <v>296</v>
      </c>
      <c r="M354" s="301"/>
    </row>
    <row r="355" spans="1:13">
      <c r="A355" s="301" t="s">
        <v>294</v>
      </c>
      <c r="B355" s="310">
        <v>800</v>
      </c>
      <c r="C355" s="301">
        <v>885</v>
      </c>
      <c r="D355" s="301"/>
      <c r="E355" s="302">
        <v>0</v>
      </c>
      <c r="F355" s="302">
        <v>0</v>
      </c>
      <c r="G355" s="301">
        <v>544.20000000000005</v>
      </c>
      <c r="H355" s="301">
        <v>67.5</v>
      </c>
      <c r="I355" s="306"/>
      <c r="J355" s="300">
        <f t="shared" si="10"/>
        <v>0.91186327077748008</v>
      </c>
      <c r="K355" s="301" t="s">
        <v>295</v>
      </c>
      <c r="L355" s="301" t="s">
        <v>296</v>
      </c>
      <c r="M355" s="301"/>
    </row>
    <row r="356" spans="1:13">
      <c r="A356" s="301" t="s">
        <v>294</v>
      </c>
      <c r="B356" s="310">
        <v>500</v>
      </c>
      <c r="C356" s="301"/>
      <c r="D356" s="301"/>
      <c r="E356" s="302">
        <v>2426.6666666666665</v>
      </c>
      <c r="F356" s="302">
        <v>93</v>
      </c>
      <c r="G356" s="301">
        <v>387</v>
      </c>
      <c r="H356" s="301">
        <v>35.1</v>
      </c>
      <c r="I356" s="306"/>
      <c r="J356" s="300">
        <f t="shared" si="10"/>
        <v>1.0375335120643432</v>
      </c>
      <c r="K356" s="301" t="s">
        <v>295</v>
      </c>
      <c r="L356" s="301" t="s">
        <v>296</v>
      </c>
      <c r="M356" s="301"/>
    </row>
    <row r="357" spans="1:13">
      <c r="A357" s="301" t="s">
        <v>297</v>
      </c>
      <c r="B357" s="310">
        <v>700</v>
      </c>
      <c r="C357" s="301">
        <v>800</v>
      </c>
      <c r="D357" s="301"/>
      <c r="E357" s="302">
        <v>0</v>
      </c>
      <c r="F357" s="302">
        <v>0</v>
      </c>
      <c r="G357" s="301">
        <v>518.4</v>
      </c>
      <c r="H357" s="301">
        <v>65</v>
      </c>
      <c r="I357" s="306"/>
      <c r="J357" s="300">
        <f t="shared" si="10"/>
        <v>0.99272309459977004</v>
      </c>
      <c r="K357" s="301" t="s">
        <v>295</v>
      </c>
      <c r="L357" s="301" t="s">
        <v>296</v>
      </c>
      <c r="M357" s="301"/>
    </row>
    <row r="358" spans="1:13">
      <c r="A358" s="301" t="s">
        <v>297</v>
      </c>
      <c r="B358" s="310">
        <v>700</v>
      </c>
      <c r="C358" s="301">
        <v>720</v>
      </c>
      <c r="D358" s="301"/>
      <c r="E358" s="302">
        <v>0</v>
      </c>
      <c r="F358" s="302">
        <v>0</v>
      </c>
      <c r="G358" s="301">
        <v>508.3</v>
      </c>
      <c r="H358" s="301">
        <v>66</v>
      </c>
      <c r="I358" s="306"/>
      <c r="J358" s="300">
        <f t="shared" si="10"/>
        <v>0.97338184603600142</v>
      </c>
      <c r="K358" s="301" t="s">
        <v>295</v>
      </c>
      <c r="L358" s="301" t="s">
        <v>296</v>
      </c>
      <c r="M358" s="301"/>
    </row>
    <row r="359" spans="1:13">
      <c r="A359" s="301" t="s">
        <v>297</v>
      </c>
      <c r="B359" s="310">
        <v>500</v>
      </c>
      <c r="C359" s="301"/>
      <c r="D359" s="301"/>
      <c r="E359" s="302">
        <v>0</v>
      </c>
      <c r="F359" s="302">
        <v>0</v>
      </c>
      <c r="G359" s="301">
        <v>374.3</v>
      </c>
      <c r="H359" s="301">
        <v>65.3</v>
      </c>
      <c r="I359" s="306"/>
      <c r="J359" s="300">
        <f t="shared" si="10"/>
        <v>1.003485254691689</v>
      </c>
      <c r="K359" s="301" t="s">
        <v>295</v>
      </c>
      <c r="L359" s="301" t="s">
        <v>296</v>
      </c>
      <c r="M359" s="301"/>
    </row>
    <row r="360" spans="1:13">
      <c r="A360" s="301" t="s">
        <v>297</v>
      </c>
      <c r="B360" s="310">
        <v>350</v>
      </c>
      <c r="C360" s="301">
        <v>900</v>
      </c>
      <c r="D360" s="301"/>
      <c r="E360" s="302">
        <v>0</v>
      </c>
      <c r="F360" s="302">
        <v>0</v>
      </c>
      <c r="G360" s="301">
        <v>237.6</v>
      </c>
      <c r="H360" s="301">
        <v>71.099999999999994</v>
      </c>
      <c r="I360" s="306"/>
      <c r="J360" s="300">
        <f t="shared" si="10"/>
        <v>0.90999617004978928</v>
      </c>
      <c r="K360" s="301" t="s">
        <v>295</v>
      </c>
      <c r="L360" s="301" t="s">
        <v>296</v>
      </c>
      <c r="M360" s="301"/>
    </row>
    <row r="361" spans="1:13">
      <c r="A361" s="301" t="s">
        <v>297</v>
      </c>
      <c r="B361" s="310">
        <v>75</v>
      </c>
      <c r="C361" s="301"/>
      <c r="D361" s="301"/>
      <c r="E361" s="302">
        <v>851.66666666666663</v>
      </c>
      <c r="F361" s="302">
        <v>6.7</v>
      </c>
      <c r="G361" s="301">
        <v>75.599999999999994</v>
      </c>
      <c r="H361" s="301">
        <v>76.900000000000006</v>
      </c>
      <c r="I361" s="306"/>
      <c r="J361" s="300">
        <f t="shared" si="10"/>
        <v>1.3512064343163537</v>
      </c>
      <c r="K361" s="301" t="s">
        <v>295</v>
      </c>
      <c r="L361" s="301" t="s">
        <v>296</v>
      </c>
      <c r="M361" s="301"/>
    </row>
    <row r="362" spans="1:13">
      <c r="A362" s="301" t="s">
        <v>297</v>
      </c>
      <c r="B362" s="310">
        <v>800</v>
      </c>
      <c r="C362" s="301">
        <v>600</v>
      </c>
      <c r="D362" s="301"/>
      <c r="E362" s="302">
        <v>860</v>
      </c>
      <c r="F362" s="302">
        <v>46</v>
      </c>
      <c r="G362" s="301">
        <v>604.29999999999995</v>
      </c>
      <c r="H362" s="301">
        <v>69.099999999999994</v>
      </c>
      <c r="I362" s="306"/>
      <c r="J362" s="300">
        <f t="shared" si="10"/>
        <v>1.0125670241286864</v>
      </c>
      <c r="K362" s="301" t="s">
        <v>295</v>
      </c>
      <c r="L362" s="301" t="s">
        <v>296</v>
      </c>
      <c r="M362" s="301"/>
    </row>
    <row r="363" spans="1:13">
      <c r="A363" s="301" t="s">
        <v>297</v>
      </c>
      <c r="B363" s="310">
        <v>800</v>
      </c>
      <c r="C363" s="301"/>
      <c r="D363" s="301"/>
      <c r="E363" s="302">
        <v>860</v>
      </c>
      <c r="F363" s="302">
        <v>48</v>
      </c>
      <c r="G363" s="301">
        <v>630.6</v>
      </c>
      <c r="H363" s="301">
        <v>73.400000000000006</v>
      </c>
      <c r="I363" s="306"/>
      <c r="J363" s="300">
        <f t="shared" si="10"/>
        <v>1.0566353887399464</v>
      </c>
      <c r="K363" s="301" t="s">
        <v>295</v>
      </c>
      <c r="L363" s="301" t="s">
        <v>296</v>
      </c>
      <c r="M363" s="301"/>
    </row>
    <row r="364" spans="1:13">
      <c r="A364" s="301">
        <v>9</v>
      </c>
      <c r="B364" s="310">
        <v>0</v>
      </c>
      <c r="C364" s="301"/>
      <c r="D364" s="301"/>
      <c r="E364" s="302">
        <v>890.26666666666677</v>
      </c>
      <c r="F364" s="302">
        <v>32.666666666666664</v>
      </c>
      <c r="G364" s="301">
        <v>522.9</v>
      </c>
      <c r="H364" s="301">
        <v>73.5</v>
      </c>
      <c r="I364" s="306"/>
      <c r="J364" s="300" t="e">
        <f t="shared" si="10"/>
        <v>#DIV/0!</v>
      </c>
      <c r="K364" s="301" t="s">
        <v>295</v>
      </c>
      <c r="L364" s="301" t="s">
        <v>296</v>
      </c>
      <c r="M364" s="301"/>
    </row>
    <row r="365" spans="1:13">
      <c r="A365" s="301" t="s">
        <v>297</v>
      </c>
      <c r="B365" s="310">
        <v>500</v>
      </c>
      <c r="C365" s="301"/>
      <c r="D365" s="301"/>
      <c r="E365" s="302">
        <v>858.33333333333337</v>
      </c>
      <c r="F365" s="302">
        <v>31</v>
      </c>
      <c r="G365" s="301">
        <v>406.5</v>
      </c>
      <c r="H365" s="301">
        <v>67.2</v>
      </c>
      <c r="I365" s="306"/>
      <c r="J365" s="300">
        <f t="shared" si="10"/>
        <v>1.0898123324396782</v>
      </c>
      <c r="K365" s="301" t="s">
        <v>295</v>
      </c>
      <c r="L365" s="301" t="s">
        <v>296</v>
      </c>
      <c r="M365" s="301"/>
    </row>
    <row r="366" spans="1:13">
      <c r="A366" s="301" t="s">
        <v>299</v>
      </c>
      <c r="B366" s="310">
        <v>20</v>
      </c>
      <c r="C366" s="301">
        <v>1170</v>
      </c>
      <c r="D366" s="301"/>
      <c r="E366" s="302">
        <v>483</v>
      </c>
      <c r="F366" s="302">
        <v>26.033333333333331</v>
      </c>
      <c r="G366" s="301">
        <v>18.8</v>
      </c>
      <c r="H366" s="301">
        <v>46.9</v>
      </c>
      <c r="I366" s="306"/>
      <c r="J366" s="300">
        <f t="shared" si="10"/>
        <v>1.260053619302949</v>
      </c>
      <c r="K366" s="301" t="s">
        <v>295</v>
      </c>
      <c r="L366" s="301" t="s">
        <v>296</v>
      </c>
      <c r="M366" s="301"/>
    </row>
    <row r="367" spans="1:13">
      <c r="A367" s="301" t="s">
        <v>299</v>
      </c>
      <c r="B367" s="310">
        <v>20</v>
      </c>
      <c r="C367" s="301"/>
      <c r="D367" s="301"/>
      <c r="E367" s="302">
        <v>486.33333333333331</v>
      </c>
      <c r="F367" s="302">
        <v>23.1</v>
      </c>
      <c r="G367" s="301">
        <v>15.9</v>
      </c>
      <c r="H367" s="301">
        <v>50.9</v>
      </c>
      <c r="I367" s="306"/>
      <c r="J367" s="300">
        <f t="shared" si="10"/>
        <v>1.0656836461126005</v>
      </c>
      <c r="K367" s="301" t="s">
        <v>295</v>
      </c>
      <c r="L367" s="301" t="s">
        <v>296</v>
      </c>
      <c r="M367" s="301"/>
    </row>
    <row r="368" spans="1:13">
      <c r="A368" s="301" t="s">
        <v>299</v>
      </c>
      <c r="B368" s="310">
        <v>20</v>
      </c>
      <c r="C368" s="301"/>
      <c r="D368" s="301"/>
      <c r="E368" s="302">
        <v>484.66666666666669</v>
      </c>
      <c r="F368" s="302">
        <v>25.933333333333337</v>
      </c>
      <c r="G368" s="301">
        <v>18.2</v>
      </c>
      <c r="H368" s="301">
        <v>56.5</v>
      </c>
      <c r="I368" s="306"/>
      <c r="J368" s="300">
        <f t="shared" si="10"/>
        <v>1.2198391420911527</v>
      </c>
      <c r="K368" s="301" t="s">
        <v>295</v>
      </c>
      <c r="L368" s="301" t="s">
        <v>296</v>
      </c>
      <c r="M368" s="301"/>
    </row>
    <row r="369" spans="1:13">
      <c r="A369" s="301" t="s">
        <v>299</v>
      </c>
      <c r="B369" s="310">
        <v>20</v>
      </c>
      <c r="C369" s="301"/>
      <c r="D369" s="301"/>
      <c r="E369" s="302">
        <v>486.66666666666669</v>
      </c>
      <c r="F369" s="302">
        <v>24.3</v>
      </c>
      <c r="G369" s="301">
        <v>17.2</v>
      </c>
      <c r="H369" s="301">
        <v>40</v>
      </c>
      <c r="I369" s="306"/>
      <c r="J369" s="300">
        <f t="shared" si="10"/>
        <v>1.1528150134048256</v>
      </c>
      <c r="K369" s="301" t="s">
        <v>295</v>
      </c>
      <c r="L369" s="301" t="s">
        <v>296</v>
      </c>
      <c r="M369" s="301"/>
    </row>
    <row r="370" spans="1:13">
      <c r="A370" s="301" t="s">
        <v>299</v>
      </c>
      <c r="B370" s="310">
        <v>20</v>
      </c>
      <c r="C370" s="301"/>
      <c r="D370" s="301"/>
      <c r="E370" s="302">
        <v>486</v>
      </c>
      <c r="F370" s="302">
        <v>24.7</v>
      </c>
      <c r="G370" s="301">
        <v>17.5</v>
      </c>
      <c r="H370" s="301">
        <v>49.1</v>
      </c>
      <c r="I370" s="306"/>
      <c r="J370" s="300">
        <f t="shared" si="10"/>
        <v>1.1729222520107239</v>
      </c>
      <c r="K370" s="301" t="s">
        <v>295</v>
      </c>
      <c r="L370" s="301" t="s">
        <v>296</v>
      </c>
      <c r="M370" s="301"/>
    </row>
    <row r="371" spans="1:13">
      <c r="A371" s="301" t="s">
        <v>299</v>
      </c>
      <c r="B371" s="310">
        <v>20</v>
      </c>
      <c r="C371" s="301"/>
      <c r="D371" s="301"/>
      <c r="E371" s="302">
        <v>487</v>
      </c>
      <c r="F371" s="302">
        <v>24.833333333333332</v>
      </c>
      <c r="G371" s="301">
        <v>17.7</v>
      </c>
      <c r="H371" s="301">
        <v>39.4</v>
      </c>
      <c r="I371" s="306"/>
      <c r="J371" s="300">
        <f t="shared" si="10"/>
        <v>1.1863270777479893</v>
      </c>
      <c r="K371" s="301" t="s">
        <v>295</v>
      </c>
      <c r="L371" s="301" t="s">
        <v>296</v>
      </c>
      <c r="M371" s="301"/>
    </row>
    <row r="372" spans="1:13">
      <c r="A372" s="301" t="s">
        <v>299</v>
      </c>
      <c r="B372" s="310">
        <v>150</v>
      </c>
      <c r="C372" s="301"/>
      <c r="D372" s="301"/>
      <c r="E372" s="302">
        <v>2404</v>
      </c>
      <c r="F372" s="302">
        <v>42</v>
      </c>
      <c r="G372" s="301">
        <v>169.8</v>
      </c>
      <c r="H372" s="301">
        <v>52.7</v>
      </c>
      <c r="I372" s="306"/>
      <c r="J372" s="300">
        <f t="shared" si="10"/>
        <v>1.5174262734584452</v>
      </c>
      <c r="K372" s="301" t="s">
        <v>295</v>
      </c>
      <c r="L372" s="301" t="s">
        <v>296</v>
      </c>
      <c r="M372" s="301"/>
    </row>
    <row r="373" spans="1:13">
      <c r="A373" s="301" t="s">
        <v>299</v>
      </c>
      <c r="B373" s="310">
        <v>150</v>
      </c>
      <c r="C373" s="301"/>
      <c r="D373" s="301"/>
      <c r="E373" s="302">
        <v>2408.6666666666665</v>
      </c>
      <c r="F373" s="302">
        <v>43</v>
      </c>
      <c r="G373" s="301">
        <v>175.8</v>
      </c>
      <c r="H373" s="301">
        <v>56.2</v>
      </c>
      <c r="I373" s="306"/>
      <c r="J373" s="300">
        <f t="shared" si="10"/>
        <v>1.5710455764075066</v>
      </c>
      <c r="K373" s="301" t="s">
        <v>295</v>
      </c>
      <c r="L373" s="301" t="s">
        <v>296</v>
      </c>
      <c r="M373" s="301"/>
    </row>
    <row r="374" spans="1:13">
      <c r="A374" s="301" t="s">
        <v>297</v>
      </c>
      <c r="B374" s="310">
        <v>450</v>
      </c>
      <c r="C374" s="301">
        <v>600</v>
      </c>
      <c r="D374" s="301"/>
      <c r="E374" s="302">
        <v>0</v>
      </c>
      <c r="F374" s="302">
        <v>0</v>
      </c>
      <c r="G374" s="301">
        <v>0</v>
      </c>
      <c r="H374" s="301" t="s">
        <v>301</v>
      </c>
      <c r="I374" s="306"/>
      <c r="J374" s="300"/>
      <c r="K374" s="301" t="s">
        <v>295</v>
      </c>
      <c r="L374" s="301" t="s">
        <v>296</v>
      </c>
      <c r="M374" s="301"/>
    </row>
    <row r="375" spans="1:13">
      <c r="A375" s="301" t="s">
        <v>297</v>
      </c>
      <c r="B375" s="310">
        <v>450</v>
      </c>
      <c r="C375" s="301">
        <v>600</v>
      </c>
      <c r="D375" s="301"/>
      <c r="E375" s="302">
        <v>770</v>
      </c>
      <c r="F375" s="302">
        <v>28.666666666666668</v>
      </c>
      <c r="G375" s="301">
        <v>347.1</v>
      </c>
      <c r="H375" s="301">
        <v>75.400000000000006</v>
      </c>
      <c r="I375" s="306"/>
      <c r="J375" s="300">
        <f t="shared" ref="J375:J406" si="11">G375/(B375*0.746)</f>
        <v>1.0339588918677391</v>
      </c>
      <c r="K375" s="301" t="s">
        <v>295</v>
      </c>
      <c r="L375" s="301" t="s">
        <v>296</v>
      </c>
      <c r="M375" s="301"/>
    </row>
    <row r="376" spans="1:13">
      <c r="A376" s="301" t="s">
        <v>297</v>
      </c>
      <c r="B376" s="310">
        <v>450</v>
      </c>
      <c r="C376" s="301">
        <v>600</v>
      </c>
      <c r="D376" s="301"/>
      <c r="E376" s="302">
        <v>770</v>
      </c>
      <c r="F376" s="302">
        <v>28.666666666666668</v>
      </c>
      <c r="G376" s="301">
        <v>347.3</v>
      </c>
      <c r="H376" s="301">
        <v>76.900000000000006</v>
      </c>
      <c r="I376" s="306"/>
      <c r="J376" s="300">
        <f t="shared" si="11"/>
        <v>1.0345546619005064</v>
      </c>
      <c r="K376" s="301" t="s">
        <v>295</v>
      </c>
      <c r="L376" s="301" t="s">
        <v>296</v>
      </c>
      <c r="M376" s="301"/>
    </row>
    <row r="377" spans="1:13">
      <c r="A377" s="301" t="s">
        <v>297</v>
      </c>
      <c r="B377" s="310">
        <v>450</v>
      </c>
      <c r="C377" s="301">
        <v>600</v>
      </c>
      <c r="D377" s="301"/>
      <c r="E377" s="302">
        <v>770</v>
      </c>
      <c r="F377" s="302">
        <v>27.666666666666668</v>
      </c>
      <c r="G377" s="301">
        <v>335.3</v>
      </c>
      <c r="H377" s="301">
        <v>75.400000000000006</v>
      </c>
      <c r="I377" s="306"/>
      <c r="J377" s="300">
        <f t="shared" si="11"/>
        <v>0.99880845993446532</v>
      </c>
      <c r="K377" s="301" t="s">
        <v>295</v>
      </c>
      <c r="L377" s="301" t="s">
        <v>296</v>
      </c>
      <c r="M377" s="301"/>
    </row>
    <row r="378" spans="1:13">
      <c r="A378" s="301" t="s">
        <v>299</v>
      </c>
      <c r="B378" s="310">
        <v>310</v>
      </c>
      <c r="C378" s="301"/>
      <c r="D378" s="301"/>
      <c r="E378" s="302">
        <v>773.33333333333337</v>
      </c>
      <c r="F378" s="302">
        <v>25.166666666666668</v>
      </c>
      <c r="G378" s="301">
        <v>305.10000000000002</v>
      </c>
      <c r="H378" s="301">
        <v>72.8</v>
      </c>
      <c r="I378" s="306"/>
      <c r="J378" s="300">
        <f t="shared" si="11"/>
        <v>1.3192943007869931</v>
      </c>
      <c r="K378" s="301" t="s">
        <v>295</v>
      </c>
      <c r="L378" s="301" t="s">
        <v>296</v>
      </c>
      <c r="M378" s="301"/>
    </row>
    <row r="379" spans="1:13">
      <c r="A379" s="301" t="s">
        <v>299</v>
      </c>
      <c r="B379" s="310">
        <v>310</v>
      </c>
      <c r="C379" s="301"/>
      <c r="D379" s="301"/>
      <c r="E379" s="302">
        <v>773.33333333333337</v>
      </c>
      <c r="F379" s="302">
        <v>21.666666666666668</v>
      </c>
      <c r="G379" s="301">
        <v>262.89999999999998</v>
      </c>
      <c r="H379" s="301">
        <v>81.099999999999994</v>
      </c>
      <c r="I379" s="306"/>
      <c r="J379" s="300">
        <f t="shared" si="11"/>
        <v>1.1368157052667993</v>
      </c>
      <c r="K379" s="301" t="s">
        <v>295</v>
      </c>
      <c r="L379" s="301" t="s">
        <v>296</v>
      </c>
      <c r="M379" s="301"/>
    </row>
    <row r="380" spans="1:13">
      <c r="A380" s="301" t="s">
        <v>299</v>
      </c>
      <c r="B380" s="310">
        <v>310</v>
      </c>
      <c r="C380" s="301"/>
      <c r="D380" s="301"/>
      <c r="E380" s="302">
        <v>773.33333333333337</v>
      </c>
      <c r="F380" s="302">
        <v>20.333333333333332</v>
      </c>
      <c r="G380" s="301">
        <v>246.9</v>
      </c>
      <c r="H380" s="301">
        <v>69.3</v>
      </c>
      <c r="I380" s="306"/>
      <c r="J380" s="300">
        <f t="shared" si="11"/>
        <v>1.0676295079131715</v>
      </c>
      <c r="K380" s="301" t="s">
        <v>295</v>
      </c>
      <c r="L380" s="301" t="s">
        <v>296</v>
      </c>
      <c r="M380" s="301"/>
    </row>
    <row r="381" spans="1:13">
      <c r="A381" s="301" t="s">
        <v>299</v>
      </c>
      <c r="B381" s="310">
        <v>300</v>
      </c>
      <c r="C381" s="301"/>
      <c r="D381" s="301"/>
      <c r="E381" s="302">
        <v>766.66666666666663</v>
      </c>
      <c r="F381" s="302">
        <v>27.566666666666666</v>
      </c>
      <c r="G381" s="301">
        <v>281.7</v>
      </c>
      <c r="H381" s="301">
        <v>64.400000000000006</v>
      </c>
      <c r="I381" s="306"/>
      <c r="J381" s="300">
        <f t="shared" si="11"/>
        <v>1.2587131367292224</v>
      </c>
      <c r="K381" s="301" t="s">
        <v>295</v>
      </c>
      <c r="L381" s="301" t="s">
        <v>296</v>
      </c>
      <c r="M381" s="301"/>
    </row>
    <row r="382" spans="1:13">
      <c r="A382" s="301" t="s">
        <v>299</v>
      </c>
      <c r="B382" s="310">
        <v>100</v>
      </c>
      <c r="C382" s="301">
        <v>700</v>
      </c>
      <c r="D382" s="301"/>
      <c r="E382" s="302">
        <v>476.66666666666669</v>
      </c>
      <c r="F382" s="302">
        <v>153.6</v>
      </c>
      <c r="G382" s="301">
        <v>105.3</v>
      </c>
      <c r="H382" s="301">
        <v>44.7</v>
      </c>
      <c r="I382" s="306"/>
      <c r="J382" s="300">
        <f t="shared" si="11"/>
        <v>1.4115281501340484</v>
      </c>
      <c r="K382" s="301" t="s">
        <v>295</v>
      </c>
      <c r="L382" s="301" t="s">
        <v>296</v>
      </c>
      <c r="M382" s="301"/>
    </row>
    <row r="383" spans="1:13">
      <c r="A383" s="301" t="s">
        <v>299</v>
      </c>
      <c r="B383" s="310">
        <v>100</v>
      </c>
      <c r="C383" s="301">
        <v>705</v>
      </c>
      <c r="D383" s="301"/>
      <c r="E383" s="302">
        <v>480</v>
      </c>
      <c r="F383" s="302">
        <v>120.23333333333333</v>
      </c>
      <c r="G383" s="301">
        <v>80.099999999999994</v>
      </c>
      <c r="H383" s="301">
        <v>44.6</v>
      </c>
      <c r="I383" s="306"/>
      <c r="J383" s="300">
        <f t="shared" si="11"/>
        <v>1.0737265415549597</v>
      </c>
      <c r="K383" s="301" t="s">
        <v>295</v>
      </c>
      <c r="L383" s="301" t="s">
        <v>296</v>
      </c>
      <c r="M383" s="301"/>
    </row>
    <row r="384" spans="1:13">
      <c r="A384" s="301" t="s">
        <v>299</v>
      </c>
      <c r="B384" s="310">
        <v>100</v>
      </c>
      <c r="C384" s="301"/>
      <c r="D384" s="301"/>
      <c r="E384" s="302">
        <v>477.66666666666669</v>
      </c>
      <c r="F384" s="302">
        <v>152.66666666666666</v>
      </c>
      <c r="G384" s="301">
        <v>102.8</v>
      </c>
      <c r="H384" s="301">
        <v>44.5</v>
      </c>
      <c r="I384" s="306"/>
      <c r="J384" s="300">
        <f t="shared" si="11"/>
        <v>1.3780160857908847</v>
      </c>
      <c r="K384" s="301" t="s">
        <v>295</v>
      </c>
      <c r="L384" s="301" t="s">
        <v>296</v>
      </c>
      <c r="M384" s="301"/>
    </row>
    <row r="385" spans="1:13">
      <c r="A385" s="301" t="s">
        <v>297</v>
      </c>
      <c r="B385" s="310">
        <v>150</v>
      </c>
      <c r="C385" s="301">
        <v>1200</v>
      </c>
      <c r="D385" s="301"/>
      <c r="E385" s="302">
        <v>2500</v>
      </c>
      <c r="F385" s="302">
        <v>27.933333333333337</v>
      </c>
      <c r="G385" s="301">
        <v>121.9</v>
      </c>
      <c r="H385" s="301">
        <v>69.7</v>
      </c>
      <c r="I385" s="306"/>
      <c r="J385" s="300">
        <f t="shared" si="11"/>
        <v>1.0893655049151028</v>
      </c>
      <c r="K385" s="301" t="s">
        <v>295</v>
      </c>
      <c r="L385" s="301" t="s">
        <v>296</v>
      </c>
      <c r="M385" s="301"/>
    </row>
    <row r="386" spans="1:13">
      <c r="A386" s="301" t="s">
        <v>297</v>
      </c>
      <c r="B386" s="310">
        <v>150</v>
      </c>
      <c r="C386" s="301">
        <v>1200</v>
      </c>
      <c r="D386" s="301"/>
      <c r="E386" s="302">
        <v>2500</v>
      </c>
      <c r="F386" s="302">
        <v>26.666666666666668</v>
      </c>
      <c r="G386" s="301">
        <v>117.2</v>
      </c>
      <c r="H386" s="301">
        <v>76.099999999999994</v>
      </c>
      <c r="I386" s="306"/>
      <c r="J386" s="300">
        <f t="shared" si="11"/>
        <v>1.0473637176050044</v>
      </c>
      <c r="K386" s="301" t="s">
        <v>295</v>
      </c>
      <c r="L386" s="301" t="s">
        <v>296</v>
      </c>
      <c r="M386" s="301"/>
    </row>
    <row r="387" spans="1:13">
      <c r="A387" s="301" t="s">
        <v>297</v>
      </c>
      <c r="B387" s="310">
        <v>450</v>
      </c>
      <c r="C387" s="301">
        <v>720</v>
      </c>
      <c r="D387" s="301"/>
      <c r="E387" s="302">
        <v>2475</v>
      </c>
      <c r="F387" s="302">
        <v>74.333333333333329</v>
      </c>
      <c r="G387" s="301">
        <v>320.2</v>
      </c>
      <c r="H387" s="301">
        <v>66</v>
      </c>
      <c r="I387" s="306"/>
      <c r="J387" s="300">
        <f t="shared" si="11"/>
        <v>0.95382782246053022</v>
      </c>
      <c r="K387" s="301" t="s">
        <v>295</v>
      </c>
      <c r="L387" s="301" t="s">
        <v>296</v>
      </c>
      <c r="M387" s="301"/>
    </row>
    <row r="388" spans="1:13">
      <c r="A388" s="301" t="s">
        <v>297</v>
      </c>
      <c r="B388" s="310">
        <v>450</v>
      </c>
      <c r="C388" s="301">
        <v>1200</v>
      </c>
      <c r="D388" s="301"/>
      <c r="E388" s="302">
        <v>2475</v>
      </c>
      <c r="F388" s="302">
        <v>73.666666666666671</v>
      </c>
      <c r="G388" s="301">
        <v>317.5</v>
      </c>
      <c r="H388" s="301">
        <v>75.3</v>
      </c>
      <c r="I388" s="306"/>
      <c r="J388" s="300">
        <f t="shared" si="11"/>
        <v>0.94578492701817107</v>
      </c>
      <c r="K388" s="301" t="s">
        <v>295</v>
      </c>
      <c r="L388" s="301" t="s">
        <v>296</v>
      </c>
      <c r="M388" s="301"/>
    </row>
    <row r="389" spans="1:13">
      <c r="A389" s="301" t="s">
        <v>294</v>
      </c>
      <c r="B389" s="310">
        <v>200</v>
      </c>
      <c r="C389" s="301">
        <v>1170</v>
      </c>
      <c r="D389" s="301"/>
      <c r="E389" s="302">
        <v>791.66666666666663</v>
      </c>
      <c r="F389" s="302">
        <v>46</v>
      </c>
      <c r="G389" s="301">
        <v>162.6</v>
      </c>
      <c r="H389" s="301">
        <v>67.7</v>
      </c>
      <c r="I389" s="306"/>
      <c r="J389" s="300">
        <f t="shared" si="11"/>
        <v>1.0898123324396782</v>
      </c>
      <c r="K389" s="301" t="s">
        <v>295</v>
      </c>
      <c r="L389" s="301" t="s">
        <v>296</v>
      </c>
      <c r="M389" s="301"/>
    </row>
    <row r="390" spans="1:13">
      <c r="A390" s="301" t="s">
        <v>294</v>
      </c>
      <c r="B390" s="310">
        <v>200</v>
      </c>
      <c r="C390" s="301"/>
      <c r="D390" s="301"/>
      <c r="E390" s="302">
        <v>2333.3333333333335</v>
      </c>
      <c r="F390" s="302">
        <v>42.3</v>
      </c>
      <c r="G390" s="301">
        <v>144.30000000000001</v>
      </c>
      <c r="H390" s="301">
        <v>62.2</v>
      </c>
      <c r="I390" s="306"/>
      <c r="J390" s="300">
        <f t="shared" si="11"/>
        <v>0.96715817694369988</v>
      </c>
      <c r="K390" s="301" t="s">
        <v>295</v>
      </c>
      <c r="L390" s="301" t="s">
        <v>296</v>
      </c>
      <c r="M390" s="301"/>
    </row>
    <row r="391" spans="1:13">
      <c r="A391" s="301" t="s">
        <v>294</v>
      </c>
      <c r="B391" s="310">
        <v>200</v>
      </c>
      <c r="C391" s="301">
        <v>1170</v>
      </c>
      <c r="D391" s="301"/>
      <c r="E391" s="302">
        <v>793.33333333333337</v>
      </c>
      <c r="F391" s="302">
        <v>43.833333333333336</v>
      </c>
      <c r="G391" s="301">
        <v>156.30000000000001</v>
      </c>
      <c r="H391" s="301">
        <v>71</v>
      </c>
      <c r="I391" s="306"/>
      <c r="J391" s="300">
        <f t="shared" si="11"/>
        <v>1.0475871313672924</v>
      </c>
      <c r="K391" s="301" t="s">
        <v>295</v>
      </c>
      <c r="L391" s="301" t="s">
        <v>296</v>
      </c>
      <c r="M391" s="301"/>
    </row>
    <row r="392" spans="1:13">
      <c r="A392" s="301" t="s">
        <v>294</v>
      </c>
      <c r="B392" s="310">
        <v>100</v>
      </c>
      <c r="C392" s="301">
        <v>1170</v>
      </c>
      <c r="D392" s="301"/>
      <c r="E392" s="302">
        <v>480.66666666666669</v>
      </c>
      <c r="F392" s="302">
        <v>113.86666666666667</v>
      </c>
      <c r="G392" s="301">
        <v>78</v>
      </c>
      <c r="H392" s="301">
        <v>60.7</v>
      </c>
      <c r="I392" s="306"/>
      <c r="J392" s="300">
        <f t="shared" si="11"/>
        <v>1.0455764075067024</v>
      </c>
      <c r="K392" s="301" t="s">
        <v>295</v>
      </c>
      <c r="L392" s="301" t="s">
        <v>296</v>
      </c>
      <c r="M392" s="301"/>
    </row>
    <row r="393" spans="1:13">
      <c r="A393" s="301" t="s">
        <v>294</v>
      </c>
      <c r="B393" s="310">
        <v>150</v>
      </c>
      <c r="C393" s="301">
        <v>1770</v>
      </c>
      <c r="D393" s="301"/>
      <c r="E393" s="302">
        <v>481</v>
      </c>
      <c r="F393" s="302">
        <v>146.26666666666665</v>
      </c>
      <c r="G393" s="301">
        <v>107.6</v>
      </c>
      <c r="H393" s="301">
        <v>60.3</v>
      </c>
      <c r="I393" s="306"/>
      <c r="J393" s="300">
        <f t="shared" si="11"/>
        <v>0.96157283288650575</v>
      </c>
      <c r="K393" s="301" t="s">
        <v>295</v>
      </c>
      <c r="L393" s="301" t="s">
        <v>296</v>
      </c>
      <c r="M393" s="301"/>
    </row>
    <row r="394" spans="1:13">
      <c r="A394" s="301" t="s">
        <v>294</v>
      </c>
      <c r="B394" s="310">
        <v>100</v>
      </c>
      <c r="C394" s="301">
        <v>1170</v>
      </c>
      <c r="D394" s="301"/>
      <c r="E394" s="302">
        <v>482</v>
      </c>
      <c r="F394" s="302">
        <v>112.46666666666668</v>
      </c>
      <c r="G394" s="301">
        <v>77.3</v>
      </c>
      <c r="H394" s="301">
        <v>62.1</v>
      </c>
      <c r="I394" s="306"/>
      <c r="J394" s="300">
        <f t="shared" si="11"/>
        <v>1.0361930294906168</v>
      </c>
      <c r="K394" s="301" t="s">
        <v>295</v>
      </c>
      <c r="L394" s="301" t="s">
        <v>296</v>
      </c>
      <c r="M394" s="301"/>
    </row>
    <row r="395" spans="1:13">
      <c r="A395" s="301" t="s">
        <v>294</v>
      </c>
      <c r="B395" s="310">
        <v>100</v>
      </c>
      <c r="C395" s="301"/>
      <c r="D395" s="301"/>
      <c r="E395" s="302">
        <v>479</v>
      </c>
      <c r="F395" s="302">
        <v>129.1</v>
      </c>
      <c r="G395" s="301">
        <v>89.4</v>
      </c>
      <c r="H395" s="301">
        <v>62.4</v>
      </c>
      <c r="I395" s="306"/>
      <c r="J395" s="300">
        <f t="shared" si="11"/>
        <v>1.1983914209115283</v>
      </c>
      <c r="K395" s="301" t="s">
        <v>295</v>
      </c>
      <c r="L395" s="301" t="s">
        <v>296</v>
      </c>
      <c r="M395" s="301"/>
    </row>
    <row r="396" spans="1:13">
      <c r="A396" s="301" t="s">
        <v>300</v>
      </c>
      <c r="B396" s="310">
        <v>10</v>
      </c>
      <c r="C396" s="301"/>
      <c r="D396" s="301"/>
      <c r="E396" s="302">
        <v>0</v>
      </c>
      <c r="F396" s="302">
        <v>0</v>
      </c>
      <c r="G396" s="301">
        <v>8</v>
      </c>
      <c r="H396" s="301">
        <v>35.6</v>
      </c>
      <c r="I396" s="306"/>
      <c r="J396" s="300">
        <f t="shared" si="11"/>
        <v>1.0723860589812333</v>
      </c>
      <c r="K396" s="301" t="s">
        <v>295</v>
      </c>
      <c r="L396" s="301" t="s">
        <v>296</v>
      </c>
      <c r="M396" s="301"/>
    </row>
    <row r="397" spans="1:13">
      <c r="A397" s="301" t="s">
        <v>300</v>
      </c>
      <c r="B397" s="310">
        <v>10</v>
      </c>
      <c r="C397" s="301"/>
      <c r="D397" s="301"/>
      <c r="E397" s="302">
        <v>0</v>
      </c>
      <c r="F397" s="302">
        <v>0</v>
      </c>
      <c r="G397" s="301">
        <v>8</v>
      </c>
      <c r="H397" s="301">
        <v>36.5</v>
      </c>
      <c r="I397" s="306"/>
      <c r="J397" s="300">
        <f t="shared" si="11"/>
        <v>1.0723860589812333</v>
      </c>
      <c r="K397" s="301" t="s">
        <v>295</v>
      </c>
      <c r="L397" s="301" t="s">
        <v>296</v>
      </c>
      <c r="M397" s="301"/>
    </row>
    <row r="398" spans="1:13">
      <c r="A398" s="301" t="s">
        <v>300</v>
      </c>
      <c r="B398" s="310">
        <v>20</v>
      </c>
      <c r="C398" s="301">
        <v>1750</v>
      </c>
      <c r="D398" s="301"/>
      <c r="E398" s="302">
        <v>501.33333333333331</v>
      </c>
      <c r="F398" s="302">
        <v>17.100000000000001</v>
      </c>
      <c r="G398" s="301">
        <v>12.2</v>
      </c>
      <c r="H398" s="301">
        <v>34.9</v>
      </c>
      <c r="I398" s="306"/>
      <c r="J398" s="300">
        <f t="shared" si="11"/>
        <v>0.81769436997319034</v>
      </c>
      <c r="K398" s="301" t="s">
        <v>295</v>
      </c>
      <c r="L398" s="301" t="s">
        <v>296</v>
      </c>
      <c r="M398" s="301"/>
    </row>
    <row r="399" spans="1:13">
      <c r="A399" s="301" t="s">
        <v>300</v>
      </c>
      <c r="B399" s="310">
        <v>20</v>
      </c>
      <c r="C399" s="301">
        <v>1750</v>
      </c>
      <c r="D399" s="301"/>
      <c r="E399" s="302">
        <v>502</v>
      </c>
      <c r="F399" s="302">
        <v>19.666666666666664</v>
      </c>
      <c r="G399" s="301">
        <v>14.5</v>
      </c>
      <c r="H399" s="301">
        <v>47</v>
      </c>
      <c r="I399" s="306"/>
      <c r="J399" s="300">
        <f t="shared" si="11"/>
        <v>0.97184986595174261</v>
      </c>
      <c r="K399" s="301" t="s">
        <v>295</v>
      </c>
      <c r="L399" s="301" t="s">
        <v>296</v>
      </c>
      <c r="M399" s="301"/>
    </row>
    <row r="400" spans="1:13">
      <c r="A400" s="301" t="s">
        <v>294</v>
      </c>
      <c r="B400" s="310">
        <v>800</v>
      </c>
      <c r="C400" s="301">
        <v>1190</v>
      </c>
      <c r="D400" s="301"/>
      <c r="E400" s="302">
        <v>4078.6666666666665</v>
      </c>
      <c r="F400" s="302">
        <v>95.333333333333329</v>
      </c>
      <c r="G400" s="301">
        <v>628.6</v>
      </c>
      <c r="H400" s="301">
        <v>72.7</v>
      </c>
      <c r="I400" s="306"/>
      <c r="J400" s="300">
        <f t="shared" si="11"/>
        <v>1.05328418230563</v>
      </c>
      <c r="K400" s="301" t="s">
        <v>295</v>
      </c>
      <c r="L400" s="301" t="s">
        <v>296</v>
      </c>
      <c r="M400" s="301"/>
    </row>
    <row r="401" spans="1:13">
      <c r="A401" s="301" t="s">
        <v>294</v>
      </c>
      <c r="B401" s="310">
        <v>500</v>
      </c>
      <c r="C401" s="301">
        <v>1190</v>
      </c>
      <c r="D401" s="301"/>
      <c r="E401" s="302">
        <v>4049</v>
      </c>
      <c r="F401" s="302">
        <v>54.333333333333336</v>
      </c>
      <c r="G401" s="301">
        <v>333.4</v>
      </c>
      <c r="H401" s="301">
        <v>82.6</v>
      </c>
      <c r="I401" s="306"/>
      <c r="J401" s="300">
        <f t="shared" si="11"/>
        <v>0.89383378016085779</v>
      </c>
      <c r="K401" s="301" t="s">
        <v>295</v>
      </c>
      <c r="L401" s="301" t="s">
        <v>296</v>
      </c>
      <c r="M401" s="301"/>
    </row>
    <row r="402" spans="1:13">
      <c r="A402" s="301" t="s">
        <v>294</v>
      </c>
      <c r="B402" s="310">
        <v>500</v>
      </c>
      <c r="C402" s="301">
        <v>1190</v>
      </c>
      <c r="D402" s="301"/>
      <c r="E402" s="302">
        <v>4083</v>
      </c>
      <c r="F402" s="302">
        <v>162.03333333333333</v>
      </c>
      <c r="G402" s="301">
        <v>309.10000000000002</v>
      </c>
      <c r="H402" s="301">
        <v>78.7</v>
      </c>
      <c r="I402" s="306"/>
      <c r="J402" s="300">
        <f t="shared" si="11"/>
        <v>0.82868632707774803</v>
      </c>
      <c r="K402" s="301" t="s">
        <v>295</v>
      </c>
      <c r="L402" s="301" t="s">
        <v>296</v>
      </c>
      <c r="M402" s="301"/>
    </row>
    <row r="403" spans="1:13">
      <c r="A403" s="301" t="s">
        <v>300</v>
      </c>
      <c r="B403" s="310">
        <v>20</v>
      </c>
      <c r="C403" s="301">
        <v>1750</v>
      </c>
      <c r="D403" s="301"/>
      <c r="E403" s="302">
        <v>233.33333333333334</v>
      </c>
      <c r="F403" s="302">
        <v>39.733333333333327</v>
      </c>
      <c r="G403" s="301">
        <v>14.1</v>
      </c>
      <c r="H403" s="301">
        <v>40.4</v>
      </c>
      <c r="I403" s="306"/>
      <c r="J403" s="300">
        <f t="shared" si="11"/>
        <v>0.94504021447721176</v>
      </c>
      <c r="K403" s="301" t="s">
        <v>295</v>
      </c>
      <c r="L403" s="301" t="s">
        <v>296</v>
      </c>
      <c r="M403" s="301"/>
    </row>
    <row r="404" spans="1:13">
      <c r="A404" s="301" t="s">
        <v>300</v>
      </c>
      <c r="B404" s="310">
        <v>30</v>
      </c>
      <c r="C404" s="301">
        <v>1750</v>
      </c>
      <c r="D404" s="301"/>
      <c r="E404" s="302">
        <v>479</v>
      </c>
      <c r="F404" s="302">
        <v>35.9</v>
      </c>
      <c r="G404" s="301">
        <v>24.9</v>
      </c>
      <c r="H404" s="301">
        <v>38.6</v>
      </c>
      <c r="I404" s="306"/>
      <c r="J404" s="300">
        <f t="shared" si="11"/>
        <v>1.1126005361930296</v>
      </c>
      <c r="K404" s="301" t="s">
        <v>295</v>
      </c>
      <c r="L404" s="301" t="s">
        <v>296</v>
      </c>
      <c r="M404" s="301"/>
    </row>
    <row r="405" spans="1:13">
      <c r="A405" s="301" t="s">
        <v>300</v>
      </c>
      <c r="B405" s="310">
        <v>30</v>
      </c>
      <c r="C405" s="301">
        <v>1750</v>
      </c>
      <c r="D405" s="301"/>
      <c r="E405" s="302">
        <v>479.33333333333331</v>
      </c>
      <c r="F405" s="302">
        <v>38.533333333333331</v>
      </c>
      <c r="G405" s="301">
        <v>26.7</v>
      </c>
      <c r="H405" s="301">
        <v>40.4</v>
      </c>
      <c r="I405" s="306"/>
      <c r="J405" s="300">
        <f t="shared" si="11"/>
        <v>1.1930294906166221</v>
      </c>
      <c r="K405" s="301" t="s">
        <v>295</v>
      </c>
      <c r="L405" s="301" t="s">
        <v>296</v>
      </c>
      <c r="M405" s="301"/>
    </row>
    <row r="406" spans="1:13">
      <c r="A406" s="301" t="s">
        <v>294</v>
      </c>
      <c r="B406" s="310">
        <v>1500</v>
      </c>
      <c r="C406" s="301">
        <v>600</v>
      </c>
      <c r="D406" s="301"/>
      <c r="E406" s="302">
        <v>786.66666666666663</v>
      </c>
      <c r="F406" s="302">
        <v>82.666666666666671</v>
      </c>
      <c r="G406" s="301">
        <v>983.3</v>
      </c>
      <c r="H406" s="301">
        <v>80.099999999999994</v>
      </c>
      <c r="I406" s="306"/>
      <c r="J406" s="300">
        <f t="shared" si="11"/>
        <v>0.87873100983020547</v>
      </c>
      <c r="K406" s="301" t="s">
        <v>295</v>
      </c>
      <c r="L406" s="301" t="s">
        <v>296</v>
      </c>
      <c r="M406" s="301"/>
    </row>
    <row r="407" spans="1:13">
      <c r="A407" s="301" t="s">
        <v>294</v>
      </c>
      <c r="B407" s="310">
        <v>1500</v>
      </c>
      <c r="C407" s="301">
        <v>600</v>
      </c>
      <c r="D407" s="301"/>
      <c r="E407" s="302">
        <v>0</v>
      </c>
      <c r="F407" s="302">
        <v>0</v>
      </c>
      <c r="G407" s="301">
        <v>0</v>
      </c>
      <c r="H407" s="301">
        <v>0</v>
      </c>
      <c r="I407" s="306"/>
      <c r="J407" s="300"/>
      <c r="K407" s="301" t="s">
        <v>295</v>
      </c>
      <c r="L407" s="301" t="s">
        <v>296</v>
      </c>
      <c r="M407" s="301"/>
    </row>
    <row r="408" spans="1:13">
      <c r="A408" s="301" t="s">
        <v>294</v>
      </c>
      <c r="B408" s="310">
        <v>300</v>
      </c>
      <c r="C408" s="301">
        <v>1770</v>
      </c>
      <c r="D408" s="301"/>
      <c r="E408" s="302">
        <v>0</v>
      </c>
      <c r="F408" s="302">
        <v>0</v>
      </c>
      <c r="G408" s="301">
        <v>232</v>
      </c>
      <c r="H408" s="301">
        <v>58.9</v>
      </c>
      <c r="I408" s="306"/>
      <c r="J408" s="300">
        <f t="shared" ref="J408:J471" si="12">G408/(B408*0.746)</f>
        <v>1.036639857015192</v>
      </c>
      <c r="K408" s="301" t="s">
        <v>295</v>
      </c>
      <c r="L408" s="301" t="s">
        <v>296</v>
      </c>
      <c r="M408" s="301"/>
    </row>
    <row r="409" spans="1:13">
      <c r="A409" s="301" t="s">
        <v>297</v>
      </c>
      <c r="B409" s="310">
        <v>700</v>
      </c>
      <c r="C409" s="301">
        <v>900</v>
      </c>
      <c r="D409" s="301"/>
      <c r="E409" s="302">
        <v>2299</v>
      </c>
      <c r="F409" s="302">
        <v>125</v>
      </c>
      <c r="G409" s="301">
        <v>492</v>
      </c>
      <c r="H409" s="301">
        <v>85.3</v>
      </c>
      <c r="I409" s="306"/>
      <c r="J409" s="300">
        <f t="shared" si="12"/>
        <v>0.9421677518192263</v>
      </c>
      <c r="K409" s="301" t="s">
        <v>295</v>
      </c>
      <c r="L409" s="301" t="s">
        <v>296</v>
      </c>
      <c r="M409" s="301"/>
    </row>
    <row r="410" spans="1:13">
      <c r="A410" s="301" t="s">
        <v>297</v>
      </c>
      <c r="B410" s="310">
        <v>300</v>
      </c>
      <c r="C410" s="301">
        <v>1800</v>
      </c>
      <c r="D410" s="301"/>
      <c r="E410" s="302">
        <v>2377.6666666666665</v>
      </c>
      <c r="F410" s="302">
        <v>62.08</v>
      </c>
      <c r="G410" s="301">
        <v>255</v>
      </c>
      <c r="H410" s="301">
        <v>59.1</v>
      </c>
      <c r="I410" s="306"/>
      <c r="J410" s="300">
        <f t="shared" si="12"/>
        <v>1.1394101876675602</v>
      </c>
      <c r="K410" s="301" t="s">
        <v>295</v>
      </c>
      <c r="L410" s="301" t="s">
        <v>296</v>
      </c>
      <c r="M410" s="301"/>
    </row>
    <row r="411" spans="1:13">
      <c r="A411" s="301" t="s">
        <v>297</v>
      </c>
      <c r="B411" s="310">
        <v>350</v>
      </c>
      <c r="C411" s="301">
        <v>1800</v>
      </c>
      <c r="D411" s="301"/>
      <c r="E411" s="302">
        <v>2384.6666666666665</v>
      </c>
      <c r="F411" s="302">
        <v>62.38</v>
      </c>
      <c r="G411" s="301">
        <v>251.5</v>
      </c>
      <c r="H411" s="301">
        <v>64.099999999999994</v>
      </c>
      <c r="I411" s="306"/>
      <c r="J411" s="300">
        <f t="shared" si="12"/>
        <v>0.96323247797778622</v>
      </c>
      <c r="K411" s="301" t="s">
        <v>295</v>
      </c>
      <c r="L411" s="301" t="s">
        <v>296</v>
      </c>
      <c r="M411" s="301"/>
    </row>
    <row r="412" spans="1:13">
      <c r="A412" s="301" t="s">
        <v>297</v>
      </c>
      <c r="B412" s="310">
        <v>700</v>
      </c>
      <c r="C412" s="301">
        <v>1200</v>
      </c>
      <c r="D412" s="301"/>
      <c r="E412" s="302">
        <v>2382</v>
      </c>
      <c r="F412" s="302">
        <v>140.83333333333334</v>
      </c>
      <c r="G412" s="301">
        <v>580.70000000000005</v>
      </c>
      <c r="H412" s="301">
        <v>63.9</v>
      </c>
      <c r="I412" s="306"/>
      <c r="J412" s="300">
        <f t="shared" si="12"/>
        <v>1.1120260436614324</v>
      </c>
      <c r="K412" s="301" t="s">
        <v>295</v>
      </c>
      <c r="L412" s="301" t="s">
        <v>296</v>
      </c>
      <c r="M412" s="301"/>
    </row>
    <row r="413" spans="1:13">
      <c r="A413" s="301" t="s">
        <v>297</v>
      </c>
      <c r="B413" s="310">
        <v>700</v>
      </c>
      <c r="C413" s="301">
        <v>1200</v>
      </c>
      <c r="D413" s="301"/>
      <c r="E413" s="302">
        <v>2390.3333333333335</v>
      </c>
      <c r="F413" s="302">
        <v>145.36666666666667</v>
      </c>
      <c r="G413" s="301">
        <v>587</v>
      </c>
      <c r="H413" s="301">
        <v>63.4</v>
      </c>
      <c r="I413" s="306"/>
      <c r="J413" s="300">
        <f t="shared" si="12"/>
        <v>1.1240903868249712</v>
      </c>
      <c r="K413" s="301" t="s">
        <v>295</v>
      </c>
      <c r="L413" s="301" t="s">
        <v>296</v>
      </c>
      <c r="M413" s="301"/>
    </row>
    <row r="414" spans="1:13">
      <c r="A414" s="301" t="s">
        <v>297</v>
      </c>
      <c r="B414" s="310">
        <v>1250</v>
      </c>
      <c r="C414" s="301">
        <v>1185</v>
      </c>
      <c r="D414" s="301"/>
      <c r="E414" s="302">
        <v>2329</v>
      </c>
      <c r="F414" s="302">
        <v>263.86666666666662</v>
      </c>
      <c r="G414" s="301">
        <v>930.4</v>
      </c>
      <c r="H414" s="301">
        <v>62.7</v>
      </c>
      <c r="I414" s="306"/>
      <c r="J414" s="300">
        <f t="shared" si="12"/>
        <v>0.99774798927613939</v>
      </c>
      <c r="K414" s="301" t="s">
        <v>295</v>
      </c>
      <c r="L414" s="301" t="s">
        <v>296</v>
      </c>
      <c r="M414" s="301"/>
    </row>
    <row r="415" spans="1:13">
      <c r="A415" s="301" t="s">
        <v>297</v>
      </c>
      <c r="B415" s="310">
        <v>50</v>
      </c>
      <c r="C415" s="301">
        <v>1770</v>
      </c>
      <c r="D415" s="301"/>
      <c r="E415" s="302">
        <v>486.33333333333331</v>
      </c>
      <c r="F415" s="302">
        <v>53.666666666666664</v>
      </c>
      <c r="G415" s="301">
        <v>36.700000000000003</v>
      </c>
      <c r="H415" s="301">
        <v>57.4</v>
      </c>
      <c r="I415" s="306"/>
      <c r="J415" s="300">
        <f t="shared" si="12"/>
        <v>0.9839142091152816</v>
      </c>
      <c r="K415" s="301" t="s">
        <v>295</v>
      </c>
      <c r="L415" s="301" t="s">
        <v>296</v>
      </c>
      <c r="M415" s="301"/>
    </row>
    <row r="416" spans="1:13">
      <c r="A416" s="301" t="s">
        <v>297</v>
      </c>
      <c r="B416" s="310">
        <v>50</v>
      </c>
      <c r="C416" s="301">
        <v>1770</v>
      </c>
      <c r="D416" s="301"/>
      <c r="E416" s="302">
        <v>482.33333333333331</v>
      </c>
      <c r="F416" s="302">
        <v>57.833333333333336</v>
      </c>
      <c r="G416" s="301">
        <v>40.299999999999997</v>
      </c>
      <c r="H416" s="301">
        <v>46.5</v>
      </c>
      <c r="I416" s="306"/>
      <c r="J416" s="300">
        <f t="shared" si="12"/>
        <v>1.0804289544235925</v>
      </c>
      <c r="K416" s="301" t="s">
        <v>295</v>
      </c>
      <c r="L416" s="301" t="s">
        <v>296</v>
      </c>
      <c r="M416" s="301"/>
    </row>
    <row r="417" spans="1:13">
      <c r="A417" s="301" t="s">
        <v>297</v>
      </c>
      <c r="B417" s="310">
        <v>30</v>
      </c>
      <c r="C417" s="301">
        <v>1770</v>
      </c>
      <c r="D417" s="301"/>
      <c r="E417" s="302">
        <v>478.66666666666669</v>
      </c>
      <c r="F417" s="302">
        <v>35.366666666666667</v>
      </c>
      <c r="G417" s="301">
        <v>22.7</v>
      </c>
      <c r="H417" s="301">
        <v>58.2</v>
      </c>
      <c r="I417" s="306"/>
      <c r="J417" s="300">
        <f t="shared" si="12"/>
        <v>1.0142984807864164</v>
      </c>
      <c r="K417" s="301" t="s">
        <v>295</v>
      </c>
      <c r="L417" s="301" t="s">
        <v>296</v>
      </c>
      <c r="M417" s="301"/>
    </row>
    <row r="418" spans="1:13">
      <c r="A418" s="301" t="s">
        <v>297</v>
      </c>
      <c r="B418" s="310">
        <v>40</v>
      </c>
      <c r="C418" s="301">
        <v>1770</v>
      </c>
      <c r="D418" s="301"/>
      <c r="E418" s="302">
        <v>480</v>
      </c>
      <c r="F418" s="302">
        <v>43.766666666666673</v>
      </c>
      <c r="G418" s="301">
        <v>27.7</v>
      </c>
      <c r="H418" s="301">
        <v>55.9</v>
      </c>
      <c r="I418" s="306"/>
      <c r="J418" s="300">
        <f t="shared" si="12"/>
        <v>0.92828418230563003</v>
      </c>
      <c r="K418" s="301" t="s">
        <v>295</v>
      </c>
      <c r="L418" s="301" t="s">
        <v>296</v>
      </c>
      <c r="M418" s="301"/>
    </row>
    <row r="419" spans="1:13">
      <c r="A419" s="301" t="s">
        <v>297</v>
      </c>
      <c r="B419" s="310">
        <v>40</v>
      </c>
      <c r="C419" s="301">
        <v>1770</v>
      </c>
      <c r="D419" s="301"/>
      <c r="E419" s="302">
        <v>479</v>
      </c>
      <c r="F419" s="302">
        <v>40.700000000000003</v>
      </c>
      <c r="G419" s="301">
        <v>26.5</v>
      </c>
      <c r="H419" s="301">
        <v>55.2</v>
      </c>
      <c r="I419" s="306"/>
      <c r="J419" s="300">
        <f t="shared" si="12"/>
        <v>0.88806970509383376</v>
      </c>
      <c r="K419" s="301" t="s">
        <v>295</v>
      </c>
      <c r="L419" s="301" t="s">
        <v>296</v>
      </c>
      <c r="M419" s="301"/>
    </row>
    <row r="420" spans="1:13">
      <c r="A420" s="301" t="s">
        <v>297</v>
      </c>
      <c r="B420" s="310">
        <v>100</v>
      </c>
      <c r="C420" s="301">
        <v>1770</v>
      </c>
      <c r="D420" s="301"/>
      <c r="E420" s="302">
        <v>448.33333333333331</v>
      </c>
      <c r="F420" s="302">
        <v>103.13333333333333</v>
      </c>
      <c r="G420" s="301">
        <v>68</v>
      </c>
      <c r="H420" s="301">
        <v>53.8</v>
      </c>
      <c r="I420" s="306"/>
      <c r="J420" s="300">
        <f t="shared" si="12"/>
        <v>0.91152815013404831</v>
      </c>
      <c r="K420" s="301" t="s">
        <v>295</v>
      </c>
      <c r="L420" s="301" t="s">
        <v>296</v>
      </c>
      <c r="M420" s="301"/>
    </row>
    <row r="421" spans="1:13">
      <c r="A421" s="301" t="s">
        <v>297</v>
      </c>
      <c r="B421" s="310">
        <v>100</v>
      </c>
      <c r="C421" s="301">
        <v>1770</v>
      </c>
      <c r="D421" s="301"/>
      <c r="E421" s="302">
        <v>446.33333333333331</v>
      </c>
      <c r="F421" s="302">
        <v>102.53333333333335</v>
      </c>
      <c r="G421" s="301">
        <v>67</v>
      </c>
      <c r="H421" s="301">
        <v>53.3</v>
      </c>
      <c r="I421" s="306"/>
      <c r="J421" s="300">
        <f t="shared" si="12"/>
        <v>0.89812332439678288</v>
      </c>
      <c r="K421" s="301" t="s">
        <v>295</v>
      </c>
      <c r="L421" s="301" t="s">
        <v>296</v>
      </c>
      <c r="M421" s="301"/>
    </row>
    <row r="422" spans="1:13">
      <c r="A422" s="301" t="s">
        <v>297</v>
      </c>
      <c r="B422" s="310">
        <v>200</v>
      </c>
      <c r="C422" s="301">
        <v>1770</v>
      </c>
      <c r="D422" s="301"/>
      <c r="E422" s="302">
        <v>446.33333333333331</v>
      </c>
      <c r="F422" s="302">
        <v>253.33333333333334</v>
      </c>
      <c r="G422" s="301">
        <v>166</v>
      </c>
      <c r="H422" s="301">
        <v>49.8</v>
      </c>
      <c r="I422" s="306"/>
      <c r="J422" s="300">
        <f t="shared" si="12"/>
        <v>1.1126005361930296</v>
      </c>
      <c r="K422" s="301" t="s">
        <v>295</v>
      </c>
      <c r="L422" s="301" t="s">
        <v>296</v>
      </c>
      <c r="M422" s="301"/>
    </row>
    <row r="423" spans="1:13">
      <c r="A423" s="301" t="s">
        <v>297</v>
      </c>
      <c r="B423" s="310">
        <v>250</v>
      </c>
      <c r="C423" s="301"/>
      <c r="D423" s="301"/>
      <c r="E423" s="302">
        <v>441.66666666666669</v>
      </c>
      <c r="F423" s="302">
        <v>252</v>
      </c>
      <c r="G423" s="301">
        <v>160</v>
      </c>
      <c r="H423" s="301">
        <v>62.5</v>
      </c>
      <c r="I423" s="306"/>
      <c r="J423" s="300">
        <f t="shared" si="12"/>
        <v>0.85790884718498661</v>
      </c>
      <c r="K423" s="301" t="s">
        <v>295</v>
      </c>
      <c r="L423" s="301" t="s">
        <v>296</v>
      </c>
      <c r="M423" s="301"/>
    </row>
    <row r="424" spans="1:13">
      <c r="A424" s="301" t="s">
        <v>297</v>
      </c>
      <c r="B424" s="310">
        <v>250</v>
      </c>
      <c r="C424" s="301"/>
      <c r="D424" s="301"/>
      <c r="E424" s="302">
        <v>440.66666666666669</v>
      </c>
      <c r="F424" s="302">
        <v>280</v>
      </c>
      <c r="G424" s="301">
        <v>180.4</v>
      </c>
      <c r="H424" s="301">
        <v>54.9</v>
      </c>
      <c r="I424" s="306"/>
      <c r="J424" s="300">
        <f t="shared" si="12"/>
        <v>0.96729222520107239</v>
      </c>
      <c r="K424" s="301" t="s">
        <v>295</v>
      </c>
      <c r="L424" s="301" t="s">
        <v>296</v>
      </c>
      <c r="M424" s="301"/>
    </row>
    <row r="425" spans="1:13">
      <c r="A425" s="301" t="s">
        <v>294</v>
      </c>
      <c r="B425" s="310">
        <v>300</v>
      </c>
      <c r="C425" s="301"/>
      <c r="D425" s="301"/>
      <c r="E425" s="302">
        <v>4300</v>
      </c>
      <c r="F425" s="302">
        <v>37.1</v>
      </c>
      <c r="G425" s="301">
        <v>233</v>
      </c>
      <c r="H425" s="301">
        <v>64.2</v>
      </c>
      <c r="I425" s="306"/>
      <c r="J425" s="300">
        <f t="shared" si="12"/>
        <v>1.0411081322609472</v>
      </c>
      <c r="K425" s="301" t="s">
        <v>295</v>
      </c>
      <c r="L425" s="301" t="s">
        <v>296</v>
      </c>
      <c r="M425" s="301"/>
    </row>
    <row r="426" spans="1:13">
      <c r="A426" s="301" t="s">
        <v>294</v>
      </c>
      <c r="B426" s="310">
        <v>150</v>
      </c>
      <c r="C426" s="301"/>
      <c r="D426" s="301"/>
      <c r="E426" s="302">
        <v>4283.333333333333</v>
      </c>
      <c r="F426" s="302">
        <v>18</v>
      </c>
      <c r="G426" s="301">
        <v>113.5</v>
      </c>
      <c r="H426" s="301">
        <v>69.900000000000006</v>
      </c>
      <c r="I426" s="306"/>
      <c r="J426" s="300">
        <f t="shared" si="12"/>
        <v>1.0142984807864164</v>
      </c>
      <c r="K426" s="301" t="s">
        <v>295</v>
      </c>
      <c r="L426" s="301" t="s">
        <v>296</v>
      </c>
      <c r="M426" s="301"/>
    </row>
    <row r="427" spans="1:13">
      <c r="A427" s="301" t="s">
        <v>294</v>
      </c>
      <c r="B427" s="310">
        <v>150</v>
      </c>
      <c r="C427" s="301">
        <v>1180</v>
      </c>
      <c r="D427" s="301"/>
      <c r="E427" s="302">
        <v>4270</v>
      </c>
      <c r="F427" s="302">
        <v>19.833333333333332</v>
      </c>
      <c r="G427" s="301">
        <v>119.4</v>
      </c>
      <c r="H427" s="301">
        <v>65.5</v>
      </c>
      <c r="I427" s="306"/>
      <c r="J427" s="300">
        <f t="shared" si="12"/>
        <v>1.0670241286863271</v>
      </c>
      <c r="K427" s="301" t="s">
        <v>295</v>
      </c>
      <c r="L427" s="301" t="s">
        <v>296</v>
      </c>
      <c r="M427" s="301"/>
    </row>
    <row r="428" spans="1:13">
      <c r="A428" s="301" t="s">
        <v>294</v>
      </c>
      <c r="B428" s="310">
        <v>300</v>
      </c>
      <c r="C428" s="301">
        <v>1180</v>
      </c>
      <c r="D428" s="301"/>
      <c r="E428" s="302">
        <v>4285</v>
      </c>
      <c r="F428" s="302">
        <v>37.166666666666664</v>
      </c>
      <c r="G428" s="301">
        <v>233.4</v>
      </c>
      <c r="H428" s="301">
        <v>70.8</v>
      </c>
      <c r="I428" s="306"/>
      <c r="J428" s="300">
        <f t="shared" si="12"/>
        <v>1.0428954423592494</v>
      </c>
      <c r="K428" s="301" t="s">
        <v>295</v>
      </c>
      <c r="L428" s="301" t="s">
        <v>296</v>
      </c>
      <c r="M428" s="301"/>
    </row>
    <row r="429" spans="1:13">
      <c r="A429" s="301" t="s">
        <v>297</v>
      </c>
      <c r="B429" s="310">
        <v>2500</v>
      </c>
      <c r="C429" s="301">
        <v>1200</v>
      </c>
      <c r="D429" s="301"/>
      <c r="E429" s="302">
        <v>0</v>
      </c>
      <c r="F429" s="302">
        <v>0</v>
      </c>
      <c r="G429" s="301">
        <v>1954.1</v>
      </c>
      <c r="H429" s="301">
        <v>0</v>
      </c>
      <c r="I429" s="306"/>
      <c r="J429" s="300">
        <f t="shared" si="12"/>
        <v>1.0477747989276138</v>
      </c>
      <c r="K429" s="301" t="s">
        <v>295</v>
      </c>
      <c r="L429" s="301" t="s">
        <v>296</v>
      </c>
      <c r="M429" s="301"/>
    </row>
    <row r="430" spans="1:13">
      <c r="A430" s="301" t="s">
        <v>297</v>
      </c>
      <c r="B430" s="310">
        <v>900</v>
      </c>
      <c r="C430" s="301">
        <v>900</v>
      </c>
      <c r="D430" s="301"/>
      <c r="E430" s="302">
        <v>2383.3333333333335</v>
      </c>
      <c r="F430" s="302">
        <v>123</v>
      </c>
      <c r="G430" s="301">
        <v>497.6</v>
      </c>
      <c r="H430" s="301">
        <v>89.2</v>
      </c>
      <c r="I430" s="306"/>
      <c r="J430" s="300">
        <f t="shared" si="12"/>
        <v>0.74113792076258567</v>
      </c>
      <c r="K430" s="301" t="s">
        <v>295</v>
      </c>
      <c r="L430" s="301" t="s">
        <v>296</v>
      </c>
      <c r="M430" s="301"/>
    </row>
    <row r="431" spans="1:13">
      <c r="A431" s="301" t="s">
        <v>297</v>
      </c>
      <c r="B431" s="310">
        <v>900</v>
      </c>
      <c r="C431" s="301">
        <v>900</v>
      </c>
      <c r="D431" s="301"/>
      <c r="E431" s="302">
        <v>2302.6666666666665</v>
      </c>
      <c r="F431" s="302">
        <v>0</v>
      </c>
      <c r="G431" s="301">
        <v>528</v>
      </c>
      <c r="H431" s="301">
        <v>90.4</v>
      </c>
      <c r="I431" s="306"/>
      <c r="J431" s="300">
        <f t="shared" si="12"/>
        <v>0.78641644325290438</v>
      </c>
      <c r="K431" s="301" t="s">
        <v>295</v>
      </c>
      <c r="L431" s="301" t="s">
        <v>296</v>
      </c>
      <c r="M431" s="301"/>
    </row>
    <row r="432" spans="1:13">
      <c r="A432" s="301" t="s">
        <v>297</v>
      </c>
      <c r="B432" s="310">
        <v>900</v>
      </c>
      <c r="C432" s="301">
        <v>900</v>
      </c>
      <c r="D432" s="301"/>
      <c r="E432" s="302">
        <v>2333.6666666666665</v>
      </c>
      <c r="F432" s="302">
        <v>0</v>
      </c>
      <c r="G432" s="301">
        <v>533</v>
      </c>
      <c r="H432" s="301">
        <v>85.4</v>
      </c>
      <c r="I432" s="306"/>
      <c r="J432" s="300">
        <f t="shared" si="12"/>
        <v>0.7938635686624963</v>
      </c>
      <c r="K432" s="301" t="s">
        <v>295</v>
      </c>
      <c r="L432" s="301" t="s">
        <v>296</v>
      </c>
      <c r="M432" s="301"/>
    </row>
    <row r="433" spans="1:13">
      <c r="A433" s="301" t="s">
        <v>294</v>
      </c>
      <c r="B433" s="310">
        <v>450</v>
      </c>
      <c r="C433" s="301">
        <v>900</v>
      </c>
      <c r="D433" s="301"/>
      <c r="E433" s="302">
        <v>2548</v>
      </c>
      <c r="F433" s="302">
        <v>73.333333333333329</v>
      </c>
      <c r="G433" s="301">
        <v>320.39999999999998</v>
      </c>
      <c r="H433" s="301">
        <v>76.099999999999994</v>
      </c>
      <c r="I433" s="306"/>
      <c r="J433" s="300">
        <f t="shared" si="12"/>
        <v>0.95442359249329756</v>
      </c>
      <c r="K433" s="301" t="s">
        <v>295</v>
      </c>
      <c r="L433" s="301" t="s">
        <v>296</v>
      </c>
      <c r="M433" s="301"/>
    </row>
    <row r="434" spans="1:13">
      <c r="A434" s="301" t="s">
        <v>294</v>
      </c>
      <c r="B434" s="310">
        <v>450</v>
      </c>
      <c r="C434" s="301">
        <v>900</v>
      </c>
      <c r="D434" s="301"/>
      <c r="E434" s="302">
        <v>2461.6666666666665</v>
      </c>
      <c r="F434" s="302">
        <v>94.666666666666671</v>
      </c>
      <c r="G434" s="301">
        <v>399.6</v>
      </c>
      <c r="H434" s="301">
        <v>76.8</v>
      </c>
      <c r="I434" s="306"/>
      <c r="J434" s="300">
        <f t="shared" si="12"/>
        <v>1.190348525469169</v>
      </c>
      <c r="K434" s="301" t="s">
        <v>295</v>
      </c>
      <c r="L434" s="301" t="s">
        <v>296</v>
      </c>
      <c r="M434" s="301"/>
    </row>
    <row r="435" spans="1:13">
      <c r="A435" s="301" t="s">
        <v>294</v>
      </c>
      <c r="B435" s="310">
        <v>200</v>
      </c>
      <c r="C435" s="301"/>
      <c r="D435" s="301"/>
      <c r="E435" s="302">
        <v>2523.6666666666665</v>
      </c>
      <c r="F435" s="302">
        <v>35.666666666666664</v>
      </c>
      <c r="G435" s="301">
        <v>155.9</v>
      </c>
      <c r="H435" s="301">
        <v>66.900000000000006</v>
      </c>
      <c r="I435" s="306"/>
      <c r="J435" s="300">
        <f t="shared" si="12"/>
        <v>1.0449061662198393</v>
      </c>
      <c r="K435" s="301" t="s">
        <v>295</v>
      </c>
      <c r="L435" s="301" t="s">
        <v>296</v>
      </c>
      <c r="M435" s="301"/>
    </row>
    <row r="436" spans="1:13">
      <c r="A436" s="301" t="s">
        <v>298</v>
      </c>
      <c r="B436" s="310">
        <v>100</v>
      </c>
      <c r="C436" s="301">
        <v>1775</v>
      </c>
      <c r="D436" s="301"/>
      <c r="E436" s="302">
        <v>489</v>
      </c>
      <c r="F436" s="302">
        <v>125.06666666666666</v>
      </c>
      <c r="G436" s="301">
        <v>84</v>
      </c>
      <c r="H436" s="301">
        <v>68.400000000000006</v>
      </c>
      <c r="I436" s="306"/>
      <c r="J436" s="300">
        <f t="shared" si="12"/>
        <v>1.126005361930295</v>
      </c>
      <c r="K436" s="301" t="s">
        <v>295</v>
      </c>
      <c r="L436" s="301" t="s">
        <v>296</v>
      </c>
      <c r="M436" s="301"/>
    </row>
    <row r="437" spans="1:13">
      <c r="A437" s="301" t="s">
        <v>298</v>
      </c>
      <c r="B437" s="310">
        <v>150</v>
      </c>
      <c r="C437" s="301">
        <v>1780</v>
      </c>
      <c r="D437" s="301"/>
      <c r="E437" s="302">
        <v>486.66666666666669</v>
      </c>
      <c r="F437" s="302">
        <v>177</v>
      </c>
      <c r="G437" s="301">
        <v>120</v>
      </c>
      <c r="H437" s="301">
        <v>85.1</v>
      </c>
      <c r="I437" s="306"/>
      <c r="J437" s="300">
        <f t="shared" si="12"/>
        <v>1.0723860589812333</v>
      </c>
      <c r="K437" s="301" t="s">
        <v>295</v>
      </c>
      <c r="L437" s="301" t="s">
        <v>296</v>
      </c>
      <c r="M437" s="301"/>
    </row>
    <row r="438" spans="1:13">
      <c r="A438" s="301" t="s">
        <v>299</v>
      </c>
      <c r="B438" s="310">
        <v>100</v>
      </c>
      <c r="C438" s="301"/>
      <c r="D438" s="301"/>
      <c r="E438" s="302">
        <v>483.33333333333331</v>
      </c>
      <c r="F438" s="302">
        <v>110</v>
      </c>
      <c r="G438" s="301">
        <v>88.4</v>
      </c>
      <c r="H438" s="301">
        <v>58.1</v>
      </c>
      <c r="I438" s="306"/>
      <c r="J438" s="300">
        <f t="shared" si="12"/>
        <v>1.1849865951742629</v>
      </c>
      <c r="K438" s="301" t="s">
        <v>295</v>
      </c>
      <c r="L438" s="301" t="s">
        <v>296</v>
      </c>
      <c r="M438" s="301"/>
    </row>
    <row r="439" spans="1:13">
      <c r="A439" s="301" t="s">
        <v>294</v>
      </c>
      <c r="B439" s="310">
        <v>60</v>
      </c>
      <c r="C439" s="301"/>
      <c r="D439" s="301"/>
      <c r="E439" s="302">
        <v>477</v>
      </c>
      <c r="F439" s="302">
        <v>62</v>
      </c>
      <c r="G439" s="301">
        <v>40</v>
      </c>
      <c r="H439" s="301">
        <v>55.5</v>
      </c>
      <c r="I439" s="306"/>
      <c r="J439" s="300">
        <f t="shared" si="12"/>
        <v>0.89365504915102778</v>
      </c>
      <c r="K439" s="301" t="s">
        <v>295</v>
      </c>
      <c r="L439" s="301" t="s">
        <v>296</v>
      </c>
      <c r="M439" s="301"/>
    </row>
    <row r="440" spans="1:13">
      <c r="A440" s="301" t="s">
        <v>300</v>
      </c>
      <c r="B440" s="310">
        <v>25</v>
      </c>
      <c r="C440" s="301">
        <v>1200</v>
      </c>
      <c r="D440" s="301"/>
      <c r="E440" s="302">
        <v>478</v>
      </c>
      <c r="F440" s="302">
        <v>27.666666666666668</v>
      </c>
      <c r="G440" s="301">
        <v>19.8</v>
      </c>
      <c r="H440" s="301">
        <v>54.2</v>
      </c>
      <c r="I440" s="306"/>
      <c r="J440" s="300">
        <f t="shared" si="12"/>
        <v>1.061662198391421</v>
      </c>
      <c r="K440" s="301" t="s">
        <v>295</v>
      </c>
      <c r="L440" s="301" t="s">
        <v>296</v>
      </c>
      <c r="M440" s="301"/>
    </row>
    <row r="441" spans="1:13">
      <c r="A441" s="301" t="s">
        <v>299</v>
      </c>
      <c r="B441" s="310">
        <v>50</v>
      </c>
      <c r="C441" s="301">
        <v>1200</v>
      </c>
      <c r="D441" s="301"/>
      <c r="E441" s="302">
        <v>489</v>
      </c>
      <c r="F441" s="302">
        <v>45</v>
      </c>
      <c r="G441" s="301">
        <v>32.4</v>
      </c>
      <c r="H441" s="301">
        <v>66.900000000000006</v>
      </c>
      <c r="I441" s="306"/>
      <c r="J441" s="300">
        <f t="shared" si="12"/>
        <v>0.86863270777479895</v>
      </c>
      <c r="K441" s="301" t="s">
        <v>295</v>
      </c>
      <c r="L441" s="301" t="s">
        <v>296</v>
      </c>
      <c r="M441" s="301"/>
    </row>
    <row r="442" spans="1:13">
      <c r="A442" s="301" t="s">
        <v>294</v>
      </c>
      <c r="B442" s="310">
        <v>50</v>
      </c>
      <c r="C442" s="301"/>
      <c r="D442" s="301"/>
      <c r="E442" s="302">
        <v>491</v>
      </c>
      <c r="F442" s="302">
        <v>65.333333333333329</v>
      </c>
      <c r="G442" s="301">
        <v>44.4</v>
      </c>
      <c r="H442" s="301">
        <v>45.4</v>
      </c>
      <c r="I442" s="306"/>
      <c r="J442" s="300">
        <f t="shared" si="12"/>
        <v>1.190348525469169</v>
      </c>
      <c r="K442" s="301" t="s">
        <v>295</v>
      </c>
      <c r="L442" s="301" t="s">
        <v>296</v>
      </c>
      <c r="M442" s="301"/>
    </row>
    <row r="443" spans="1:13">
      <c r="A443" s="301" t="s">
        <v>294</v>
      </c>
      <c r="B443" s="310">
        <v>150</v>
      </c>
      <c r="C443" s="301">
        <v>1800</v>
      </c>
      <c r="D443" s="301"/>
      <c r="E443" s="302">
        <v>483.33333333333331</v>
      </c>
      <c r="F443" s="302">
        <v>140</v>
      </c>
      <c r="G443" s="301">
        <v>83.2</v>
      </c>
      <c r="H443" s="301">
        <v>61.3</v>
      </c>
      <c r="I443" s="306"/>
      <c r="J443" s="300">
        <f t="shared" si="12"/>
        <v>0.74352100089365503</v>
      </c>
      <c r="K443" s="301" t="s">
        <v>295</v>
      </c>
      <c r="L443" s="301" t="s">
        <v>296</v>
      </c>
      <c r="M443" s="301"/>
    </row>
    <row r="444" spans="1:13">
      <c r="A444" s="301" t="s">
        <v>294</v>
      </c>
      <c r="B444" s="310">
        <v>50</v>
      </c>
      <c r="C444" s="301"/>
      <c r="D444" s="301"/>
      <c r="E444" s="302">
        <v>490.66666666666669</v>
      </c>
      <c r="F444" s="302">
        <v>52.666666666666664</v>
      </c>
      <c r="G444" s="301">
        <v>36.9</v>
      </c>
      <c r="H444" s="301">
        <v>59.7</v>
      </c>
      <c r="I444" s="306"/>
      <c r="J444" s="300">
        <f t="shared" si="12"/>
        <v>0.98927613941018766</v>
      </c>
      <c r="K444" s="301" t="s">
        <v>295</v>
      </c>
      <c r="L444" s="301" t="s">
        <v>296</v>
      </c>
      <c r="M444" s="301"/>
    </row>
    <row r="445" spans="1:13">
      <c r="A445" s="301" t="s">
        <v>294</v>
      </c>
      <c r="B445" s="310">
        <v>50</v>
      </c>
      <c r="C445" s="301"/>
      <c r="D445" s="301"/>
      <c r="E445" s="302">
        <v>491.33333333333331</v>
      </c>
      <c r="F445" s="302">
        <v>64</v>
      </c>
      <c r="G445" s="301">
        <v>41.8</v>
      </c>
      <c r="H445" s="301">
        <v>60.3</v>
      </c>
      <c r="I445" s="306"/>
      <c r="J445" s="300">
        <f t="shared" si="12"/>
        <v>1.1206434316353888</v>
      </c>
      <c r="K445" s="301" t="s">
        <v>295</v>
      </c>
      <c r="L445" s="301" t="s">
        <v>296</v>
      </c>
      <c r="M445" s="301"/>
    </row>
    <row r="446" spans="1:13">
      <c r="A446" s="301" t="s">
        <v>294</v>
      </c>
      <c r="B446" s="310">
        <v>40</v>
      </c>
      <c r="C446" s="301"/>
      <c r="D446" s="301"/>
      <c r="E446" s="302">
        <v>488.33333333333331</v>
      </c>
      <c r="F446" s="302">
        <v>41.666666666666664</v>
      </c>
      <c r="G446" s="301">
        <v>33.200000000000003</v>
      </c>
      <c r="H446" s="301">
        <v>70</v>
      </c>
      <c r="I446" s="306"/>
      <c r="J446" s="300">
        <f t="shared" si="12"/>
        <v>1.1126005361930296</v>
      </c>
      <c r="K446" s="301" t="s">
        <v>295</v>
      </c>
      <c r="L446" s="301" t="s">
        <v>296</v>
      </c>
      <c r="M446" s="301"/>
    </row>
    <row r="447" spans="1:13">
      <c r="A447" s="301" t="s">
        <v>300</v>
      </c>
      <c r="B447" s="310">
        <v>25</v>
      </c>
      <c r="C447" s="301"/>
      <c r="D447" s="301"/>
      <c r="E447" s="302">
        <v>234.66666666666666</v>
      </c>
      <c r="F447" s="302">
        <v>60.333333333333336</v>
      </c>
      <c r="G447" s="301">
        <v>20.2</v>
      </c>
      <c r="H447" s="301">
        <v>60.3</v>
      </c>
      <c r="I447" s="306"/>
      <c r="J447" s="300">
        <f t="shared" si="12"/>
        <v>1.0831099195710456</v>
      </c>
      <c r="K447" s="301" t="s">
        <v>295</v>
      </c>
      <c r="L447" s="301" t="s">
        <v>296</v>
      </c>
      <c r="M447" s="301"/>
    </row>
    <row r="448" spans="1:13">
      <c r="A448" s="301" t="s">
        <v>294</v>
      </c>
      <c r="B448" s="310">
        <v>40</v>
      </c>
      <c r="C448" s="301"/>
      <c r="D448" s="301"/>
      <c r="E448" s="302">
        <v>486</v>
      </c>
      <c r="F448" s="302">
        <v>49</v>
      </c>
      <c r="G448" s="301">
        <v>32.9</v>
      </c>
      <c r="H448" s="301">
        <v>47.6</v>
      </c>
      <c r="I448" s="306"/>
      <c r="J448" s="300">
        <f t="shared" si="12"/>
        <v>1.1025469168900803</v>
      </c>
      <c r="K448" s="301" t="s">
        <v>295</v>
      </c>
      <c r="L448" s="301" t="s">
        <v>296</v>
      </c>
      <c r="M448" s="301"/>
    </row>
    <row r="449" spans="1:13">
      <c r="A449" s="301" t="s">
        <v>299</v>
      </c>
      <c r="B449" s="310">
        <v>40</v>
      </c>
      <c r="C449" s="301"/>
      <c r="D449" s="301"/>
      <c r="E449" s="302">
        <v>485.66666666666669</v>
      </c>
      <c r="F449" s="302">
        <v>43</v>
      </c>
      <c r="G449" s="301">
        <v>31.1</v>
      </c>
      <c r="H449" s="301">
        <v>51.9</v>
      </c>
      <c r="I449" s="306"/>
      <c r="J449" s="300">
        <f t="shared" si="12"/>
        <v>1.042225201072386</v>
      </c>
      <c r="K449" s="301" t="s">
        <v>295</v>
      </c>
      <c r="L449" s="301" t="s">
        <v>296</v>
      </c>
      <c r="M449" s="301"/>
    </row>
    <row r="450" spans="1:13">
      <c r="A450" s="301" t="s">
        <v>294</v>
      </c>
      <c r="B450" s="310">
        <v>60</v>
      </c>
      <c r="C450" s="301"/>
      <c r="D450" s="301"/>
      <c r="E450" s="302">
        <v>486</v>
      </c>
      <c r="F450" s="302">
        <v>77.333333333333329</v>
      </c>
      <c r="G450" s="301">
        <v>56</v>
      </c>
      <c r="H450" s="301">
        <v>52.5</v>
      </c>
      <c r="I450" s="306"/>
      <c r="J450" s="300">
        <f t="shared" si="12"/>
        <v>1.2511170688114388</v>
      </c>
      <c r="K450" s="301" t="s">
        <v>295</v>
      </c>
      <c r="L450" s="301" t="s">
        <v>296</v>
      </c>
      <c r="M450" s="301"/>
    </row>
    <row r="451" spans="1:13">
      <c r="A451" s="301" t="s">
        <v>302</v>
      </c>
      <c r="B451" s="310">
        <v>30</v>
      </c>
      <c r="C451" s="301"/>
      <c r="D451" s="301"/>
      <c r="E451" s="302">
        <v>241.66666666666666</v>
      </c>
      <c r="F451" s="302">
        <v>46.6</v>
      </c>
      <c r="G451" s="301">
        <v>15.5</v>
      </c>
      <c r="H451" s="301">
        <v>19.899999999999999</v>
      </c>
      <c r="I451" s="306"/>
      <c r="J451" s="300">
        <f t="shared" si="12"/>
        <v>0.69258266309204652</v>
      </c>
      <c r="K451" s="301" t="s">
        <v>295</v>
      </c>
      <c r="L451" s="301" t="s">
        <v>296</v>
      </c>
      <c r="M451" s="301"/>
    </row>
    <row r="452" spans="1:13">
      <c r="A452" s="301" t="s">
        <v>302</v>
      </c>
      <c r="B452" s="310">
        <v>25</v>
      </c>
      <c r="C452" s="301"/>
      <c r="D452" s="301"/>
      <c r="E452" s="302">
        <v>243.66666666666666</v>
      </c>
      <c r="F452" s="302">
        <v>30.133333333333329</v>
      </c>
      <c r="G452" s="301">
        <v>10.199999999999999</v>
      </c>
      <c r="H452" s="301">
        <v>20.2</v>
      </c>
      <c r="I452" s="306"/>
      <c r="J452" s="300">
        <f t="shared" si="12"/>
        <v>0.54691689008042899</v>
      </c>
      <c r="K452" s="301" t="s">
        <v>295</v>
      </c>
      <c r="L452" s="301" t="s">
        <v>296</v>
      </c>
      <c r="M452" s="301"/>
    </row>
    <row r="453" spans="1:13">
      <c r="A453" s="301" t="s">
        <v>294</v>
      </c>
      <c r="B453" s="310">
        <v>250</v>
      </c>
      <c r="C453" s="301">
        <v>1770</v>
      </c>
      <c r="D453" s="301"/>
      <c r="E453" s="302">
        <v>162</v>
      </c>
      <c r="F453" s="302">
        <v>102.33333333333333</v>
      </c>
      <c r="G453" s="301">
        <v>242.9</v>
      </c>
      <c r="H453" s="301">
        <v>49.3</v>
      </c>
      <c r="I453" s="306"/>
      <c r="J453" s="300">
        <f t="shared" si="12"/>
        <v>1.3024128686327079</v>
      </c>
      <c r="K453" s="301" t="s">
        <v>295</v>
      </c>
      <c r="L453" s="301" t="s">
        <v>296</v>
      </c>
      <c r="M453" s="301"/>
    </row>
    <row r="454" spans="1:13">
      <c r="A454" s="301" t="s">
        <v>294</v>
      </c>
      <c r="B454" s="310">
        <v>250</v>
      </c>
      <c r="C454" s="301">
        <v>1770</v>
      </c>
      <c r="D454" s="301"/>
      <c r="E454" s="302">
        <v>0</v>
      </c>
      <c r="F454" s="302">
        <v>0</v>
      </c>
      <c r="G454" s="301">
        <v>205.3</v>
      </c>
      <c r="H454" s="301">
        <v>68.7</v>
      </c>
      <c r="I454" s="306"/>
      <c r="J454" s="300">
        <f t="shared" si="12"/>
        <v>1.100804289544236</v>
      </c>
      <c r="K454" s="301" t="s">
        <v>295</v>
      </c>
      <c r="L454" s="301" t="s">
        <v>296</v>
      </c>
      <c r="M454" s="301"/>
    </row>
    <row r="455" spans="1:13">
      <c r="A455" s="301" t="s">
        <v>294</v>
      </c>
      <c r="B455" s="310">
        <v>400</v>
      </c>
      <c r="C455" s="301">
        <v>1760</v>
      </c>
      <c r="D455" s="301"/>
      <c r="E455" s="302">
        <v>160.66666666666666</v>
      </c>
      <c r="F455" s="302">
        <v>136</v>
      </c>
      <c r="G455" s="301">
        <v>320.2</v>
      </c>
      <c r="H455" s="301">
        <v>60.8</v>
      </c>
      <c r="I455" s="306"/>
      <c r="J455" s="300">
        <f t="shared" si="12"/>
        <v>1.0730563002680966</v>
      </c>
      <c r="K455" s="301" t="s">
        <v>295</v>
      </c>
      <c r="L455" s="301" t="s">
        <v>296</v>
      </c>
      <c r="M455" s="301"/>
    </row>
    <row r="456" spans="1:13">
      <c r="A456" s="301" t="s">
        <v>299</v>
      </c>
      <c r="B456" s="310">
        <v>720</v>
      </c>
      <c r="C456" s="301">
        <v>300</v>
      </c>
      <c r="D456" s="301"/>
      <c r="E456" s="302">
        <v>796.66666666666663</v>
      </c>
      <c r="F456" s="302">
        <v>173.66666666666666</v>
      </c>
      <c r="G456" s="301">
        <v>726.1</v>
      </c>
      <c r="H456" s="301">
        <v>59.3</v>
      </c>
      <c r="I456" s="306"/>
      <c r="J456" s="300">
        <f t="shared" si="12"/>
        <v>1.3518394399761693</v>
      </c>
      <c r="K456" s="301" t="s">
        <v>295</v>
      </c>
      <c r="L456" s="301" t="s">
        <v>296</v>
      </c>
      <c r="M456" s="301"/>
    </row>
    <row r="457" spans="1:13">
      <c r="A457" s="301" t="s">
        <v>299</v>
      </c>
      <c r="B457" s="310">
        <v>720</v>
      </c>
      <c r="C457" s="301">
        <v>300</v>
      </c>
      <c r="D457" s="301"/>
      <c r="E457" s="302">
        <v>795</v>
      </c>
      <c r="F457" s="302">
        <v>156</v>
      </c>
      <c r="G457" s="301">
        <v>650.9</v>
      </c>
      <c r="H457" s="301">
        <v>62.5</v>
      </c>
      <c r="I457" s="306"/>
      <c r="J457" s="300">
        <f t="shared" si="12"/>
        <v>1.2118334822758414</v>
      </c>
      <c r="K457" s="301" t="s">
        <v>295</v>
      </c>
      <c r="L457" s="301" t="s">
        <v>296</v>
      </c>
      <c r="M457" s="301"/>
    </row>
    <row r="458" spans="1:13">
      <c r="A458" s="301" t="s">
        <v>299</v>
      </c>
      <c r="B458" s="310">
        <v>720</v>
      </c>
      <c r="C458" s="301">
        <v>300</v>
      </c>
      <c r="D458" s="301"/>
      <c r="E458" s="302">
        <v>800</v>
      </c>
      <c r="F458" s="302">
        <v>161.83333333333334</v>
      </c>
      <c r="G458" s="301">
        <v>679.5</v>
      </c>
      <c r="H458" s="301">
        <v>60.1</v>
      </c>
      <c r="I458" s="306"/>
      <c r="J458" s="300">
        <f t="shared" si="12"/>
        <v>1.2650804289544235</v>
      </c>
      <c r="K458" s="301" t="s">
        <v>295</v>
      </c>
      <c r="L458" s="301" t="s">
        <v>296</v>
      </c>
      <c r="M458" s="301"/>
    </row>
    <row r="459" spans="1:13">
      <c r="A459" s="301" t="s">
        <v>299</v>
      </c>
      <c r="B459" s="310">
        <v>720</v>
      </c>
      <c r="C459" s="301">
        <v>300</v>
      </c>
      <c r="D459" s="301"/>
      <c r="E459" s="302">
        <v>800</v>
      </c>
      <c r="F459" s="302">
        <v>164</v>
      </c>
      <c r="G459" s="301">
        <v>688.6</v>
      </c>
      <c r="H459" s="301">
        <v>68.099999999999994</v>
      </c>
      <c r="I459" s="306"/>
      <c r="J459" s="300">
        <f t="shared" si="12"/>
        <v>1.2820226392612453</v>
      </c>
      <c r="K459" s="301" t="s">
        <v>295</v>
      </c>
      <c r="L459" s="301" t="s">
        <v>296</v>
      </c>
      <c r="M459" s="301"/>
    </row>
    <row r="460" spans="1:13">
      <c r="A460" s="301" t="s">
        <v>299</v>
      </c>
      <c r="B460" s="310">
        <v>800</v>
      </c>
      <c r="C460" s="301">
        <v>300</v>
      </c>
      <c r="D460" s="301"/>
      <c r="E460" s="302">
        <v>793.33333333333337</v>
      </c>
      <c r="F460" s="302">
        <v>125.66666666666667</v>
      </c>
      <c r="G460" s="301">
        <v>784.8</v>
      </c>
      <c r="H460" s="301">
        <v>74.3</v>
      </c>
      <c r="I460" s="306"/>
      <c r="J460" s="300">
        <f t="shared" si="12"/>
        <v>1.3150134048257374</v>
      </c>
      <c r="K460" s="301" t="s">
        <v>295</v>
      </c>
      <c r="L460" s="301" t="s">
        <v>296</v>
      </c>
      <c r="M460" s="301"/>
    </row>
    <row r="461" spans="1:13">
      <c r="A461" s="301" t="s">
        <v>299</v>
      </c>
      <c r="B461" s="310">
        <v>720</v>
      </c>
      <c r="C461" s="301">
        <v>300</v>
      </c>
      <c r="D461" s="301"/>
      <c r="E461" s="302">
        <v>800</v>
      </c>
      <c r="F461" s="302">
        <v>172</v>
      </c>
      <c r="G461" s="301">
        <v>722.1</v>
      </c>
      <c r="H461" s="301">
        <v>59.5</v>
      </c>
      <c r="I461" s="306"/>
      <c r="J461" s="300">
        <f t="shared" si="12"/>
        <v>1.3443923145665773</v>
      </c>
      <c r="K461" s="301" t="s">
        <v>295</v>
      </c>
      <c r="L461" s="301" t="s">
        <v>296</v>
      </c>
      <c r="M461" s="301"/>
    </row>
    <row r="462" spans="1:13">
      <c r="A462" s="301" t="s">
        <v>299</v>
      </c>
      <c r="B462" s="310">
        <v>720</v>
      </c>
      <c r="C462" s="301">
        <v>300</v>
      </c>
      <c r="D462" s="301"/>
      <c r="E462" s="302">
        <v>800</v>
      </c>
      <c r="F462" s="302">
        <v>160.66666666666666</v>
      </c>
      <c r="G462" s="301">
        <v>674.6</v>
      </c>
      <c r="H462" s="301">
        <v>57.1</v>
      </c>
      <c r="I462" s="306"/>
      <c r="J462" s="300">
        <f t="shared" si="12"/>
        <v>1.2559577003276736</v>
      </c>
      <c r="K462" s="301" t="s">
        <v>295</v>
      </c>
      <c r="L462" s="301" t="s">
        <v>296</v>
      </c>
      <c r="M462" s="301"/>
    </row>
    <row r="463" spans="1:13">
      <c r="A463" s="301" t="s">
        <v>299</v>
      </c>
      <c r="B463" s="310">
        <v>720</v>
      </c>
      <c r="C463" s="301">
        <v>300</v>
      </c>
      <c r="D463" s="301"/>
      <c r="E463" s="302">
        <v>800</v>
      </c>
      <c r="F463" s="302">
        <v>182</v>
      </c>
      <c r="G463" s="301">
        <v>764.1</v>
      </c>
      <c r="H463" s="301">
        <v>74.5</v>
      </c>
      <c r="I463" s="306"/>
      <c r="J463" s="300">
        <f t="shared" si="12"/>
        <v>1.4225871313672922</v>
      </c>
      <c r="K463" s="301" t="s">
        <v>295</v>
      </c>
      <c r="L463" s="301" t="s">
        <v>296</v>
      </c>
      <c r="M463" s="301"/>
    </row>
    <row r="464" spans="1:13">
      <c r="A464" s="301" t="s">
        <v>299</v>
      </c>
      <c r="B464" s="310">
        <v>720</v>
      </c>
      <c r="C464" s="301">
        <v>300</v>
      </c>
      <c r="D464" s="301"/>
      <c r="E464" s="302">
        <v>800</v>
      </c>
      <c r="F464" s="302">
        <v>164</v>
      </c>
      <c r="G464" s="301">
        <v>688.6</v>
      </c>
      <c r="H464" s="301">
        <v>74</v>
      </c>
      <c r="I464" s="306"/>
      <c r="J464" s="300">
        <f t="shared" si="12"/>
        <v>1.2820226392612453</v>
      </c>
      <c r="K464" s="301" t="s">
        <v>295</v>
      </c>
      <c r="L464" s="301" t="s">
        <v>296</v>
      </c>
      <c r="M464" s="301"/>
    </row>
    <row r="465" spans="1:13">
      <c r="A465" s="301" t="s">
        <v>299</v>
      </c>
      <c r="B465" s="310">
        <v>360</v>
      </c>
      <c r="C465" s="301">
        <v>300</v>
      </c>
      <c r="D465" s="301"/>
      <c r="E465" s="302">
        <v>800</v>
      </c>
      <c r="F465" s="302">
        <v>32.333333333333336</v>
      </c>
      <c r="G465" s="301">
        <v>407.3</v>
      </c>
      <c r="H465" s="301">
        <v>73.599999999999994</v>
      </c>
      <c r="I465" s="306"/>
      <c r="J465" s="300">
        <f t="shared" si="12"/>
        <v>1.5166070896633899</v>
      </c>
      <c r="K465" s="301" t="s">
        <v>295</v>
      </c>
      <c r="L465" s="301" t="s">
        <v>296</v>
      </c>
      <c r="M465" s="301"/>
    </row>
    <row r="466" spans="1:13">
      <c r="A466" s="301" t="s">
        <v>299</v>
      </c>
      <c r="B466" s="310">
        <v>350</v>
      </c>
      <c r="C466" s="301">
        <v>300</v>
      </c>
      <c r="D466" s="301"/>
      <c r="E466" s="302">
        <v>793.66666666666663</v>
      </c>
      <c r="F466" s="302">
        <v>62.333333333333336</v>
      </c>
      <c r="G466" s="301">
        <v>259.60000000000002</v>
      </c>
      <c r="H466" s="301">
        <v>66.7</v>
      </c>
      <c r="I466" s="306"/>
      <c r="J466" s="300">
        <f t="shared" si="12"/>
        <v>0.99425507468402907</v>
      </c>
      <c r="K466" s="301" t="s">
        <v>295</v>
      </c>
      <c r="L466" s="301" t="s">
        <v>296</v>
      </c>
      <c r="M466" s="301"/>
    </row>
    <row r="467" spans="1:13">
      <c r="A467" s="301" t="s">
        <v>299</v>
      </c>
      <c r="B467" s="310">
        <v>720</v>
      </c>
      <c r="C467" s="301">
        <v>300</v>
      </c>
      <c r="D467" s="301"/>
      <c r="E467" s="302">
        <v>2383</v>
      </c>
      <c r="F467" s="302">
        <v>164</v>
      </c>
      <c r="G467" s="301">
        <v>683.7</v>
      </c>
      <c r="H467" s="301">
        <v>65.2</v>
      </c>
      <c r="I467" s="306"/>
      <c r="J467" s="300">
        <f t="shared" si="12"/>
        <v>1.2728999106344951</v>
      </c>
      <c r="K467" s="301" t="s">
        <v>295</v>
      </c>
      <c r="L467" s="301" t="s">
        <v>296</v>
      </c>
      <c r="M467" s="301"/>
    </row>
    <row r="468" spans="1:13">
      <c r="A468" s="301" t="s">
        <v>299</v>
      </c>
      <c r="B468" s="310">
        <v>900</v>
      </c>
      <c r="C468" s="301">
        <v>360</v>
      </c>
      <c r="D468" s="301"/>
      <c r="E468" s="302">
        <v>2389.3333333333335</v>
      </c>
      <c r="F468" s="302">
        <v>195</v>
      </c>
      <c r="G468" s="301">
        <v>815.1</v>
      </c>
      <c r="H468" s="301">
        <v>65.599999999999994</v>
      </c>
      <c r="I468" s="306"/>
      <c r="J468" s="300">
        <f t="shared" si="12"/>
        <v>1.2140303842716713</v>
      </c>
      <c r="K468" s="301" t="s">
        <v>295</v>
      </c>
      <c r="L468" s="301" t="s">
        <v>296</v>
      </c>
      <c r="M468" s="301"/>
    </row>
    <row r="469" spans="1:13">
      <c r="A469" s="301" t="s">
        <v>299</v>
      </c>
      <c r="B469" s="310">
        <v>720</v>
      </c>
      <c r="C469" s="301">
        <v>300</v>
      </c>
      <c r="D469" s="301"/>
      <c r="E469" s="302">
        <v>2392</v>
      </c>
      <c r="F469" s="302">
        <v>172</v>
      </c>
      <c r="G469" s="301">
        <v>719.7</v>
      </c>
      <c r="H469" s="301">
        <v>71.900000000000006</v>
      </c>
      <c r="I469" s="306"/>
      <c r="J469" s="300">
        <f t="shared" si="12"/>
        <v>1.3399240393208223</v>
      </c>
      <c r="K469" s="301" t="s">
        <v>295</v>
      </c>
      <c r="L469" s="301" t="s">
        <v>296</v>
      </c>
      <c r="M469" s="301"/>
    </row>
    <row r="470" spans="1:13">
      <c r="A470" s="301" t="s">
        <v>299</v>
      </c>
      <c r="B470" s="310">
        <v>720</v>
      </c>
      <c r="C470" s="301">
        <v>300</v>
      </c>
      <c r="D470" s="301"/>
      <c r="E470" s="302">
        <v>2383</v>
      </c>
      <c r="F470" s="302">
        <v>164</v>
      </c>
      <c r="G470" s="301">
        <v>683.7</v>
      </c>
      <c r="H470" s="301">
        <v>18</v>
      </c>
      <c r="I470" s="306"/>
      <c r="J470" s="300">
        <f t="shared" si="12"/>
        <v>1.2728999106344951</v>
      </c>
      <c r="K470" s="301" t="s">
        <v>295</v>
      </c>
      <c r="L470" s="301" t="s">
        <v>296</v>
      </c>
      <c r="M470" s="301"/>
    </row>
    <row r="471" spans="1:13">
      <c r="A471" s="301" t="s">
        <v>299</v>
      </c>
      <c r="B471" s="310">
        <v>720</v>
      </c>
      <c r="C471" s="301">
        <v>300</v>
      </c>
      <c r="D471" s="301"/>
      <c r="E471" s="302">
        <v>2393.6666666666665</v>
      </c>
      <c r="F471" s="302">
        <v>172</v>
      </c>
      <c r="G471" s="301">
        <v>720.2</v>
      </c>
      <c r="H471" s="301">
        <v>13.8</v>
      </c>
      <c r="I471" s="306"/>
      <c r="J471" s="300">
        <f t="shared" si="12"/>
        <v>1.3408549299970212</v>
      </c>
      <c r="K471" s="301" t="s">
        <v>295</v>
      </c>
      <c r="L471" s="301" t="s">
        <v>296</v>
      </c>
      <c r="M471" s="301"/>
    </row>
    <row r="472" spans="1:13">
      <c r="A472" s="301" t="s">
        <v>299</v>
      </c>
      <c r="B472" s="310">
        <v>720</v>
      </c>
      <c r="C472" s="301">
        <v>300</v>
      </c>
      <c r="D472" s="301"/>
      <c r="E472" s="302">
        <v>800</v>
      </c>
      <c r="F472" s="302">
        <v>182</v>
      </c>
      <c r="G472" s="301">
        <v>764.1</v>
      </c>
      <c r="H472" s="301">
        <v>12.3</v>
      </c>
      <c r="I472" s="306"/>
      <c r="J472" s="300">
        <f t="shared" ref="J472:J475" si="13">G472/(B472*0.746)</f>
        <v>1.4225871313672922</v>
      </c>
      <c r="K472" s="301" t="s">
        <v>295</v>
      </c>
      <c r="L472" s="301" t="s">
        <v>296</v>
      </c>
      <c r="M472" s="301"/>
    </row>
    <row r="473" spans="1:13">
      <c r="A473" s="301" t="s">
        <v>299</v>
      </c>
      <c r="B473" s="310">
        <v>720</v>
      </c>
      <c r="C473" s="301">
        <v>300</v>
      </c>
      <c r="D473" s="301"/>
      <c r="E473" s="302">
        <v>800</v>
      </c>
      <c r="F473" s="302">
        <v>164</v>
      </c>
      <c r="G473" s="301">
        <v>688.6</v>
      </c>
      <c r="H473" s="301">
        <v>13</v>
      </c>
      <c r="I473" s="306"/>
      <c r="J473" s="300">
        <f t="shared" si="13"/>
        <v>1.2820226392612453</v>
      </c>
      <c r="K473" s="301" t="s">
        <v>295</v>
      </c>
      <c r="L473" s="301" t="s">
        <v>296</v>
      </c>
      <c r="M473" s="301"/>
    </row>
    <row r="474" spans="1:13">
      <c r="A474" s="301" t="s">
        <v>299</v>
      </c>
      <c r="B474" s="310">
        <v>720</v>
      </c>
      <c r="C474" s="301">
        <v>300</v>
      </c>
      <c r="D474" s="301"/>
      <c r="E474" s="302">
        <v>796.66666666666663</v>
      </c>
      <c r="F474" s="302">
        <v>173.66666666666666</v>
      </c>
      <c r="G474" s="301">
        <v>726.1</v>
      </c>
      <c r="H474" s="301">
        <v>6.7</v>
      </c>
      <c r="I474" s="306"/>
      <c r="J474" s="300">
        <f t="shared" si="13"/>
        <v>1.3518394399761693</v>
      </c>
      <c r="K474" s="301" t="s">
        <v>295</v>
      </c>
      <c r="L474" s="301" t="s">
        <v>296</v>
      </c>
      <c r="M474" s="301"/>
    </row>
    <row r="475" spans="1:13">
      <c r="A475" s="301" t="s">
        <v>299</v>
      </c>
      <c r="B475" s="310">
        <v>720</v>
      </c>
      <c r="C475" s="301">
        <v>300</v>
      </c>
      <c r="D475" s="301"/>
      <c r="E475" s="302">
        <v>793.33333333333337</v>
      </c>
      <c r="F475" s="302">
        <v>167.66666666666666</v>
      </c>
      <c r="G475" s="301">
        <v>698.1</v>
      </c>
      <c r="H475" s="301">
        <v>16.3</v>
      </c>
      <c r="I475" s="306"/>
      <c r="J475" s="300">
        <f t="shared" si="13"/>
        <v>1.299709562109026</v>
      </c>
      <c r="K475" s="301" t="s">
        <v>295</v>
      </c>
      <c r="L475" s="301" t="s">
        <v>296</v>
      </c>
      <c r="M475" s="301"/>
    </row>
    <row r="476" spans="1:13">
      <c r="A476" s="301" t="s">
        <v>297</v>
      </c>
      <c r="B476" s="310">
        <v>250</v>
      </c>
      <c r="C476" s="301">
        <v>900</v>
      </c>
      <c r="D476" s="301"/>
      <c r="E476" s="302">
        <v>0</v>
      </c>
      <c r="F476" s="302">
        <v>0</v>
      </c>
      <c r="G476" s="301">
        <v>0</v>
      </c>
      <c r="H476" s="301">
        <v>0</v>
      </c>
      <c r="I476" s="306"/>
      <c r="J476" s="300"/>
      <c r="K476" s="301" t="s">
        <v>295</v>
      </c>
      <c r="L476" s="301" t="s">
        <v>296</v>
      </c>
      <c r="M476" s="301"/>
    </row>
    <row r="477" spans="1:13">
      <c r="A477" s="301" t="s">
        <v>297</v>
      </c>
      <c r="B477" s="310">
        <v>450</v>
      </c>
      <c r="C477" s="301">
        <v>600</v>
      </c>
      <c r="D477" s="301"/>
      <c r="E477" s="302">
        <v>2479.3333333333335</v>
      </c>
      <c r="F477" s="302">
        <v>79.466666666666654</v>
      </c>
      <c r="G477" s="301">
        <v>337.8</v>
      </c>
      <c r="H477" s="301">
        <v>68.2</v>
      </c>
      <c r="I477" s="306"/>
      <c r="J477" s="300">
        <f t="shared" ref="J477:J491" si="14">G477/(B477*0.746)</f>
        <v>1.0062555853440573</v>
      </c>
      <c r="K477" s="301" t="s">
        <v>295</v>
      </c>
      <c r="L477" s="301" t="s">
        <v>296</v>
      </c>
      <c r="M477" s="301"/>
    </row>
    <row r="478" spans="1:13">
      <c r="A478" s="301" t="s">
        <v>297</v>
      </c>
      <c r="B478" s="310">
        <v>450</v>
      </c>
      <c r="C478" s="301">
        <v>600</v>
      </c>
      <c r="D478" s="301"/>
      <c r="E478" s="302">
        <v>2466</v>
      </c>
      <c r="F478" s="302">
        <v>79.466666666666654</v>
      </c>
      <c r="G478" s="301">
        <v>336</v>
      </c>
      <c r="H478" s="301">
        <v>81.2</v>
      </c>
      <c r="I478" s="306"/>
      <c r="J478" s="300">
        <f t="shared" si="14"/>
        <v>1.000893655049151</v>
      </c>
      <c r="K478" s="301" t="s">
        <v>295</v>
      </c>
      <c r="L478" s="301" t="s">
        <v>296</v>
      </c>
      <c r="M478" s="301"/>
    </row>
    <row r="479" spans="1:13">
      <c r="A479" s="301" t="s">
        <v>297</v>
      </c>
      <c r="B479" s="310">
        <v>450</v>
      </c>
      <c r="C479" s="301">
        <v>600</v>
      </c>
      <c r="D479" s="301"/>
      <c r="E479" s="302">
        <v>2472</v>
      </c>
      <c r="F479" s="302">
        <v>78.066666666666663</v>
      </c>
      <c r="G479" s="301">
        <v>330.9</v>
      </c>
      <c r="H479" s="301">
        <v>74</v>
      </c>
      <c r="I479" s="306"/>
      <c r="J479" s="300">
        <f t="shared" si="14"/>
        <v>0.98570151921358351</v>
      </c>
      <c r="K479" s="301" t="s">
        <v>295</v>
      </c>
      <c r="L479" s="301" t="s">
        <v>296</v>
      </c>
      <c r="M479" s="301"/>
    </row>
    <row r="480" spans="1:13">
      <c r="A480" s="301" t="s">
        <v>297</v>
      </c>
      <c r="B480" s="310">
        <v>160</v>
      </c>
      <c r="C480" s="301">
        <v>1200</v>
      </c>
      <c r="D480" s="301"/>
      <c r="E480" s="302">
        <v>2375.6666666666665</v>
      </c>
      <c r="F480" s="302">
        <v>29.333333333333332</v>
      </c>
      <c r="G480" s="301">
        <v>101.4</v>
      </c>
      <c r="H480" s="301">
        <v>65.5</v>
      </c>
      <c r="I480" s="306"/>
      <c r="J480" s="300">
        <f t="shared" si="14"/>
        <v>0.8495308310991958</v>
      </c>
      <c r="K480" s="301" t="s">
        <v>295</v>
      </c>
      <c r="L480" s="301" t="s">
        <v>296</v>
      </c>
      <c r="M480" s="301"/>
    </row>
    <row r="481" spans="1:13">
      <c r="A481" s="301" t="s">
        <v>297</v>
      </c>
      <c r="B481" s="310">
        <v>300</v>
      </c>
      <c r="C481" s="301">
        <v>720</v>
      </c>
      <c r="D481" s="301"/>
      <c r="E481" s="302">
        <v>2385.6666666666665</v>
      </c>
      <c r="F481" s="302">
        <v>52.333333333333336</v>
      </c>
      <c r="G481" s="301">
        <v>182.6</v>
      </c>
      <c r="H481" s="301">
        <v>69.900000000000006</v>
      </c>
      <c r="I481" s="306"/>
      <c r="J481" s="300">
        <f t="shared" si="14"/>
        <v>0.81590705987488821</v>
      </c>
      <c r="K481" s="301" t="s">
        <v>295</v>
      </c>
      <c r="L481" s="301" t="s">
        <v>296</v>
      </c>
      <c r="M481" s="301"/>
    </row>
    <row r="482" spans="1:13">
      <c r="A482" s="301" t="s">
        <v>297</v>
      </c>
      <c r="B482" s="310">
        <v>300</v>
      </c>
      <c r="C482" s="301">
        <v>720</v>
      </c>
      <c r="D482" s="301"/>
      <c r="E482" s="302">
        <v>2375</v>
      </c>
      <c r="F482" s="302">
        <v>47.666666666666664</v>
      </c>
      <c r="G482" s="301">
        <v>164.3</v>
      </c>
      <c r="H482" s="301">
        <v>78.5</v>
      </c>
      <c r="I482" s="306"/>
      <c r="J482" s="300">
        <f t="shared" si="14"/>
        <v>0.73413762287756923</v>
      </c>
      <c r="K482" s="301" t="s">
        <v>295</v>
      </c>
      <c r="L482" s="301" t="s">
        <v>296</v>
      </c>
      <c r="M482" s="301"/>
    </row>
    <row r="483" spans="1:13">
      <c r="A483" s="301" t="s">
        <v>297</v>
      </c>
      <c r="B483" s="310">
        <v>600</v>
      </c>
      <c r="C483" s="301">
        <v>600</v>
      </c>
      <c r="D483" s="301"/>
      <c r="E483" s="302">
        <v>2439.3333333333335</v>
      </c>
      <c r="F483" s="302">
        <v>80.666666666666671</v>
      </c>
      <c r="G483" s="301">
        <v>283.7</v>
      </c>
      <c r="H483" s="301">
        <v>79.7</v>
      </c>
      <c r="I483" s="306"/>
      <c r="J483" s="300">
        <f t="shared" si="14"/>
        <v>0.6338248436103664</v>
      </c>
      <c r="K483" s="301" t="s">
        <v>295</v>
      </c>
      <c r="L483" s="301" t="s">
        <v>296</v>
      </c>
      <c r="M483" s="301"/>
    </row>
    <row r="484" spans="1:13">
      <c r="A484" s="301" t="s">
        <v>297</v>
      </c>
      <c r="B484" s="310">
        <v>400</v>
      </c>
      <c r="C484" s="301">
        <v>1800</v>
      </c>
      <c r="D484" s="301"/>
      <c r="E484" s="302">
        <v>2396.6666666666665</v>
      </c>
      <c r="F484" s="302">
        <v>74.333333333333329</v>
      </c>
      <c r="G484" s="301">
        <v>275.2</v>
      </c>
      <c r="H484" s="301">
        <v>69.400000000000006</v>
      </c>
      <c r="I484" s="306"/>
      <c r="J484" s="300">
        <f t="shared" si="14"/>
        <v>0.92225201072386065</v>
      </c>
      <c r="K484" s="301" t="s">
        <v>295</v>
      </c>
      <c r="L484" s="301" t="s">
        <v>296</v>
      </c>
      <c r="M484" s="301"/>
    </row>
    <row r="485" spans="1:13">
      <c r="A485" s="301" t="s">
        <v>297</v>
      </c>
      <c r="B485" s="310">
        <v>400</v>
      </c>
      <c r="C485" s="301">
        <v>1770</v>
      </c>
      <c r="D485" s="301"/>
      <c r="E485" s="302">
        <v>2416.6666666666665</v>
      </c>
      <c r="F485" s="302">
        <v>78.166666666666671</v>
      </c>
      <c r="G485" s="301">
        <v>292.5</v>
      </c>
      <c r="H485" s="301">
        <v>68.8</v>
      </c>
      <c r="I485" s="306"/>
      <c r="J485" s="300">
        <f t="shared" si="14"/>
        <v>0.98022788203753364</v>
      </c>
      <c r="K485" s="301" t="s">
        <v>295</v>
      </c>
      <c r="L485" s="301" t="s">
        <v>296</v>
      </c>
      <c r="M485" s="301"/>
    </row>
    <row r="486" spans="1:13">
      <c r="A486" s="301" t="s">
        <v>297</v>
      </c>
      <c r="B486" s="310">
        <v>400</v>
      </c>
      <c r="C486" s="301">
        <v>1770</v>
      </c>
      <c r="D486" s="301"/>
      <c r="E486" s="302">
        <v>2400</v>
      </c>
      <c r="F486" s="302">
        <v>70.566666666666663</v>
      </c>
      <c r="G486" s="301">
        <v>262.5</v>
      </c>
      <c r="H486" s="301">
        <v>69.400000000000006</v>
      </c>
      <c r="I486" s="306"/>
      <c r="J486" s="300">
        <f t="shared" si="14"/>
        <v>0.87969168900804295</v>
      </c>
      <c r="K486" s="301" t="s">
        <v>295</v>
      </c>
      <c r="L486" s="301" t="s">
        <v>296</v>
      </c>
      <c r="M486" s="301"/>
    </row>
    <row r="487" spans="1:13">
      <c r="A487" s="301" t="s">
        <v>294</v>
      </c>
      <c r="B487" s="310">
        <v>75</v>
      </c>
      <c r="C487" s="301">
        <v>1800</v>
      </c>
      <c r="D487" s="301"/>
      <c r="E487" s="302">
        <v>2433.3333333333335</v>
      </c>
      <c r="F487" s="302">
        <v>19.233333333333331</v>
      </c>
      <c r="G487" s="301">
        <v>68.900000000000006</v>
      </c>
      <c r="H487" s="301">
        <v>0</v>
      </c>
      <c r="I487" s="306"/>
      <c r="J487" s="300">
        <f t="shared" si="14"/>
        <v>1.2314566577301163</v>
      </c>
      <c r="K487" s="301" t="s">
        <v>295</v>
      </c>
      <c r="L487" s="301" t="s">
        <v>296</v>
      </c>
      <c r="M487" s="301"/>
    </row>
    <row r="488" spans="1:13">
      <c r="A488" s="301" t="s">
        <v>294</v>
      </c>
      <c r="B488" s="310">
        <v>20</v>
      </c>
      <c r="C488" s="301">
        <v>1770</v>
      </c>
      <c r="D488" s="301"/>
      <c r="E488" s="302">
        <v>0</v>
      </c>
      <c r="F488" s="302">
        <v>0</v>
      </c>
      <c r="G488" s="301">
        <v>18.600000000000001</v>
      </c>
      <c r="H488" s="301">
        <v>48.1</v>
      </c>
      <c r="I488" s="306"/>
      <c r="J488" s="300">
        <f t="shared" si="14"/>
        <v>1.2466487935656838</v>
      </c>
      <c r="K488" s="301" t="s">
        <v>295</v>
      </c>
      <c r="L488" s="301" t="s">
        <v>296</v>
      </c>
      <c r="M488" s="301"/>
    </row>
    <row r="489" spans="1:13">
      <c r="A489" s="301" t="s">
        <v>297</v>
      </c>
      <c r="B489" s="310">
        <v>1250</v>
      </c>
      <c r="C489" s="301">
        <v>900</v>
      </c>
      <c r="D489" s="301"/>
      <c r="E489" s="302">
        <v>814.33333333333337</v>
      </c>
      <c r="F489" s="302">
        <v>57.666666666666664</v>
      </c>
      <c r="G489" s="301">
        <v>732</v>
      </c>
      <c r="H489" s="301">
        <v>2.2000000000000002</v>
      </c>
      <c r="I489" s="306"/>
      <c r="J489" s="300">
        <f t="shared" si="14"/>
        <v>0.78498659517426272</v>
      </c>
      <c r="K489" s="301" t="s">
        <v>295</v>
      </c>
      <c r="L489" s="301" t="s">
        <v>296</v>
      </c>
      <c r="M489" s="301"/>
    </row>
    <row r="490" spans="1:13">
      <c r="A490" s="301" t="s">
        <v>294</v>
      </c>
      <c r="B490" s="310">
        <v>350</v>
      </c>
      <c r="C490" s="301"/>
      <c r="D490" s="301"/>
      <c r="E490" s="302">
        <v>162.66666666666666</v>
      </c>
      <c r="F490" s="302">
        <v>111.33333333333333</v>
      </c>
      <c r="G490" s="301">
        <v>265.39999999999998</v>
      </c>
      <c r="H490" s="301">
        <v>31</v>
      </c>
      <c r="I490" s="306"/>
      <c r="J490" s="300">
        <f t="shared" si="14"/>
        <v>1.016468785905783</v>
      </c>
      <c r="K490" s="301" t="s">
        <v>295</v>
      </c>
      <c r="L490" s="301" t="s">
        <v>296</v>
      </c>
      <c r="M490" s="301"/>
    </row>
    <row r="491" spans="1:13">
      <c r="A491" s="301" t="s">
        <v>294</v>
      </c>
      <c r="B491" s="310">
        <v>350</v>
      </c>
      <c r="C491" s="301">
        <v>1760</v>
      </c>
      <c r="D491" s="301"/>
      <c r="E491" s="302">
        <v>0</v>
      </c>
      <c r="F491" s="302">
        <v>0</v>
      </c>
      <c r="G491" s="301">
        <v>251.2</v>
      </c>
      <c r="H491" s="301">
        <v>73</v>
      </c>
      <c r="I491" s="306"/>
      <c r="J491" s="300">
        <f t="shared" si="14"/>
        <v>0.96208349291459194</v>
      </c>
      <c r="K491" s="301" t="s">
        <v>295</v>
      </c>
      <c r="L491" s="301" t="s">
        <v>296</v>
      </c>
      <c r="M491" s="301"/>
    </row>
    <row r="492" spans="1:13">
      <c r="A492" s="301" t="s">
        <v>297</v>
      </c>
      <c r="B492" s="310">
        <v>1250</v>
      </c>
      <c r="C492" s="301">
        <v>1200</v>
      </c>
      <c r="D492" s="301"/>
      <c r="E492" s="302">
        <v>0</v>
      </c>
      <c r="F492" s="302">
        <v>0</v>
      </c>
      <c r="G492" s="301">
        <v>0</v>
      </c>
      <c r="H492" s="301" t="s">
        <v>301</v>
      </c>
      <c r="I492" s="306"/>
      <c r="J492" s="300"/>
      <c r="K492" s="301" t="s">
        <v>295</v>
      </c>
      <c r="L492" s="301" t="s">
        <v>296</v>
      </c>
      <c r="M492" s="301"/>
    </row>
    <row r="493" spans="1:13">
      <c r="A493" s="301" t="s">
        <v>297</v>
      </c>
      <c r="B493" s="310">
        <v>1250</v>
      </c>
      <c r="C493" s="301">
        <v>1200</v>
      </c>
      <c r="D493" s="301"/>
      <c r="E493" s="302">
        <v>4270</v>
      </c>
      <c r="F493" s="302">
        <v>114.33333333333333</v>
      </c>
      <c r="G493" s="301">
        <v>919.4</v>
      </c>
      <c r="H493" s="301">
        <v>76</v>
      </c>
      <c r="I493" s="306"/>
      <c r="J493" s="300">
        <f>G493/(B493*0.746)</f>
        <v>0.98595174262734586</v>
      </c>
      <c r="K493" s="301" t="s">
        <v>295</v>
      </c>
      <c r="L493" s="301" t="s">
        <v>296</v>
      </c>
      <c r="M493" s="301"/>
    </row>
    <row r="494" spans="1:13">
      <c r="A494" s="301" t="s">
        <v>297</v>
      </c>
      <c r="B494" s="310">
        <v>2500</v>
      </c>
      <c r="C494" s="301">
        <v>1200</v>
      </c>
      <c r="D494" s="301"/>
      <c r="E494" s="302">
        <v>4285</v>
      </c>
      <c r="F494" s="302">
        <v>263.33333333333331</v>
      </c>
      <c r="G494" s="301">
        <v>2056.4</v>
      </c>
      <c r="H494" s="301">
        <v>71.599999999999994</v>
      </c>
      <c r="I494" s="306"/>
      <c r="J494" s="300">
        <f>G494/(B494*0.746)</f>
        <v>1.1026273458445042</v>
      </c>
      <c r="K494" s="301" t="s">
        <v>295</v>
      </c>
      <c r="L494" s="301" t="s">
        <v>296</v>
      </c>
      <c r="M494" s="301"/>
    </row>
    <row r="495" spans="1:13">
      <c r="A495" s="301" t="s">
        <v>297</v>
      </c>
      <c r="B495" s="310">
        <v>1025</v>
      </c>
      <c r="C495" s="301">
        <v>865</v>
      </c>
      <c r="D495" s="301"/>
      <c r="E495" s="302">
        <v>766.66666666666663</v>
      </c>
      <c r="F495" s="302">
        <v>78</v>
      </c>
      <c r="G495" s="301">
        <v>852</v>
      </c>
      <c r="H495" s="301">
        <v>59</v>
      </c>
      <c r="I495" s="306"/>
      <c r="J495" s="300">
        <f>G495/(B495*0.746)</f>
        <v>1.1142352710390375</v>
      </c>
      <c r="K495" s="301" t="s">
        <v>295</v>
      </c>
      <c r="L495" s="301" t="s">
        <v>296</v>
      </c>
      <c r="M495" s="301"/>
    </row>
    <row r="496" spans="1:13">
      <c r="A496" s="301" t="s">
        <v>294</v>
      </c>
      <c r="B496" s="310">
        <v>100</v>
      </c>
      <c r="C496" s="301">
        <v>1760</v>
      </c>
      <c r="D496" s="301"/>
      <c r="E496" s="302">
        <v>0</v>
      </c>
      <c r="F496" s="302">
        <v>0</v>
      </c>
      <c r="G496" s="301">
        <v>0</v>
      </c>
      <c r="H496" s="301">
        <v>0</v>
      </c>
      <c r="I496" s="306"/>
      <c r="J496" s="300"/>
      <c r="K496" s="301" t="s">
        <v>295</v>
      </c>
      <c r="L496" s="301" t="s">
        <v>296</v>
      </c>
      <c r="M496" s="301"/>
    </row>
    <row r="497" spans="1:13">
      <c r="A497" s="301" t="s">
        <v>294</v>
      </c>
      <c r="B497" s="310">
        <v>150</v>
      </c>
      <c r="C497" s="301">
        <v>1760</v>
      </c>
      <c r="D497" s="301"/>
      <c r="E497" s="302">
        <v>0</v>
      </c>
      <c r="F497" s="302">
        <v>0</v>
      </c>
      <c r="G497" s="301">
        <v>0</v>
      </c>
      <c r="H497" s="301">
        <v>0</v>
      </c>
      <c r="I497" s="306"/>
      <c r="J497" s="300"/>
      <c r="K497" s="301" t="s">
        <v>295</v>
      </c>
      <c r="L497" s="301" t="s">
        <v>296</v>
      </c>
      <c r="M497" s="301"/>
    </row>
    <row r="498" spans="1:13">
      <c r="A498" s="301" t="s">
        <v>294</v>
      </c>
      <c r="B498" s="310">
        <v>125</v>
      </c>
      <c r="C498" s="301">
        <v>1770</v>
      </c>
      <c r="D498" s="301"/>
      <c r="E498" s="302">
        <v>0</v>
      </c>
      <c r="F498" s="302">
        <v>0</v>
      </c>
      <c r="G498" s="301">
        <v>0</v>
      </c>
      <c r="H498" s="301">
        <v>0</v>
      </c>
      <c r="I498" s="306"/>
      <c r="J498" s="300"/>
      <c r="K498" s="301" t="s">
        <v>295</v>
      </c>
      <c r="L498" s="301" t="s">
        <v>296</v>
      </c>
      <c r="M498" s="301"/>
    </row>
    <row r="499" spans="1:13">
      <c r="A499" s="301" t="s">
        <v>294</v>
      </c>
      <c r="B499" s="310">
        <v>50</v>
      </c>
      <c r="C499" s="301"/>
      <c r="D499" s="301"/>
      <c r="E499" s="302">
        <v>473.66666666666669</v>
      </c>
      <c r="F499" s="302">
        <v>72.033333333333346</v>
      </c>
      <c r="G499" s="301">
        <v>52</v>
      </c>
      <c r="H499" s="301">
        <v>9.5</v>
      </c>
      <c r="I499" s="306"/>
      <c r="J499" s="300">
        <f t="shared" ref="J499:J512" si="15">G499/(B499*0.746)</f>
        <v>1.3941018766756033</v>
      </c>
      <c r="K499" s="301" t="s">
        <v>295</v>
      </c>
      <c r="L499" s="301" t="s">
        <v>296</v>
      </c>
      <c r="M499" s="301"/>
    </row>
    <row r="500" spans="1:13">
      <c r="A500" s="301" t="s">
        <v>294</v>
      </c>
      <c r="B500" s="310">
        <v>75</v>
      </c>
      <c r="C500" s="301">
        <v>1770</v>
      </c>
      <c r="D500" s="301"/>
      <c r="E500" s="302">
        <v>479.66666666666669</v>
      </c>
      <c r="F500" s="302">
        <v>129</v>
      </c>
      <c r="G500" s="301">
        <v>91.5</v>
      </c>
      <c r="H500" s="301">
        <v>27.2</v>
      </c>
      <c r="I500" s="306"/>
      <c r="J500" s="300">
        <f t="shared" si="15"/>
        <v>1.6353887399463807</v>
      </c>
      <c r="K500" s="301" t="s">
        <v>295</v>
      </c>
      <c r="L500" s="301" t="s">
        <v>296</v>
      </c>
      <c r="M500" s="301"/>
    </row>
    <row r="501" spans="1:13">
      <c r="A501" s="301" t="s">
        <v>294</v>
      </c>
      <c r="B501" s="310">
        <v>125</v>
      </c>
      <c r="C501" s="301">
        <v>1200</v>
      </c>
      <c r="D501" s="301"/>
      <c r="E501" s="302">
        <v>0</v>
      </c>
      <c r="F501" s="302">
        <v>0</v>
      </c>
      <c r="G501" s="301">
        <v>24.8</v>
      </c>
      <c r="H501" s="301">
        <v>54.5</v>
      </c>
      <c r="I501" s="306"/>
      <c r="J501" s="300">
        <f t="shared" si="15"/>
        <v>0.26595174262734583</v>
      </c>
      <c r="K501" s="301" t="s">
        <v>295</v>
      </c>
      <c r="L501" s="301" t="s">
        <v>296</v>
      </c>
      <c r="M501" s="301"/>
    </row>
    <row r="502" spans="1:13">
      <c r="A502" s="301" t="s">
        <v>294</v>
      </c>
      <c r="B502" s="310">
        <v>60</v>
      </c>
      <c r="C502" s="301">
        <v>1170</v>
      </c>
      <c r="D502" s="301"/>
      <c r="E502" s="302">
        <v>468.66666666666669</v>
      </c>
      <c r="F502" s="302">
        <v>49.666666666666664</v>
      </c>
      <c r="G502" s="301">
        <v>27.6</v>
      </c>
      <c r="H502" s="301">
        <v>67.3</v>
      </c>
      <c r="I502" s="306"/>
      <c r="J502" s="300">
        <f t="shared" si="15"/>
        <v>0.61662198391420919</v>
      </c>
      <c r="K502" s="301" t="s">
        <v>295</v>
      </c>
      <c r="L502" s="301" t="s">
        <v>296</v>
      </c>
      <c r="M502" s="301"/>
    </row>
    <row r="503" spans="1:13">
      <c r="A503" s="301" t="s">
        <v>294</v>
      </c>
      <c r="B503" s="310">
        <v>300</v>
      </c>
      <c r="C503" s="301">
        <v>1770</v>
      </c>
      <c r="D503" s="301"/>
      <c r="E503" s="302">
        <v>474.66666666666669</v>
      </c>
      <c r="F503" s="302">
        <v>264</v>
      </c>
      <c r="G503" s="301">
        <v>207</v>
      </c>
      <c r="H503" s="301">
        <v>39.799999999999997</v>
      </c>
      <c r="I503" s="306"/>
      <c r="J503" s="300">
        <f t="shared" si="15"/>
        <v>0.92493297587131362</v>
      </c>
      <c r="K503" s="301" t="s">
        <v>295</v>
      </c>
      <c r="L503" s="301" t="s">
        <v>296</v>
      </c>
      <c r="M503" s="301"/>
    </row>
    <row r="504" spans="1:13">
      <c r="A504" s="301" t="s">
        <v>294</v>
      </c>
      <c r="B504" s="310">
        <v>40</v>
      </c>
      <c r="C504" s="301">
        <v>1770</v>
      </c>
      <c r="D504" s="301"/>
      <c r="E504" s="302">
        <v>485.66666666666669</v>
      </c>
      <c r="F504" s="302">
        <v>54</v>
      </c>
      <c r="G504" s="301">
        <v>38</v>
      </c>
      <c r="H504" s="301">
        <v>62</v>
      </c>
      <c r="I504" s="306"/>
      <c r="J504" s="300">
        <f t="shared" si="15"/>
        <v>1.2734584450402144</v>
      </c>
      <c r="K504" s="301" t="s">
        <v>295</v>
      </c>
      <c r="L504" s="301" t="s">
        <v>296</v>
      </c>
      <c r="M504" s="301"/>
    </row>
    <row r="505" spans="1:13">
      <c r="A505" s="301" t="s">
        <v>294</v>
      </c>
      <c r="B505" s="310">
        <v>40</v>
      </c>
      <c r="C505" s="301">
        <v>1770</v>
      </c>
      <c r="D505" s="301"/>
      <c r="E505" s="302">
        <v>0</v>
      </c>
      <c r="F505" s="302">
        <v>0</v>
      </c>
      <c r="G505" s="301">
        <v>32.9</v>
      </c>
      <c r="H505" s="301">
        <v>75</v>
      </c>
      <c r="I505" s="306"/>
      <c r="J505" s="300">
        <f t="shared" si="15"/>
        <v>1.1025469168900803</v>
      </c>
      <c r="K505" s="301" t="s">
        <v>295</v>
      </c>
      <c r="L505" s="301" t="s">
        <v>296</v>
      </c>
      <c r="M505" s="301"/>
    </row>
    <row r="506" spans="1:13">
      <c r="A506" s="301" t="s">
        <v>294</v>
      </c>
      <c r="B506" s="310">
        <v>125</v>
      </c>
      <c r="C506" s="301"/>
      <c r="D506" s="301"/>
      <c r="E506" s="302">
        <v>483</v>
      </c>
      <c r="F506" s="302">
        <v>125.66666666666667</v>
      </c>
      <c r="G506" s="301">
        <v>97.4</v>
      </c>
      <c r="H506" s="301">
        <v>27</v>
      </c>
      <c r="I506" s="306"/>
      <c r="J506" s="300">
        <f t="shared" si="15"/>
        <v>1.0445040214477213</v>
      </c>
      <c r="K506" s="301" t="s">
        <v>295</v>
      </c>
      <c r="L506" s="301" t="s">
        <v>296</v>
      </c>
      <c r="M506" s="301"/>
    </row>
    <row r="507" spans="1:13">
      <c r="A507" s="301" t="s">
        <v>294</v>
      </c>
      <c r="B507" s="310">
        <v>125</v>
      </c>
      <c r="C507" s="301"/>
      <c r="D507" s="301"/>
      <c r="E507" s="302">
        <v>0</v>
      </c>
      <c r="F507" s="302">
        <v>0</v>
      </c>
      <c r="G507" s="301">
        <v>45.9</v>
      </c>
      <c r="H507" s="301">
        <v>69.3</v>
      </c>
      <c r="I507" s="306"/>
      <c r="J507" s="300">
        <f t="shared" si="15"/>
        <v>0.49222520107238604</v>
      </c>
      <c r="K507" s="301" t="s">
        <v>295</v>
      </c>
      <c r="L507" s="301" t="s">
        <v>296</v>
      </c>
      <c r="M507" s="301"/>
    </row>
    <row r="508" spans="1:13">
      <c r="A508" s="301" t="s">
        <v>294</v>
      </c>
      <c r="B508" s="310">
        <v>150</v>
      </c>
      <c r="C508" s="301"/>
      <c r="D508" s="301"/>
      <c r="E508" s="302">
        <v>482.33333333333331</v>
      </c>
      <c r="F508" s="302">
        <v>158</v>
      </c>
      <c r="G508" s="301">
        <v>112.6</v>
      </c>
      <c r="H508" s="301">
        <v>38.299999999999997</v>
      </c>
      <c r="I508" s="306"/>
      <c r="J508" s="300">
        <f t="shared" si="15"/>
        <v>1.0062555853440571</v>
      </c>
      <c r="K508" s="301" t="s">
        <v>295</v>
      </c>
      <c r="L508" s="301" t="s">
        <v>296</v>
      </c>
      <c r="M508" s="301"/>
    </row>
    <row r="509" spans="1:13">
      <c r="A509" s="301" t="s">
        <v>294</v>
      </c>
      <c r="B509" s="310">
        <v>150</v>
      </c>
      <c r="C509" s="301"/>
      <c r="D509" s="301"/>
      <c r="E509" s="302">
        <v>0</v>
      </c>
      <c r="F509" s="302">
        <v>0</v>
      </c>
      <c r="G509" s="301">
        <v>64.900000000000006</v>
      </c>
      <c r="H509" s="301">
        <v>71</v>
      </c>
      <c r="I509" s="306"/>
      <c r="J509" s="300">
        <f t="shared" si="15"/>
        <v>0.57998212689901696</v>
      </c>
      <c r="K509" s="301" t="s">
        <v>295</v>
      </c>
      <c r="L509" s="301" t="s">
        <v>296</v>
      </c>
      <c r="M509" s="301"/>
    </row>
    <row r="510" spans="1:13">
      <c r="A510" s="301" t="s">
        <v>294</v>
      </c>
      <c r="B510" s="310">
        <v>150</v>
      </c>
      <c r="C510" s="301">
        <v>1770</v>
      </c>
      <c r="D510" s="301"/>
      <c r="E510" s="302">
        <v>496.66666666666669</v>
      </c>
      <c r="F510" s="302">
        <v>157.33333333333334</v>
      </c>
      <c r="G510" s="301">
        <v>108</v>
      </c>
      <c r="H510" s="301">
        <v>51.2</v>
      </c>
      <c r="I510" s="306"/>
      <c r="J510" s="300">
        <f t="shared" si="15"/>
        <v>0.9651474530831099</v>
      </c>
      <c r="K510" s="301" t="s">
        <v>295</v>
      </c>
      <c r="L510" s="301" t="s">
        <v>296</v>
      </c>
      <c r="M510" s="301"/>
    </row>
    <row r="511" spans="1:13">
      <c r="A511" s="301" t="s">
        <v>298</v>
      </c>
      <c r="B511" s="310">
        <v>200</v>
      </c>
      <c r="C511" s="301"/>
      <c r="D511" s="301"/>
      <c r="E511" s="302">
        <v>483</v>
      </c>
      <c r="F511" s="302">
        <v>188</v>
      </c>
      <c r="G511" s="301">
        <v>127</v>
      </c>
      <c r="H511" s="301">
        <v>75.2</v>
      </c>
      <c r="I511" s="306"/>
      <c r="J511" s="300">
        <f t="shared" si="15"/>
        <v>0.8512064343163539</v>
      </c>
      <c r="K511" s="301" t="s">
        <v>295</v>
      </c>
      <c r="L511" s="301" t="s">
        <v>296</v>
      </c>
      <c r="M511" s="301"/>
    </row>
    <row r="512" spans="1:13">
      <c r="A512" s="301" t="s">
        <v>298</v>
      </c>
      <c r="B512" s="310">
        <v>125</v>
      </c>
      <c r="C512" s="301"/>
      <c r="D512" s="301"/>
      <c r="E512" s="302">
        <v>482</v>
      </c>
      <c r="F512" s="302">
        <v>135.33333333333334</v>
      </c>
      <c r="G512" s="301">
        <v>94</v>
      </c>
      <c r="H512" s="301">
        <v>73.7</v>
      </c>
      <c r="I512" s="306"/>
      <c r="J512" s="300">
        <f t="shared" si="15"/>
        <v>1.0080428954423593</v>
      </c>
      <c r="K512" s="301" t="s">
        <v>295</v>
      </c>
      <c r="L512" s="301" t="s">
        <v>296</v>
      </c>
      <c r="M512" s="301"/>
    </row>
    <row r="513" spans="1:13">
      <c r="A513" s="301" t="s">
        <v>294</v>
      </c>
      <c r="B513" s="310">
        <v>250</v>
      </c>
      <c r="C513" s="301">
        <v>1770</v>
      </c>
      <c r="D513" s="301"/>
      <c r="E513" s="302">
        <v>0</v>
      </c>
      <c r="F513" s="302">
        <v>0</v>
      </c>
      <c r="G513" s="301">
        <v>0</v>
      </c>
      <c r="H513" s="301" t="s">
        <v>301</v>
      </c>
      <c r="I513" s="306"/>
      <c r="J513" s="300"/>
      <c r="K513" s="301" t="s">
        <v>295</v>
      </c>
      <c r="L513" s="301" t="s">
        <v>296</v>
      </c>
      <c r="M513" s="301"/>
    </row>
    <row r="514" spans="1:13">
      <c r="A514" s="301" t="s">
        <v>294</v>
      </c>
      <c r="B514" s="310">
        <v>50</v>
      </c>
      <c r="C514" s="301"/>
      <c r="D514" s="301"/>
      <c r="E514" s="302">
        <v>0</v>
      </c>
      <c r="F514" s="302">
        <v>0</v>
      </c>
      <c r="G514" s="301">
        <v>38.200000000000003</v>
      </c>
      <c r="H514" s="301">
        <v>58.4</v>
      </c>
      <c r="I514" s="306"/>
      <c r="J514" s="300">
        <f>G514/(B514*0.746)</f>
        <v>1.024128686327078</v>
      </c>
      <c r="K514" s="301" t="s">
        <v>295</v>
      </c>
      <c r="L514" s="301" t="s">
        <v>296</v>
      </c>
      <c r="M514" s="301"/>
    </row>
    <row r="515" spans="1:13">
      <c r="A515" s="301" t="s">
        <v>294</v>
      </c>
      <c r="B515" s="310">
        <v>100</v>
      </c>
      <c r="C515" s="301"/>
      <c r="D515" s="301"/>
      <c r="E515" s="302">
        <v>2483.3333333333335</v>
      </c>
      <c r="F515" s="302">
        <v>21.633333333333336</v>
      </c>
      <c r="G515" s="301">
        <v>79.099999999999994</v>
      </c>
      <c r="H515" s="301">
        <v>0</v>
      </c>
      <c r="I515" s="306"/>
      <c r="J515" s="300">
        <f>G515/(B515*0.746)</f>
        <v>1.0603217158176943</v>
      </c>
      <c r="K515" s="301" t="s">
        <v>295</v>
      </c>
      <c r="L515" s="301" t="s">
        <v>296</v>
      </c>
      <c r="M515" s="301"/>
    </row>
    <row r="516" spans="1:13">
      <c r="A516" s="301" t="s">
        <v>300</v>
      </c>
      <c r="B516" s="310">
        <v>10</v>
      </c>
      <c r="C516" s="301"/>
      <c r="D516" s="301"/>
      <c r="E516" s="302">
        <v>240</v>
      </c>
      <c r="F516" s="302">
        <v>19.466666666666669</v>
      </c>
      <c r="G516" s="301">
        <v>3</v>
      </c>
      <c r="H516" s="301">
        <v>38.5</v>
      </c>
      <c r="I516" s="306"/>
      <c r="J516" s="300">
        <f>G516/(B516*0.746)</f>
        <v>0.40214477211796246</v>
      </c>
      <c r="K516" s="301" t="s">
        <v>295</v>
      </c>
      <c r="L516" s="301" t="s">
        <v>296</v>
      </c>
      <c r="M516" s="301"/>
    </row>
    <row r="517" spans="1:13">
      <c r="A517" s="301" t="s">
        <v>300</v>
      </c>
      <c r="B517" s="310">
        <v>15</v>
      </c>
      <c r="C517" s="301"/>
      <c r="D517" s="301"/>
      <c r="E517" s="302">
        <v>236.66666666666666</v>
      </c>
      <c r="F517" s="302">
        <v>16.766666666666666</v>
      </c>
      <c r="G517" s="301">
        <v>6.3</v>
      </c>
      <c r="H517" s="301">
        <v>42.6</v>
      </c>
      <c r="I517" s="306"/>
      <c r="J517" s="300">
        <f>G517/(B517*0.746)</f>
        <v>0.5630026809651475</v>
      </c>
      <c r="K517" s="301" t="s">
        <v>295</v>
      </c>
      <c r="L517" s="301" t="s">
        <v>296</v>
      </c>
      <c r="M517" s="301"/>
    </row>
    <row r="518" spans="1:13">
      <c r="A518" s="301" t="s">
        <v>297</v>
      </c>
      <c r="B518" s="310">
        <v>100</v>
      </c>
      <c r="C518" s="301">
        <v>900</v>
      </c>
      <c r="D518" s="301"/>
      <c r="E518" s="302">
        <v>0</v>
      </c>
      <c r="F518" s="302">
        <v>0</v>
      </c>
      <c r="G518" s="301">
        <v>0</v>
      </c>
      <c r="H518" s="301">
        <v>0</v>
      </c>
      <c r="I518" s="306"/>
      <c r="J518" s="300"/>
      <c r="K518" s="301" t="s">
        <v>295</v>
      </c>
      <c r="L518" s="301" t="s">
        <v>296</v>
      </c>
      <c r="M518" s="301"/>
    </row>
    <row r="519" spans="1:13">
      <c r="A519" s="301" t="s">
        <v>297</v>
      </c>
      <c r="B519" s="310">
        <v>200</v>
      </c>
      <c r="C519" s="301">
        <v>1200</v>
      </c>
      <c r="D519" s="301"/>
      <c r="E519" s="302">
        <v>0</v>
      </c>
      <c r="F519" s="302">
        <v>0</v>
      </c>
      <c r="G519" s="301">
        <v>0</v>
      </c>
      <c r="H519" s="301">
        <v>0</v>
      </c>
      <c r="I519" s="306"/>
      <c r="J519" s="300"/>
      <c r="K519" s="301" t="s">
        <v>295</v>
      </c>
      <c r="L519" s="301" t="s">
        <v>296</v>
      </c>
      <c r="M519" s="301"/>
    </row>
    <row r="520" spans="1:13">
      <c r="A520" s="301" t="s">
        <v>297</v>
      </c>
      <c r="B520" s="310">
        <v>300</v>
      </c>
      <c r="C520" s="301">
        <v>900</v>
      </c>
      <c r="D520" s="301"/>
      <c r="E520" s="302">
        <v>0</v>
      </c>
      <c r="F520" s="302">
        <v>0</v>
      </c>
      <c r="G520" s="301">
        <v>0</v>
      </c>
      <c r="H520" s="301">
        <v>0</v>
      </c>
      <c r="I520" s="306"/>
      <c r="J520" s="300"/>
      <c r="K520" s="301" t="s">
        <v>295</v>
      </c>
      <c r="L520" s="301" t="s">
        <v>296</v>
      </c>
      <c r="M520" s="301"/>
    </row>
    <row r="521" spans="1:13">
      <c r="A521" s="301" t="s">
        <v>297</v>
      </c>
      <c r="B521" s="310">
        <v>300</v>
      </c>
      <c r="C521" s="301">
        <v>900</v>
      </c>
      <c r="D521" s="301"/>
      <c r="E521" s="302">
        <v>0</v>
      </c>
      <c r="F521" s="302">
        <v>0</v>
      </c>
      <c r="G521" s="301">
        <v>0</v>
      </c>
      <c r="H521" s="301">
        <v>0</v>
      </c>
      <c r="I521" s="306"/>
      <c r="J521" s="300"/>
      <c r="K521" s="301" t="s">
        <v>295</v>
      </c>
      <c r="L521" s="301" t="s">
        <v>296</v>
      </c>
      <c r="M521" s="301"/>
    </row>
    <row r="522" spans="1:13">
      <c r="A522" s="301" t="s">
        <v>294</v>
      </c>
      <c r="B522" s="310">
        <v>75</v>
      </c>
      <c r="C522" s="301">
        <v>1760</v>
      </c>
      <c r="D522" s="301"/>
      <c r="E522" s="302">
        <v>487.33333333333331</v>
      </c>
      <c r="F522" s="302">
        <v>79.5</v>
      </c>
      <c r="G522" s="301">
        <v>54</v>
      </c>
      <c r="H522" s="301">
        <v>43.4</v>
      </c>
      <c r="I522" s="306"/>
      <c r="J522" s="300">
        <f>G522/(B522*0.746)</f>
        <v>0.9651474530831099</v>
      </c>
      <c r="K522" s="301" t="s">
        <v>295</v>
      </c>
      <c r="L522" s="301" t="s">
        <v>296</v>
      </c>
      <c r="M522" s="301"/>
    </row>
    <row r="523" spans="1:13">
      <c r="A523" s="301" t="s">
        <v>298</v>
      </c>
      <c r="B523" s="310">
        <v>50</v>
      </c>
      <c r="C523" s="301">
        <v>1750</v>
      </c>
      <c r="D523" s="301"/>
      <c r="E523" s="302">
        <v>491.33333333333331</v>
      </c>
      <c r="F523" s="302">
        <v>54.266666666666673</v>
      </c>
      <c r="G523" s="301">
        <v>40</v>
      </c>
      <c r="H523" s="301">
        <v>67.2</v>
      </c>
      <c r="I523" s="306"/>
      <c r="J523" s="300">
        <f>G523/(B523*0.746)</f>
        <v>1.0723860589812333</v>
      </c>
      <c r="K523" s="301" t="s">
        <v>295</v>
      </c>
      <c r="L523" s="301" t="s">
        <v>296</v>
      </c>
      <c r="M523" s="301"/>
    </row>
    <row r="524" spans="1:13">
      <c r="A524" s="301" t="s">
        <v>298</v>
      </c>
      <c r="B524" s="310">
        <v>75</v>
      </c>
      <c r="C524" s="301">
        <v>1780</v>
      </c>
      <c r="D524" s="301"/>
      <c r="E524" s="302">
        <v>484.66666666666669</v>
      </c>
      <c r="F524" s="302">
        <v>62.6</v>
      </c>
      <c r="G524" s="301">
        <v>41.8</v>
      </c>
      <c r="H524" s="301">
        <v>54</v>
      </c>
      <c r="I524" s="306"/>
      <c r="J524" s="300">
        <f>G524/(B524*0.746)</f>
        <v>0.74709562109025907</v>
      </c>
      <c r="K524" s="301" t="s">
        <v>295</v>
      </c>
      <c r="L524" s="301" t="s">
        <v>296</v>
      </c>
      <c r="M524" s="301"/>
    </row>
    <row r="525" spans="1:13">
      <c r="A525" s="301" t="s">
        <v>298</v>
      </c>
      <c r="B525" s="310">
        <v>75</v>
      </c>
      <c r="C525" s="301">
        <v>1780</v>
      </c>
      <c r="D525" s="301"/>
      <c r="E525" s="302">
        <v>483.33333333333331</v>
      </c>
      <c r="F525" s="302">
        <v>71.433333333333337</v>
      </c>
      <c r="G525" s="301">
        <v>50</v>
      </c>
      <c r="H525" s="301">
        <v>66.5</v>
      </c>
      <c r="I525" s="306"/>
      <c r="J525" s="300">
        <f>G525/(B525*0.746)</f>
        <v>0.89365504915102767</v>
      </c>
      <c r="K525" s="301" t="s">
        <v>295</v>
      </c>
      <c r="L525" s="301" t="s">
        <v>296</v>
      </c>
      <c r="M525" s="301"/>
    </row>
    <row r="526" spans="1:13">
      <c r="A526" s="301" t="s">
        <v>294</v>
      </c>
      <c r="B526" s="310">
        <v>25</v>
      </c>
      <c r="C526" s="301">
        <v>1180</v>
      </c>
      <c r="D526" s="301"/>
      <c r="E526" s="302">
        <v>0</v>
      </c>
      <c r="F526" s="302">
        <v>0</v>
      </c>
      <c r="G526" s="301">
        <v>0</v>
      </c>
      <c r="H526" s="301" t="s">
        <v>301</v>
      </c>
      <c r="I526" s="306"/>
      <c r="J526" s="300"/>
      <c r="K526" s="301" t="s">
        <v>295</v>
      </c>
      <c r="L526" s="301" t="s">
        <v>296</v>
      </c>
      <c r="M526" s="301"/>
    </row>
    <row r="527" spans="1:13">
      <c r="A527" s="301" t="s">
        <v>294</v>
      </c>
      <c r="B527" s="310">
        <v>25</v>
      </c>
      <c r="C527" s="301">
        <v>1180</v>
      </c>
      <c r="D527" s="301"/>
      <c r="E527" s="302">
        <v>0</v>
      </c>
      <c r="F527" s="302">
        <v>0</v>
      </c>
      <c r="G527" s="301">
        <v>13.2</v>
      </c>
      <c r="H527" s="301">
        <v>43.8</v>
      </c>
      <c r="I527" s="306"/>
      <c r="J527" s="300">
        <f t="shared" ref="J527:J578" si="16">G527/(B527*0.746)</f>
        <v>0.70777479892761397</v>
      </c>
      <c r="K527" s="301" t="s">
        <v>295</v>
      </c>
      <c r="L527" s="301" t="s">
        <v>296</v>
      </c>
      <c r="M527" s="301"/>
    </row>
    <row r="528" spans="1:13">
      <c r="A528" s="301" t="s">
        <v>298</v>
      </c>
      <c r="B528" s="310">
        <v>25</v>
      </c>
      <c r="C528" s="301">
        <v>3500</v>
      </c>
      <c r="D528" s="301"/>
      <c r="E528" s="302">
        <v>239.66666666666666</v>
      </c>
      <c r="F528" s="302">
        <v>46</v>
      </c>
      <c r="G528" s="301">
        <v>16.3</v>
      </c>
      <c r="H528" s="301">
        <v>49.5</v>
      </c>
      <c r="I528" s="306"/>
      <c r="J528" s="300">
        <f t="shared" si="16"/>
        <v>0.87399463806970523</v>
      </c>
      <c r="K528" s="301" t="s">
        <v>295</v>
      </c>
      <c r="L528" s="301" t="s">
        <v>296</v>
      </c>
      <c r="M528" s="301"/>
    </row>
    <row r="529" spans="1:13">
      <c r="A529" s="301" t="s">
        <v>298</v>
      </c>
      <c r="B529" s="310">
        <v>25</v>
      </c>
      <c r="C529" s="301">
        <v>3500</v>
      </c>
      <c r="D529" s="301"/>
      <c r="E529" s="302">
        <v>238.33333333333334</v>
      </c>
      <c r="F529" s="302">
        <v>57.866666666666674</v>
      </c>
      <c r="G529" s="301">
        <v>21</v>
      </c>
      <c r="H529" s="301">
        <v>77.099999999999994</v>
      </c>
      <c r="I529" s="306"/>
      <c r="J529" s="300">
        <f t="shared" si="16"/>
        <v>1.126005361930295</v>
      </c>
      <c r="K529" s="301" t="s">
        <v>295</v>
      </c>
      <c r="L529" s="301" t="s">
        <v>296</v>
      </c>
      <c r="M529" s="301"/>
    </row>
    <row r="530" spans="1:13">
      <c r="A530" s="301" t="s">
        <v>298</v>
      </c>
      <c r="B530" s="310">
        <v>25</v>
      </c>
      <c r="C530" s="301">
        <v>3500</v>
      </c>
      <c r="D530" s="301"/>
      <c r="E530" s="302">
        <v>0</v>
      </c>
      <c r="F530" s="302">
        <v>0</v>
      </c>
      <c r="G530" s="301">
        <v>14</v>
      </c>
      <c r="H530" s="301">
        <v>70.599999999999994</v>
      </c>
      <c r="I530" s="306"/>
      <c r="J530" s="300">
        <f t="shared" si="16"/>
        <v>0.75067024128686333</v>
      </c>
      <c r="K530" s="301" t="s">
        <v>295</v>
      </c>
      <c r="L530" s="301" t="s">
        <v>296</v>
      </c>
      <c r="M530" s="301"/>
    </row>
    <row r="531" spans="1:13">
      <c r="A531" s="301" t="s">
        <v>298</v>
      </c>
      <c r="B531" s="310">
        <v>50</v>
      </c>
      <c r="C531" s="301">
        <v>3530</v>
      </c>
      <c r="D531" s="301"/>
      <c r="E531" s="302">
        <v>485.33333333333331</v>
      </c>
      <c r="F531" s="302">
        <v>49.7</v>
      </c>
      <c r="G531" s="301">
        <v>34.799999999999997</v>
      </c>
      <c r="H531" s="301">
        <v>65.3</v>
      </c>
      <c r="I531" s="306"/>
      <c r="J531" s="300">
        <f t="shared" si="16"/>
        <v>0.93297587131367288</v>
      </c>
      <c r="K531" s="301" t="s">
        <v>295</v>
      </c>
      <c r="L531" s="301" t="s">
        <v>296</v>
      </c>
      <c r="M531" s="301"/>
    </row>
    <row r="532" spans="1:13">
      <c r="A532" s="301" t="s">
        <v>298</v>
      </c>
      <c r="B532" s="310">
        <v>50</v>
      </c>
      <c r="C532" s="301">
        <v>3530</v>
      </c>
      <c r="D532" s="301"/>
      <c r="E532" s="302">
        <v>0</v>
      </c>
      <c r="F532" s="302">
        <v>0</v>
      </c>
      <c r="G532" s="301">
        <v>24.6</v>
      </c>
      <c r="H532" s="301">
        <v>64.5</v>
      </c>
      <c r="I532" s="306"/>
      <c r="J532" s="300">
        <f t="shared" si="16"/>
        <v>0.65951742627345855</v>
      </c>
      <c r="K532" s="301" t="s">
        <v>295</v>
      </c>
      <c r="L532" s="301" t="s">
        <v>296</v>
      </c>
      <c r="M532" s="301"/>
    </row>
    <row r="533" spans="1:13">
      <c r="A533" s="301" t="s">
        <v>298</v>
      </c>
      <c r="B533" s="310">
        <v>50</v>
      </c>
      <c r="C533" s="301">
        <v>1765</v>
      </c>
      <c r="D533" s="301"/>
      <c r="E533" s="302">
        <v>484.66666666666669</v>
      </c>
      <c r="F533" s="302">
        <v>45.5</v>
      </c>
      <c r="G533" s="301">
        <v>31.2</v>
      </c>
      <c r="H533" s="301">
        <v>74.7</v>
      </c>
      <c r="I533" s="306"/>
      <c r="J533" s="300">
        <f t="shared" si="16"/>
        <v>0.83646112600536193</v>
      </c>
      <c r="K533" s="301" t="s">
        <v>295</v>
      </c>
      <c r="L533" s="301" t="s">
        <v>296</v>
      </c>
      <c r="M533" s="301"/>
    </row>
    <row r="534" spans="1:13">
      <c r="A534" s="301" t="s">
        <v>298</v>
      </c>
      <c r="B534" s="310">
        <v>30</v>
      </c>
      <c r="C534" s="301"/>
      <c r="D534" s="301"/>
      <c r="E534" s="302">
        <v>470.66666666666669</v>
      </c>
      <c r="F534" s="302">
        <v>71.166666666666671</v>
      </c>
      <c r="G534" s="301">
        <v>50</v>
      </c>
      <c r="H534" s="301">
        <v>42.7</v>
      </c>
      <c r="I534" s="306"/>
      <c r="J534" s="300">
        <f t="shared" si="16"/>
        <v>2.2341376228775696</v>
      </c>
      <c r="K534" s="301" t="s">
        <v>295</v>
      </c>
      <c r="L534" s="301" t="s">
        <v>296</v>
      </c>
      <c r="M534" s="301"/>
    </row>
    <row r="535" spans="1:13">
      <c r="A535" s="301" t="s">
        <v>298</v>
      </c>
      <c r="B535" s="310">
        <v>50</v>
      </c>
      <c r="C535" s="301"/>
      <c r="D535" s="301"/>
      <c r="E535" s="302">
        <v>0</v>
      </c>
      <c r="F535" s="302">
        <v>0</v>
      </c>
      <c r="G535" s="301">
        <v>29.2</v>
      </c>
      <c r="H535" s="301">
        <v>67.599999999999994</v>
      </c>
      <c r="I535" s="306"/>
      <c r="J535" s="300">
        <f t="shared" si="16"/>
        <v>0.78284182305630035</v>
      </c>
      <c r="K535" s="301" t="s">
        <v>295</v>
      </c>
      <c r="L535" s="301" t="s">
        <v>296</v>
      </c>
      <c r="M535" s="301"/>
    </row>
    <row r="536" spans="1:13">
      <c r="A536" s="301" t="s">
        <v>299</v>
      </c>
      <c r="B536" s="310">
        <v>100</v>
      </c>
      <c r="C536" s="301"/>
      <c r="D536" s="301"/>
      <c r="E536" s="302">
        <v>0</v>
      </c>
      <c r="F536" s="302">
        <v>0</v>
      </c>
      <c r="G536" s="301">
        <v>52.4</v>
      </c>
      <c r="H536" s="301">
        <v>64.2</v>
      </c>
      <c r="I536" s="306"/>
      <c r="J536" s="300">
        <f t="shared" si="16"/>
        <v>0.7024128686327078</v>
      </c>
      <c r="K536" s="301" t="s">
        <v>295</v>
      </c>
      <c r="L536" s="301" t="s">
        <v>296</v>
      </c>
      <c r="M536" s="301"/>
    </row>
    <row r="537" spans="1:13">
      <c r="A537" s="301" t="s">
        <v>294</v>
      </c>
      <c r="B537" s="310">
        <v>150</v>
      </c>
      <c r="C537" s="301">
        <v>1800</v>
      </c>
      <c r="D537" s="301"/>
      <c r="E537" s="302">
        <v>0</v>
      </c>
      <c r="F537" s="302">
        <v>0</v>
      </c>
      <c r="G537" s="301">
        <v>83.2</v>
      </c>
      <c r="H537" s="301">
        <v>68.599999999999994</v>
      </c>
      <c r="I537" s="306"/>
      <c r="J537" s="300">
        <f t="shared" si="16"/>
        <v>0.74352100089365503</v>
      </c>
      <c r="K537" s="301" t="s">
        <v>295</v>
      </c>
      <c r="L537" s="301" t="s">
        <v>296</v>
      </c>
      <c r="M537" s="301"/>
    </row>
    <row r="538" spans="1:13">
      <c r="A538" s="301" t="s">
        <v>299</v>
      </c>
      <c r="B538" s="310">
        <v>720</v>
      </c>
      <c r="C538" s="301">
        <v>300</v>
      </c>
      <c r="D538" s="301"/>
      <c r="E538" s="302">
        <v>2415</v>
      </c>
      <c r="F538" s="302">
        <v>126</v>
      </c>
      <c r="G538" s="301">
        <v>532.29999999999995</v>
      </c>
      <c r="H538" s="301">
        <v>25.6</v>
      </c>
      <c r="I538" s="306"/>
      <c r="J538" s="300">
        <f t="shared" si="16"/>
        <v>0.99102621388144163</v>
      </c>
      <c r="K538" s="301" t="s">
        <v>295</v>
      </c>
      <c r="L538" s="301" t="s">
        <v>296</v>
      </c>
      <c r="M538" s="301"/>
    </row>
    <row r="539" spans="1:13">
      <c r="A539" s="301" t="s">
        <v>299</v>
      </c>
      <c r="B539" s="310">
        <v>720</v>
      </c>
      <c r="C539" s="301">
        <v>300</v>
      </c>
      <c r="D539" s="301"/>
      <c r="E539" s="302">
        <v>2415</v>
      </c>
      <c r="F539" s="302">
        <v>163</v>
      </c>
      <c r="G539" s="301">
        <v>688.6</v>
      </c>
      <c r="H539" s="301">
        <v>59.3</v>
      </c>
      <c r="I539" s="306"/>
      <c r="J539" s="300">
        <f t="shared" si="16"/>
        <v>1.2820226392612453</v>
      </c>
      <c r="K539" s="301" t="s">
        <v>295</v>
      </c>
      <c r="L539" s="301" t="s">
        <v>296</v>
      </c>
      <c r="M539" s="301"/>
    </row>
    <row r="540" spans="1:13">
      <c r="A540" s="301" t="s">
        <v>299</v>
      </c>
      <c r="B540" s="310">
        <v>900</v>
      </c>
      <c r="C540" s="301">
        <v>360</v>
      </c>
      <c r="D540" s="301"/>
      <c r="E540" s="302">
        <v>2415</v>
      </c>
      <c r="F540" s="302">
        <v>191.66666666666666</v>
      </c>
      <c r="G540" s="301">
        <v>809.7</v>
      </c>
      <c r="H540" s="301">
        <v>59.6</v>
      </c>
      <c r="I540" s="306"/>
      <c r="J540" s="300">
        <f t="shared" si="16"/>
        <v>1.2059874888293121</v>
      </c>
      <c r="K540" s="301" t="s">
        <v>295</v>
      </c>
      <c r="L540" s="301" t="s">
        <v>296</v>
      </c>
      <c r="M540" s="301"/>
    </row>
    <row r="541" spans="1:13">
      <c r="A541" s="301" t="s">
        <v>299</v>
      </c>
      <c r="B541" s="310">
        <v>720</v>
      </c>
      <c r="C541" s="301">
        <v>300</v>
      </c>
      <c r="D541" s="301"/>
      <c r="E541" s="302">
        <v>2415</v>
      </c>
      <c r="F541" s="302">
        <v>125</v>
      </c>
      <c r="G541" s="301">
        <v>528.1</v>
      </c>
      <c r="H541" s="301">
        <v>24.1</v>
      </c>
      <c r="I541" s="306"/>
      <c r="J541" s="300">
        <f t="shared" si="16"/>
        <v>0.98320673220137034</v>
      </c>
      <c r="K541" s="301" t="s">
        <v>295</v>
      </c>
      <c r="L541" s="301" t="s">
        <v>296</v>
      </c>
      <c r="M541" s="301"/>
    </row>
    <row r="542" spans="1:13">
      <c r="A542" s="301" t="s">
        <v>299</v>
      </c>
      <c r="B542" s="310">
        <v>720</v>
      </c>
      <c r="C542" s="301">
        <v>300</v>
      </c>
      <c r="D542" s="301"/>
      <c r="E542" s="302">
        <v>2415</v>
      </c>
      <c r="F542" s="302">
        <v>172</v>
      </c>
      <c r="G542" s="301">
        <v>726.7</v>
      </c>
      <c r="H542" s="301">
        <v>60.5</v>
      </c>
      <c r="I542" s="306"/>
      <c r="J542" s="300">
        <f t="shared" si="16"/>
        <v>1.3529565087876081</v>
      </c>
      <c r="K542" s="301" t="s">
        <v>295</v>
      </c>
      <c r="L542" s="301" t="s">
        <v>296</v>
      </c>
      <c r="M542" s="301"/>
    </row>
    <row r="543" spans="1:13">
      <c r="A543" s="301" t="s">
        <v>294</v>
      </c>
      <c r="B543" s="310">
        <v>100</v>
      </c>
      <c r="C543" s="301"/>
      <c r="D543" s="301"/>
      <c r="E543" s="302">
        <v>478</v>
      </c>
      <c r="F543" s="302">
        <v>102.23333333333333</v>
      </c>
      <c r="G543" s="301">
        <v>75</v>
      </c>
      <c r="H543" s="301">
        <v>64.599999999999994</v>
      </c>
      <c r="I543" s="306"/>
      <c r="J543" s="300">
        <f t="shared" si="16"/>
        <v>1.0053619302949062</v>
      </c>
      <c r="K543" s="301" t="s">
        <v>295</v>
      </c>
      <c r="L543" s="301" t="s">
        <v>296</v>
      </c>
      <c r="M543" s="301"/>
    </row>
    <row r="544" spans="1:13">
      <c r="A544" s="301" t="s">
        <v>298</v>
      </c>
      <c r="B544" s="310">
        <v>100</v>
      </c>
      <c r="C544" s="301"/>
      <c r="D544" s="301"/>
      <c r="E544" s="302">
        <v>478.66666666666669</v>
      </c>
      <c r="F544" s="302">
        <v>86</v>
      </c>
      <c r="G544" s="301">
        <v>55</v>
      </c>
      <c r="H544" s="301">
        <v>56.8</v>
      </c>
      <c r="I544" s="306"/>
      <c r="J544" s="300">
        <f t="shared" si="16"/>
        <v>0.7372654155495979</v>
      </c>
      <c r="K544" s="301" t="s">
        <v>295</v>
      </c>
      <c r="L544" s="301" t="s">
        <v>296</v>
      </c>
      <c r="M544" s="301"/>
    </row>
    <row r="545" spans="1:13">
      <c r="A545" s="301" t="s">
        <v>298</v>
      </c>
      <c r="B545" s="310">
        <v>50</v>
      </c>
      <c r="C545" s="301">
        <v>1765</v>
      </c>
      <c r="D545" s="301"/>
      <c r="E545" s="302">
        <v>0</v>
      </c>
      <c r="F545" s="302">
        <v>0</v>
      </c>
      <c r="G545" s="301">
        <v>31.2</v>
      </c>
      <c r="H545" s="301">
        <v>72</v>
      </c>
      <c r="I545" s="306"/>
      <c r="J545" s="300">
        <f t="shared" si="16"/>
        <v>0.83646112600536193</v>
      </c>
      <c r="K545" s="301" t="s">
        <v>295</v>
      </c>
      <c r="L545" s="301" t="s">
        <v>296</v>
      </c>
      <c r="M545" s="301"/>
    </row>
    <row r="546" spans="1:13">
      <c r="A546" s="301" t="s">
        <v>294</v>
      </c>
      <c r="B546" s="310">
        <v>125</v>
      </c>
      <c r="C546" s="301"/>
      <c r="D546" s="301"/>
      <c r="E546" s="302">
        <v>473</v>
      </c>
      <c r="F546" s="302">
        <v>142</v>
      </c>
      <c r="G546" s="301">
        <v>97</v>
      </c>
      <c r="H546" s="301">
        <v>49</v>
      </c>
      <c r="I546" s="306"/>
      <c r="J546" s="300">
        <f t="shared" si="16"/>
        <v>1.0402144772117963</v>
      </c>
      <c r="K546" s="301" t="s">
        <v>295</v>
      </c>
      <c r="L546" s="301" t="s">
        <v>296</v>
      </c>
      <c r="M546" s="301"/>
    </row>
    <row r="547" spans="1:13">
      <c r="A547" s="301" t="s">
        <v>294</v>
      </c>
      <c r="B547" s="310">
        <v>250</v>
      </c>
      <c r="C547" s="301"/>
      <c r="D547" s="301"/>
      <c r="E547" s="302">
        <v>473</v>
      </c>
      <c r="F547" s="302">
        <v>287.33333333333331</v>
      </c>
      <c r="G547" s="301">
        <v>200.5</v>
      </c>
      <c r="H547" s="301">
        <v>61.1</v>
      </c>
      <c r="I547" s="306"/>
      <c r="J547" s="300">
        <f t="shared" si="16"/>
        <v>1.0750670241286864</v>
      </c>
      <c r="K547" s="301" t="s">
        <v>295</v>
      </c>
      <c r="L547" s="301" t="s">
        <v>296</v>
      </c>
      <c r="M547" s="301"/>
    </row>
    <row r="548" spans="1:13">
      <c r="A548" s="301" t="s">
        <v>294</v>
      </c>
      <c r="B548" s="310">
        <v>250</v>
      </c>
      <c r="C548" s="301"/>
      <c r="D548" s="301"/>
      <c r="E548" s="302">
        <v>0</v>
      </c>
      <c r="F548" s="302">
        <v>0</v>
      </c>
      <c r="G548" s="301">
        <v>200.8</v>
      </c>
      <c r="H548" s="301">
        <v>61</v>
      </c>
      <c r="I548" s="306"/>
      <c r="J548" s="300">
        <f t="shared" si="16"/>
        <v>1.0766756032171583</v>
      </c>
      <c r="K548" s="301" t="s">
        <v>295</v>
      </c>
      <c r="L548" s="301" t="s">
        <v>296</v>
      </c>
      <c r="M548" s="301"/>
    </row>
    <row r="549" spans="1:13">
      <c r="A549" s="301" t="s">
        <v>297</v>
      </c>
      <c r="B549" s="310">
        <v>500</v>
      </c>
      <c r="C549" s="301">
        <v>900</v>
      </c>
      <c r="D549" s="301"/>
      <c r="E549" s="302">
        <v>2305</v>
      </c>
      <c r="F549" s="302">
        <v>54.1</v>
      </c>
      <c r="G549" s="301">
        <v>218.1</v>
      </c>
      <c r="H549" s="301">
        <v>68.400000000000006</v>
      </c>
      <c r="I549" s="306"/>
      <c r="J549" s="300">
        <f t="shared" si="16"/>
        <v>0.58471849865951742</v>
      </c>
      <c r="K549" s="301" t="s">
        <v>295</v>
      </c>
      <c r="L549" s="301" t="s">
        <v>296</v>
      </c>
      <c r="M549" s="301"/>
    </row>
    <row r="550" spans="1:13">
      <c r="A550" s="301" t="s">
        <v>297</v>
      </c>
      <c r="B550" s="310">
        <v>500</v>
      </c>
      <c r="C550" s="301">
        <v>900</v>
      </c>
      <c r="D550" s="301"/>
      <c r="E550" s="302">
        <v>2305</v>
      </c>
      <c r="F550" s="302">
        <v>55.483333333333327</v>
      </c>
      <c r="G550" s="301">
        <v>223.7</v>
      </c>
      <c r="H550" s="301">
        <v>75.2</v>
      </c>
      <c r="I550" s="306"/>
      <c r="J550" s="300">
        <f t="shared" si="16"/>
        <v>0.59973190348525462</v>
      </c>
      <c r="K550" s="301" t="s">
        <v>295</v>
      </c>
      <c r="L550" s="301" t="s">
        <v>296</v>
      </c>
      <c r="M550" s="301"/>
    </row>
    <row r="551" spans="1:13">
      <c r="A551" s="301" t="s">
        <v>297</v>
      </c>
      <c r="B551" s="310">
        <v>500</v>
      </c>
      <c r="C551" s="301">
        <v>900</v>
      </c>
      <c r="D551" s="301"/>
      <c r="E551" s="302">
        <v>2305</v>
      </c>
      <c r="F551" s="302">
        <v>53.666666666666664</v>
      </c>
      <c r="G551" s="301">
        <v>216.4</v>
      </c>
      <c r="H551" s="301">
        <v>68.2</v>
      </c>
      <c r="I551" s="306"/>
      <c r="J551" s="300">
        <f t="shared" si="16"/>
        <v>0.58016085790884719</v>
      </c>
      <c r="K551" s="301" t="s">
        <v>295</v>
      </c>
      <c r="L551" s="301" t="s">
        <v>296</v>
      </c>
      <c r="M551" s="301"/>
    </row>
    <row r="552" spans="1:13">
      <c r="A552" s="301" t="s">
        <v>294</v>
      </c>
      <c r="B552" s="310">
        <v>300</v>
      </c>
      <c r="C552" s="301">
        <v>1770</v>
      </c>
      <c r="D552" s="301"/>
      <c r="E552" s="302">
        <v>2305</v>
      </c>
      <c r="F552" s="302">
        <v>47.233333333333327</v>
      </c>
      <c r="G552" s="301">
        <v>160.30000000000001</v>
      </c>
      <c r="H552" s="301">
        <v>59.9</v>
      </c>
      <c r="I552" s="306"/>
      <c r="J552" s="300">
        <f t="shared" si="16"/>
        <v>0.7162645218945487</v>
      </c>
      <c r="K552" s="301" t="s">
        <v>295</v>
      </c>
      <c r="L552" s="301" t="s">
        <v>296</v>
      </c>
      <c r="M552" s="301"/>
    </row>
    <row r="553" spans="1:13">
      <c r="A553" s="301" t="s">
        <v>294</v>
      </c>
      <c r="B553" s="310">
        <v>125</v>
      </c>
      <c r="C553" s="301"/>
      <c r="D553" s="301"/>
      <c r="E553" s="302">
        <v>478.66666666666669</v>
      </c>
      <c r="F553" s="302">
        <v>153</v>
      </c>
      <c r="G553" s="301">
        <v>110</v>
      </c>
      <c r="H553" s="301">
        <v>72.2</v>
      </c>
      <c r="I553" s="306"/>
      <c r="J553" s="300">
        <f t="shared" si="16"/>
        <v>1.1796246648793565</v>
      </c>
      <c r="K553" s="301" t="s">
        <v>295</v>
      </c>
      <c r="L553" s="301" t="s">
        <v>296</v>
      </c>
      <c r="M553" s="301"/>
    </row>
    <row r="554" spans="1:13">
      <c r="A554" s="301" t="s">
        <v>294</v>
      </c>
      <c r="B554" s="310">
        <v>125</v>
      </c>
      <c r="C554" s="301">
        <v>1770</v>
      </c>
      <c r="D554" s="301"/>
      <c r="E554" s="302">
        <v>480.33333333333331</v>
      </c>
      <c r="F554" s="302">
        <v>139</v>
      </c>
      <c r="G554" s="301">
        <v>98</v>
      </c>
      <c r="H554" s="301">
        <v>62.1</v>
      </c>
      <c r="I554" s="306"/>
      <c r="J554" s="300">
        <f t="shared" si="16"/>
        <v>1.0509383378016086</v>
      </c>
      <c r="K554" s="301" t="s">
        <v>295</v>
      </c>
      <c r="L554" s="301" t="s">
        <v>296</v>
      </c>
      <c r="M554" s="301"/>
    </row>
    <row r="555" spans="1:13">
      <c r="A555" s="301" t="s">
        <v>294</v>
      </c>
      <c r="B555" s="310">
        <v>100</v>
      </c>
      <c r="C555" s="301"/>
      <c r="D555" s="301"/>
      <c r="E555" s="302">
        <v>491.33333333333331</v>
      </c>
      <c r="F555" s="302">
        <v>78</v>
      </c>
      <c r="G555" s="301">
        <v>53</v>
      </c>
      <c r="H555" s="301">
        <v>56.7</v>
      </c>
      <c r="I555" s="306"/>
      <c r="J555" s="300">
        <f t="shared" si="16"/>
        <v>0.71045576407506705</v>
      </c>
      <c r="K555" s="301" t="s">
        <v>295</v>
      </c>
      <c r="L555" s="301" t="s">
        <v>296</v>
      </c>
      <c r="M555" s="301"/>
    </row>
    <row r="556" spans="1:13">
      <c r="A556" s="301" t="s">
        <v>294</v>
      </c>
      <c r="B556" s="310">
        <v>100</v>
      </c>
      <c r="C556" s="301"/>
      <c r="D556" s="301"/>
      <c r="E556" s="302">
        <v>492.33333333333331</v>
      </c>
      <c r="F556" s="302">
        <v>114.9</v>
      </c>
      <c r="G556" s="301">
        <v>84</v>
      </c>
      <c r="H556" s="301">
        <v>65.3</v>
      </c>
      <c r="I556" s="306"/>
      <c r="J556" s="300">
        <f t="shared" si="16"/>
        <v>1.126005361930295</v>
      </c>
      <c r="K556" s="301" t="s">
        <v>295</v>
      </c>
      <c r="L556" s="301" t="s">
        <v>296</v>
      </c>
      <c r="M556" s="301"/>
    </row>
    <row r="557" spans="1:13">
      <c r="A557" s="301" t="s">
        <v>294</v>
      </c>
      <c r="B557" s="310">
        <v>75</v>
      </c>
      <c r="C557" s="301"/>
      <c r="D557" s="301"/>
      <c r="E557" s="302">
        <v>495</v>
      </c>
      <c r="F557" s="302">
        <v>63.56666666666667</v>
      </c>
      <c r="G557" s="301">
        <v>40.1</v>
      </c>
      <c r="H557" s="301">
        <v>29.3</v>
      </c>
      <c r="I557" s="306"/>
      <c r="J557" s="300">
        <f t="shared" si="16"/>
        <v>0.71671134941912418</v>
      </c>
      <c r="K557" s="301" t="s">
        <v>295</v>
      </c>
      <c r="L557" s="301" t="s">
        <v>296</v>
      </c>
      <c r="M557" s="301"/>
    </row>
    <row r="558" spans="1:13">
      <c r="A558" s="301" t="s">
        <v>297</v>
      </c>
      <c r="B558" s="310">
        <v>500</v>
      </c>
      <c r="C558" s="301">
        <v>720</v>
      </c>
      <c r="D558" s="301"/>
      <c r="E558" s="302">
        <v>2300</v>
      </c>
      <c r="F558" s="302">
        <v>64.166666666666671</v>
      </c>
      <c r="G558" s="301">
        <v>511.2</v>
      </c>
      <c r="H558" s="301">
        <v>76.599999999999994</v>
      </c>
      <c r="I558" s="306"/>
      <c r="J558" s="300">
        <f t="shared" si="16"/>
        <v>1.370509383378016</v>
      </c>
      <c r="K558" s="301" t="s">
        <v>295</v>
      </c>
      <c r="L558" s="301" t="s">
        <v>296</v>
      </c>
      <c r="M558" s="301"/>
    </row>
    <row r="559" spans="1:13">
      <c r="A559" s="301" t="s">
        <v>297</v>
      </c>
      <c r="B559" s="310">
        <v>500</v>
      </c>
      <c r="C559" s="301">
        <v>720</v>
      </c>
      <c r="D559" s="301"/>
      <c r="E559" s="302">
        <v>2300</v>
      </c>
      <c r="F559" s="302">
        <v>43.333333333333336</v>
      </c>
      <c r="G559" s="301">
        <v>517.9</v>
      </c>
      <c r="H559" s="301">
        <v>76.2</v>
      </c>
      <c r="I559" s="306"/>
      <c r="J559" s="300">
        <f t="shared" si="16"/>
        <v>1.3884718498659516</v>
      </c>
      <c r="K559" s="301" t="s">
        <v>295</v>
      </c>
      <c r="L559" s="301" t="s">
        <v>296</v>
      </c>
      <c r="M559" s="301"/>
    </row>
    <row r="560" spans="1:13">
      <c r="A560" s="301" t="s">
        <v>297</v>
      </c>
      <c r="B560" s="310">
        <v>250</v>
      </c>
      <c r="C560" s="301">
        <v>900</v>
      </c>
      <c r="D560" s="301"/>
      <c r="E560" s="302">
        <v>2300</v>
      </c>
      <c r="F560" s="302">
        <v>19.600000000000001</v>
      </c>
      <c r="G560" s="301">
        <v>78.099999999999994</v>
      </c>
      <c r="H560" s="301">
        <v>91.7</v>
      </c>
      <c r="I560" s="306"/>
      <c r="J560" s="300">
        <f t="shared" si="16"/>
        <v>0.41876675603217156</v>
      </c>
      <c r="K560" s="301" t="s">
        <v>295</v>
      </c>
      <c r="L560" s="301" t="s">
        <v>296</v>
      </c>
      <c r="M560" s="301"/>
    </row>
    <row r="561" spans="1:13">
      <c r="A561" s="301" t="s">
        <v>297</v>
      </c>
      <c r="B561" s="310">
        <v>250</v>
      </c>
      <c r="C561" s="301">
        <v>900</v>
      </c>
      <c r="D561" s="301"/>
      <c r="E561" s="302">
        <v>2300</v>
      </c>
      <c r="F561" s="302">
        <v>12.333333333333334</v>
      </c>
      <c r="G561" s="301">
        <v>147.4</v>
      </c>
      <c r="H561" s="301">
        <v>79.099999999999994</v>
      </c>
      <c r="I561" s="306"/>
      <c r="J561" s="300">
        <f t="shared" si="16"/>
        <v>0.79034852546916889</v>
      </c>
      <c r="K561" s="301" t="s">
        <v>295</v>
      </c>
      <c r="L561" s="301" t="s">
        <v>296</v>
      </c>
      <c r="M561" s="301"/>
    </row>
    <row r="562" spans="1:13">
      <c r="A562" s="301" t="s">
        <v>297</v>
      </c>
      <c r="B562" s="310">
        <v>500</v>
      </c>
      <c r="C562" s="301">
        <v>720</v>
      </c>
      <c r="D562" s="301"/>
      <c r="E562" s="302">
        <v>2300</v>
      </c>
      <c r="F562" s="302">
        <v>64.166666666666671</v>
      </c>
      <c r="G562" s="301">
        <v>511.2</v>
      </c>
      <c r="H562" s="301">
        <v>86.2</v>
      </c>
      <c r="I562" s="306"/>
      <c r="J562" s="300">
        <f t="shared" si="16"/>
        <v>1.370509383378016</v>
      </c>
      <c r="K562" s="301" t="s">
        <v>295</v>
      </c>
      <c r="L562" s="301" t="s">
        <v>296</v>
      </c>
      <c r="M562" s="301"/>
    </row>
    <row r="563" spans="1:13">
      <c r="A563" s="301" t="s">
        <v>297</v>
      </c>
      <c r="B563" s="310">
        <v>500</v>
      </c>
      <c r="C563" s="301">
        <v>720</v>
      </c>
      <c r="D563" s="301"/>
      <c r="E563" s="302">
        <v>2300</v>
      </c>
      <c r="F563" s="302">
        <v>43.333333333333336</v>
      </c>
      <c r="G563" s="301">
        <v>517.9</v>
      </c>
      <c r="H563" s="301">
        <v>85.6</v>
      </c>
      <c r="I563" s="306"/>
      <c r="J563" s="300">
        <f t="shared" si="16"/>
        <v>1.3884718498659516</v>
      </c>
      <c r="K563" s="301" t="s">
        <v>295</v>
      </c>
      <c r="L563" s="301" t="s">
        <v>296</v>
      </c>
      <c r="M563" s="301"/>
    </row>
    <row r="564" spans="1:13">
      <c r="A564" s="301" t="s">
        <v>297</v>
      </c>
      <c r="B564" s="310">
        <v>250</v>
      </c>
      <c r="C564" s="301">
        <v>900</v>
      </c>
      <c r="D564" s="301"/>
      <c r="E564" s="302">
        <v>2400</v>
      </c>
      <c r="F564" s="302">
        <v>12.333333333333334</v>
      </c>
      <c r="G564" s="301">
        <v>153.80000000000001</v>
      </c>
      <c r="H564" s="301">
        <v>76.900000000000006</v>
      </c>
      <c r="I564" s="306"/>
      <c r="J564" s="300">
        <f t="shared" si="16"/>
        <v>0.8246648793565684</v>
      </c>
      <c r="K564" s="301" t="s">
        <v>295</v>
      </c>
      <c r="L564" s="301" t="s">
        <v>296</v>
      </c>
      <c r="M564" s="301"/>
    </row>
    <row r="565" spans="1:13">
      <c r="A565" s="301" t="s">
        <v>294</v>
      </c>
      <c r="B565" s="310">
        <v>60</v>
      </c>
      <c r="C565" s="301">
        <v>1770</v>
      </c>
      <c r="D565" s="301"/>
      <c r="E565" s="302">
        <v>490.33333333333331</v>
      </c>
      <c r="F565" s="302">
        <v>60.2</v>
      </c>
      <c r="G565" s="301">
        <v>44</v>
      </c>
      <c r="H565" s="301">
        <v>25.3</v>
      </c>
      <c r="I565" s="306"/>
      <c r="J565" s="300">
        <f t="shared" si="16"/>
        <v>0.98302055406613054</v>
      </c>
      <c r="K565" s="301" t="s">
        <v>295</v>
      </c>
      <c r="L565" s="301" t="s">
        <v>296</v>
      </c>
      <c r="M565" s="301"/>
    </row>
    <row r="566" spans="1:13">
      <c r="A566" s="301" t="s">
        <v>294</v>
      </c>
      <c r="B566" s="310">
        <v>75</v>
      </c>
      <c r="C566" s="301">
        <v>1760</v>
      </c>
      <c r="D566" s="301"/>
      <c r="E566" s="302">
        <v>0</v>
      </c>
      <c r="F566" s="302">
        <v>0</v>
      </c>
      <c r="G566" s="301">
        <v>45.7</v>
      </c>
      <c r="H566" s="301">
        <v>53.5</v>
      </c>
      <c r="I566" s="306"/>
      <c r="J566" s="300">
        <f t="shared" si="16"/>
        <v>0.81680071492403938</v>
      </c>
      <c r="K566" s="301" t="s">
        <v>295</v>
      </c>
      <c r="L566" s="301" t="s">
        <v>296</v>
      </c>
      <c r="M566" s="301"/>
    </row>
    <row r="567" spans="1:13">
      <c r="A567" s="301" t="s">
        <v>298</v>
      </c>
      <c r="B567" s="310">
        <v>50</v>
      </c>
      <c r="C567" s="301">
        <v>1750</v>
      </c>
      <c r="D567" s="301"/>
      <c r="E567" s="302">
        <v>0</v>
      </c>
      <c r="F567" s="302">
        <v>0</v>
      </c>
      <c r="G567" s="301">
        <v>40</v>
      </c>
      <c r="H567" s="301">
        <v>67.2</v>
      </c>
      <c r="I567" s="306"/>
      <c r="J567" s="300">
        <f t="shared" si="16"/>
        <v>1.0723860589812333</v>
      </c>
      <c r="K567" s="301" t="s">
        <v>295</v>
      </c>
      <c r="L567" s="301" t="s">
        <v>296</v>
      </c>
      <c r="M567" s="301"/>
    </row>
    <row r="568" spans="1:13">
      <c r="A568" s="301" t="s">
        <v>294</v>
      </c>
      <c r="B568" s="310">
        <v>20</v>
      </c>
      <c r="C568" s="301"/>
      <c r="D568" s="301"/>
      <c r="E568" s="302">
        <v>466</v>
      </c>
      <c r="F568" s="302">
        <v>25.033333333333331</v>
      </c>
      <c r="G568" s="301">
        <v>15.2</v>
      </c>
      <c r="H568" s="301">
        <v>53.6</v>
      </c>
      <c r="I568" s="306"/>
      <c r="J568" s="300">
        <f t="shared" si="16"/>
        <v>1.0187667560321716</v>
      </c>
      <c r="K568" s="301" t="s">
        <v>295</v>
      </c>
      <c r="L568" s="301" t="s">
        <v>296</v>
      </c>
      <c r="M568" s="301"/>
    </row>
    <row r="569" spans="1:13">
      <c r="A569" s="301" t="s">
        <v>300</v>
      </c>
      <c r="B569" s="310">
        <v>20</v>
      </c>
      <c r="C569" s="301">
        <v>1160</v>
      </c>
      <c r="D569" s="301"/>
      <c r="E569" s="302">
        <v>483.66666666666669</v>
      </c>
      <c r="F569" s="302">
        <v>24.2</v>
      </c>
      <c r="G569" s="301">
        <v>14.7</v>
      </c>
      <c r="H569" s="301">
        <v>46.9</v>
      </c>
      <c r="I569" s="306"/>
      <c r="J569" s="300">
        <f t="shared" si="16"/>
        <v>0.98525469168900803</v>
      </c>
      <c r="K569" s="301" t="s">
        <v>295</v>
      </c>
      <c r="L569" s="301" t="s">
        <v>296</v>
      </c>
      <c r="M569" s="301"/>
    </row>
    <row r="570" spans="1:13">
      <c r="A570" s="301" t="s">
        <v>294</v>
      </c>
      <c r="B570" s="310">
        <v>5</v>
      </c>
      <c r="C570" s="301">
        <v>1760</v>
      </c>
      <c r="D570" s="301"/>
      <c r="E570" s="302">
        <v>243.66666666666666</v>
      </c>
      <c r="F570" s="302">
        <v>7.2966666666666669</v>
      </c>
      <c r="G570" s="301">
        <v>2.4</v>
      </c>
      <c r="H570" s="301">
        <v>35.299999999999997</v>
      </c>
      <c r="I570" s="306"/>
      <c r="J570" s="300">
        <f t="shared" si="16"/>
        <v>0.64343163538873993</v>
      </c>
      <c r="K570" s="301" t="s">
        <v>295</v>
      </c>
      <c r="L570" s="301" t="s">
        <v>296</v>
      </c>
      <c r="M570" s="301"/>
    </row>
    <row r="571" spans="1:13">
      <c r="A571" s="301" t="s">
        <v>302</v>
      </c>
      <c r="B571" s="310">
        <v>30</v>
      </c>
      <c r="C571" s="301"/>
      <c r="D571" s="301"/>
      <c r="E571" s="302">
        <v>232</v>
      </c>
      <c r="F571" s="302">
        <v>36.200000000000003</v>
      </c>
      <c r="G571" s="301">
        <v>12.4</v>
      </c>
      <c r="H571" s="301">
        <v>36.5</v>
      </c>
      <c r="I571" s="306"/>
      <c r="J571" s="300">
        <f t="shared" si="16"/>
        <v>0.55406613047363718</v>
      </c>
      <c r="K571" s="301" t="s">
        <v>295</v>
      </c>
      <c r="L571" s="301" t="s">
        <v>296</v>
      </c>
      <c r="M571" s="301"/>
    </row>
    <row r="572" spans="1:13">
      <c r="A572" s="301" t="s">
        <v>300</v>
      </c>
      <c r="B572" s="310">
        <v>10</v>
      </c>
      <c r="C572" s="301">
        <v>1750</v>
      </c>
      <c r="D572" s="301"/>
      <c r="E572" s="302">
        <v>487.66666666666669</v>
      </c>
      <c r="F572" s="302">
        <v>13.52</v>
      </c>
      <c r="G572" s="301">
        <v>8.6999999999999993</v>
      </c>
      <c r="H572" s="301">
        <v>63.4</v>
      </c>
      <c r="I572" s="306"/>
      <c r="J572" s="300">
        <f t="shared" si="16"/>
        <v>1.166219839142091</v>
      </c>
      <c r="K572" s="301" t="s">
        <v>295</v>
      </c>
      <c r="L572" s="301" t="s">
        <v>296</v>
      </c>
      <c r="M572" s="301"/>
    </row>
    <row r="573" spans="1:13">
      <c r="A573" s="301" t="s">
        <v>300</v>
      </c>
      <c r="B573" s="310">
        <v>7.5</v>
      </c>
      <c r="C573" s="301"/>
      <c r="D573" s="301"/>
      <c r="E573" s="302">
        <v>489</v>
      </c>
      <c r="F573" s="302">
        <v>9.6199999999999992</v>
      </c>
      <c r="G573" s="301">
        <v>5.2</v>
      </c>
      <c r="H573" s="301">
        <v>34</v>
      </c>
      <c r="I573" s="306"/>
      <c r="J573" s="300">
        <f t="shared" si="16"/>
        <v>0.92940125111706884</v>
      </c>
      <c r="K573" s="301" t="s">
        <v>295</v>
      </c>
      <c r="L573" s="301" t="s">
        <v>296</v>
      </c>
      <c r="M573" s="301"/>
    </row>
    <row r="574" spans="1:13">
      <c r="A574" s="301" t="s">
        <v>300</v>
      </c>
      <c r="B574" s="310">
        <v>20</v>
      </c>
      <c r="C574" s="301">
        <v>860</v>
      </c>
      <c r="D574" s="301"/>
      <c r="E574" s="302">
        <v>485.66666666666669</v>
      </c>
      <c r="F574" s="302">
        <v>24.766666666666666</v>
      </c>
      <c r="G574" s="301">
        <v>16.2</v>
      </c>
      <c r="H574" s="301">
        <v>29.8</v>
      </c>
      <c r="I574" s="306"/>
      <c r="J574" s="300">
        <f t="shared" si="16"/>
        <v>1.0857908847184987</v>
      </c>
      <c r="K574" s="301" t="s">
        <v>295</v>
      </c>
      <c r="L574" s="301" t="s">
        <v>296</v>
      </c>
      <c r="M574" s="301"/>
    </row>
    <row r="575" spans="1:13">
      <c r="A575" s="301" t="s">
        <v>302</v>
      </c>
      <c r="B575" s="310">
        <v>25</v>
      </c>
      <c r="C575" s="301"/>
      <c r="D575" s="301"/>
      <c r="E575" s="302">
        <v>239</v>
      </c>
      <c r="F575" s="302">
        <v>39.766666666666666</v>
      </c>
      <c r="G575" s="301">
        <v>14.2</v>
      </c>
      <c r="H575" s="301">
        <v>36.5</v>
      </c>
      <c r="I575" s="306"/>
      <c r="J575" s="300">
        <f t="shared" si="16"/>
        <v>0.76139410187667567</v>
      </c>
      <c r="K575" s="301" t="s">
        <v>295</v>
      </c>
      <c r="L575" s="301" t="s">
        <v>296</v>
      </c>
      <c r="M575" s="301"/>
    </row>
    <row r="576" spans="1:13">
      <c r="A576" s="301" t="s">
        <v>294</v>
      </c>
      <c r="B576" s="310">
        <v>100</v>
      </c>
      <c r="C576" s="301">
        <v>1770</v>
      </c>
      <c r="D576" s="301"/>
      <c r="E576" s="302">
        <v>474.33333333333331</v>
      </c>
      <c r="F576" s="302">
        <v>99.433333333333337</v>
      </c>
      <c r="G576" s="301">
        <v>75</v>
      </c>
      <c r="H576" s="301">
        <v>54</v>
      </c>
      <c r="I576" s="306"/>
      <c r="J576" s="300">
        <f t="shared" si="16"/>
        <v>1.0053619302949062</v>
      </c>
      <c r="K576" s="301" t="s">
        <v>295</v>
      </c>
      <c r="L576" s="301" t="s">
        <v>296</v>
      </c>
      <c r="M576" s="301"/>
    </row>
    <row r="577" spans="1:13">
      <c r="A577" s="301" t="s">
        <v>294</v>
      </c>
      <c r="B577" s="310">
        <v>100</v>
      </c>
      <c r="C577" s="301">
        <v>1770</v>
      </c>
      <c r="D577" s="301"/>
      <c r="E577" s="302">
        <v>473</v>
      </c>
      <c r="F577" s="302">
        <v>111.93333333333334</v>
      </c>
      <c r="G577" s="301">
        <v>86</v>
      </c>
      <c r="H577" s="301">
        <v>45.2</v>
      </c>
      <c r="I577" s="306"/>
      <c r="J577" s="300">
        <f t="shared" si="16"/>
        <v>1.1528150134048258</v>
      </c>
      <c r="K577" s="301" t="s">
        <v>295</v>
      </c>
      <c r="L577" s="301" t="s">
        <v>296</v>
      </c>
      <c r="M577" s="301"/>
    </row>
    <row r="578" spans="1:13">
      <c r="A578" s="301" t="s">
        <v>297</v>
      </c>
      <c r="B578" s="310">
        <v>150</v>
      </c>
      <c r="C578" s="301">
        <v>1750</v>
      </c>
      <c r="D578" s="301"/>
      <c r="E578" s="302">
        <v>474</v>
      </c>
      <c r="F578" s="302">
        <v>162</v>
      </c>
      <c r="G578" s="301">
        <v>118</v>
      </c>
      <c r="H578" s="301">
        <v>35</v>
      </c>
      <c r="I578" s="306"/>
      <c r="J578" s="300">
        <f t="shared" si="16"/>
        <v>1.0545129579982127</v>
      </c>
      <c r="K578" s="301" t="s">
        <v>295</v>
      </c>
      <c r="L578" s="301" t="s">
        <v>296</v>
      </c>
      <c r="M578" s="301"/>
    </row>
    <row r="579" spans="1:13">
      <c r="A579" s="301" t="s">
        <v>299</v>
      </c>
      <c r="B579" s="310">
        <v>720</v>
      </c>
      <c r="C579" s="301">
        <v>300</v>
      </c>
      <c r="D579" s="301"/>
      <c r="E579" s="302">
        <v>0</v>
      </c>
      <c r="F579" s="302">
        <v>0</v>
      </c>
      <c r="G579" s="301">
        <v>0</v>
      </c>
      <c r="H579" s="301" t="s">
        <v>301</v>
      </c>
      <c r="I579" s="306"/>
      <c r="J579" s="300"/>
      <c r="K579" s="301" t="s">
        <v>295</v>
      </c>
      <c r="L579" s="301" t="s">
        <v>296</v>
      </c>
      <c r="M579" s="301"/>
    </row>
    <row r="580" spans="1:13">
      <c r="A580" s="301" t="s">
        <v>298</v>
      </c>
      <c r="B580" s="310">
        <v>30</v>
      </c>
      <c r="C580" s="301">
        <v>1800</v>
      </c>
      <c r="D580" s="301"/>
      <c r="E580" s="302">
        <v>0</v>
      </c>
      <c r="F580" s="302">
        <v>0</v>
      </c>
      <c r="G580" s="301">
        <v>21.4</v>
      </c>
      <c r="H580" s="301">
        <v>62.5</v>
      </c>
      <c r="I580" s="306"/>
      <c r="J580" s="300">
        <f>G580/(B580*0.746)</f>
        <v>0.95621090259159958</v>
      </c>
      <c r="K580" s="301" t="s">
        <v>295</v>
      </c>
      <c r="L580" s="301" t="s">
        <v>296</v>
      </c>
      <c r="M580" s="301"/>
    </row>
    <row r="581" spans="1:13">
      <c r="A581" s="301" t="s">
        <v>299</v>
      </c>
      <c r="B581" s="310">
        <v>100</v>
      </c>
      <c r="C581" s="301"/>
      <c r="D581" s="301"/>
      <c r="E581" s="302">
        <v>484.33333333333331</v>
      </c>
      <c r="F581" s="302">
        <v>101.8</v>
      </c>
      <c r="G581" s="301">
        <v>90</v>
      </c>
      <c r="H581" s="301">
        <v>60.5</v>
      </c>
      <c r="I581" s="306"/>
      <c r="J581" s="300">
        <f>G581/(B581*0.746)</f>
        <v>1.2064343163538875</v>
      </c>
      <c r="K581" s="301" t="s">
        <v>295</v>
      </c>
      <c r="L581" s="301" t="s">
        <v>296</v>
      </c>
      <c r="M581" s="301"/>
    </row>
    <row r="582" spans="1:13">
      <c r="A582" s="301" t="s">
        <v>294</v>
      </c>
      <c r="B582" s="310">
        <v>150</v>
      </c>
      <c r="C582" s="301">
        <v>1800</v>
      </c>
      <c r="D582" s="301"/>
      <c r="E582" s="302">
        <v>0</v>
      </c>
      <c r="F582" s="302">
        <v>0</v>
      </c>
      <c r="G582" s="301">
        <v>0</v>
      </c>
      <c r="H582" s="301">
        <v>0</v>
      </c>
      <c r="I582" s="306"/>
      <c r="J582" s="300"/>
      <c r="K582" s="301" t="s">
        <v>295</v>
      </c>
      <c r="L582" s="301" t="s">
        <v>296</v>
      </c>
      <c r="M582" s="301"/>
    </row>
    <row r="583" spans="1:13">
      <c r="A583" s="301" t="s">
        <v>294</v>
      </c>
      <c r="B583" s="310">
        <v>100</v>
      </c>
      <c r="C583" s="301"/>
      <c r="D583" s="301"/>
      <c r="E583" s="302">
        <v>466.66666666666669</v>
      </c>
      <c r="F583" s="302">
        <v>119.76666666666667</v>
      </c>
      <c r="G583" s="301">
        <v>84</v>
      </c>
      <c r="H583" s="301">
        <v>56.2</v>
      </c>
      <c r="I583" s="306"/>
      <c r="J583" s="300">
        <f t="shared" ref="J583:J635" si="17">G583/(B583*0.746)</f>
        <v>1.126005361930295</v>
      </c>
      <c r="K583" s="301" t="s">
        <v>295</v>
      </c>
      <c r="L583" s="301" t="s">
        <v>296</v>
      </c>
      <c r="M583" s="301"/>
    </row>
    <row r="584" spans="1:13">
      <c r="A584" s="301" t="s">
        <v>294</v>
      </c>
      <c r="B584" s="310">
        <v>100</v>
      </c>
      <c r="C584" s="301"/>
      <c r="D584" s="301"/>
      <c r="E584" s="302">
        <v>0</v>
      </c>
      <c r="F584" s="302">
        <v>0</v>
      </c>
      <c r="G584" s="301">
        <v>84</v>
      </c>
      <c r="H584" s="301">
        <v>56.2</v>
      </c>
      <c r="I584" s="306"/>
      <c r="J584" s="300">
        <f t="shared" si="17"/>
        <v>1.126005361930295</v>
      </c>
      <c r="K584" s="301" t="s">
        <v>295</v>
      </c>
      <c r="L584" s="301" t="s">
        <v>296</v>
      </c>
      <c r="M584" s="301"/>
    </row>
    <row r="585" spans="1:13">
      <c r="A585" s="301" t="s">
        <v>294</v>
      </c>
      <c r="B585" s="310">
        <v>100</v>
      </c>
      <c r="C585" s="301">
        <v>1770</v>
      </c>
      <c r="D585" s="301"/>
      <c r="E585" s="302">
        <v>466.66666666666669</v>
      </c>
      <c r="F585" s="302">
        <v>117.76666666666665</v>
      </c>
      <c r="G585" s="301">
        <v>84</v>
      </c>
      <c r="H585" s="301">
        <v>55</v>
      </c>
      <c r="I585" s="306"/>
      <c r="J585" s="300">
        <f t="shared" si="17"/>
        <v>1.126005361930295</v>
      </c>
      <c r="K585" s="301" t="s">
        <v>295</v>
      </c>
      <c r="L585" s="301" t="s">
        <v>296</v>
      </c>
      <c r="M585" s="301"/>
    </row>
    <row r="586" spans="1:13">
      <c r="A586" s="301" t="s">
        <v>294</v>
      </c>
      <c r="B586" s="310">
        <v>100</v>
      </c>
      <c r="C586" s="301"/>
      <c r="D586" s="301"/>
      <c r="E586" s="302">
        <v>0</v>
      </c>
      <c r="F586" s="302">
        <v>0</v>
      </c>
      <c r="G586" s="301">
        <v>69</v>
      </c>
      <c r="H586" s="301">
        <v>54.4</v>
      </c>
      <c r="I586" s="306"/>
      <c r="J586" s="300">
        <f t="shared" si="17"/>
        <v>0.92493297587131373</v>
      </c>
      <c r="K586" s="301" t="s">
        <v>295</v>
      </c>
      <c r="L586" s="301" t="s">
        <v>296</v>
      </c>
      <c r="M586" s="301"/>
    </row>
    <row r="587" spans="1:13">
      <c r="A587" s="301" t="s">
        <v>298</v>
      </c>
      <c r="B587" s="310">
        <v>25</v>
      </c>
      <c r="C587" s="301">
        <v>3500</v>
      </c>
      <c r="D587" s="301"/>
      <c r="E587" s="302">
        <v>230</v>
      </c>
      <c r="F587" s="302">
        <v>55.466666666666661</v>
      </c>
      <c r="G587" s="301">
        <v>21.1</v>
      </c>
      <c r="H587" s="301">
        <v>54.4</v>
      </c>
      <c r="I587" s="306"/>
      <c r="J587" s="300">
        <f t="shared" si="17"/>
        <v>1.1313672922252012</v>
      </c>
      <c r="K587" s="301" t="s">
        <v>295</v>
      </c>
      <c r="L587" s="301" t="s">
        <v>296</v>
      </c>
      <c r="M587" s="301"/>
    </row>
    <row r="588" spans="1:13">
      <c r="A588" s="301" t="s">
        <v>298</v>
      </c>
      <c r="B588" s="310">
        <v>30</v>
      </c>
      <c r="C588" s="301"/>
      <c r="D588" s="301"/>
      <c r="E588" s="302">
        <v>486.66666666666669</v>
      </c>
      <c r="F588" s="302">
        <v>31.6</v>
      </c>
      <c r="G588" s="301">
        <v>21.7</v>
      </c>
      <c r="H588" s="301">
        <v>58.2</v>
      </c>
      <c r="I588" s="306"/>
      <c r="J588" s="300">
        <f t="shared" si="17"/>
        <v>0.96961572832886511</v>
      </c>
      <c r="K588" s="301" t="s">
        <v>295</v>
      </c>
      <c r="L588" s="301" t="s">
        <v>296</v>
      </c>
      <c r="M588" s="301"/>
    </row>
    <row r="589" spans="1:13">
      <c r="A589" s="301" t="s">
        <v>300</v>
      </c>
      <c r="B589" s="310">
        <v>25</v>
      </c>
      <c r="C589" s="301"/>
      <c r="D589" s="301"/>
      <c r="E589" s="302">
        <v>489</v>
      </c>
      <c r="F589" s="302">
        <v>21.633333333333336</v>
      </c>
      <c r="G589" s="301">
        <v>12.2</v>
      </c>
      <c r="H589" s="301">
        <v>62.5</v>
      </c>
      <c r="I589" s="306"/>
      <c r="J589" s="300">
        <f t="shared" si="17"/>
        <v>0.65415549597855227</v>
      </c>
      <c r="K589" s="301" t="s">
        <v>295</v>
      </c>
      <c r="L589" s="301" t="s">
        <v>296</v>
      </c>
      <c r="M589" s="301"/>
    </row>
    <row r="590" spans="1:13">
      <c r="A590" s="301" t="s">
        <v>294</v>
      </c>
      <c r="B590" s="310">
        <v>300</v>
      </c>
      <c r="C590" s="301">
        <v>1770</v>
      </c>
      <c r="D590" s="301"/>
      <c r="E590" s="302">
        <v>473</v>
      </c>
      <c r="F590" s="302">
        <v>332.33333333333331</v>
      </c>
      <c r="G590" s="301">
        <v>249</v>
      </c>
      <c r="H590" s="301">
        <v>68.400000000000006</v>
      </c>
      <c r="I590" s="306"/>
      <c r="J590" s="300">
        <f t="shared" si="17"/>
        <v>1.1126005361930293</v>
      </c>
      <c r="K590" s="301" t="s">
        <v>295</v>
      </c>
      <c r="L590" s="301" t="s">
        <v>296</v>
      </c>
      <c r="M590" s="301"/>
    </row>
    <row r="591" spans="1:13">
      <c r="A591" s="301" t="s">
        <v>294</v>
      </c>
      <c r="B591" s="310">
        <v>300</v>
      </c>
      <c r="C591" s="301">
        <v>1770</v>
      </c>
      <c r="D591" s="301"/>
      <c r="E591" s="302">
        <v>475.66666666666669</v>
      </c>
      <c r="F591" s="302">
        <v>317.16666666666669</v>
      </c>
      <c r="G591" s="301">
        <v>236</v>
      </c>
      <c r="H591" s="301">
        <v>62.4</v>
      </c>
      <c r="I591" s="306"/>
      <c r="J591" s="300">
        <f t="shared" si="17"/>
        <v>1.0545129579982127</v>
      </c>
      <c r="K591" s="301" t="s">
        <v>295</v>
      </c>
      <c r="L591" s="301" t="s">
        <v>296</v>
      </c>
      <c r="M591" s="301"/>
    </row>
    <row r="592" spans="1:13">
      <c r="A592" s="301" t="s">
        <v>294</v>
      </c>
      <c r="B592" s="310">
        <v>150</v>
      </c>
      <c r="C592" s="301">
        <v>1760</v>
      </c>
      <c r="D592" s="301"/>
      <c r="E592" s="302">
        <v>478</v>
      </c>
      <c r="F592" s="302">
        <v>160</v>
      </c>
      <c r="G592" s="301">
        <v>115</v>
      </c>
      <c r="H592" s="301">
        <v>63.5</v>
      </c>
      <c r="I592" s="306"/>
      <c r="J592" s="300">
        <f t="shared" si="17"/>
        <v>1.0277033065236818</v>
      </c>
      <c r="K592" s="301" t="s">
        <v>295</v>
      </c>
      <c r="L592" s="301" t="s">
        <v>296</v>
      </c>
      <c r="M592" s="301"/>
    </row>
    <row r="593" spans="1:13">
      <c r="A593" s="301" t="s">
        <v>294</v>
      </c>
      <c r="B593" s="310">
        <v>400</v>
      </c>
      <c r="C593" s="301">
        <v>1770</v>
      </c>
      <c r="D593" s="301"/>
      <c r="E593" s="302">
        <v>425.33333333333331</v>
      </c>
      <c r="F593" s="302">
        <v>470.66666666666669</v>
      </c>
      <c r="G593" s="301">
        <v>295</v>
      </c>
      <c r="H593" s="301">
        <v>61.1</v>
      </c>
      <c r="I593" s="306"/>
      <c r="J593" s="300">
        <f t="shared" si="17"/>
        <v>0.98860589812332444</v>
      </c>
      <c r="K593" s="301" t="s">
        <v>295</v>
      </c>
      <c r="L593" s="301" t="s">
        <v>296</v>
      </c>
      <c r="M593" s="301"/>
    </row>
    <row r="594" spans="1:13">
      <c r="A594" s="301" t="s">
        <v>294</v>
      </c>
      <c r="B594" s="310">
        <v>30</v>
      </c>
      <c r="C594" s="301">
        <v>1760</v>
      </c>
      <c r="D594" s="301"/>
      <c r="E594" s="302">
        <v>478</v>
      </c>
      <c r="F594" s="302">
        <v>30</v>
      </c>
      <c r="G594" s="301">
        <v>24.3</v>
      </c>
      <c r="H594" s="301">
        <v>46.8</v>
      </c>
      <c r="I594" s="306"/>
      <c r="J594" s="300">
        <f t="shared" si="17"/>
        <v>1.0857908847184987</v>
      </c>
      <c r="K594" s="301" t="s">
        <v>295</v>
      </c>
      <c r="L594" s="301" t="s">
        <v>296</v>
      </c>
      <c r="M594" s="301"/>
    </row>
    <row r="595" spans="1:13">
      <c r="A595" s="301" t="s">
        <v>294</v>
      </c>
      <c r="B595" s="310">
        <v>30</v>
      </c>
      <c r="C595" s="301">
        <v>1760</v>
      </c>
      <c r="D595" s="301"/>
      <c r="E595" s="302">
        <v>0</v>
      </c>
      <c r="F595" s="302">
        <v>0</v>
      </c>
      <c r="G595" s="301">
        <v>24.2</v>
      </c>
      <c r="H595" s="301">
        <v>52.3</v>
      </c>
      <c r="I595" s="306"/>
      <c r="J595" s="300">
        <f t="shared" si="17"/>
        <v>1.0813226094727435</v>
      </c>
      <c r="K595" s="301" t="s">
        <v>295</v>
      </c>
      <c r="L595" s="301" t="s">
        <v>296</v>
      </c>
      <c r="M595" s="301"/>
    </row>
    <row r="596" spans="1:13">
      <c r="A596" s="301" t="s">
        <v>294</v>
      </c>
      <c r="B596" s="310">
        <v>30</v>
      </c>
      <c r="C596" s="301">
        <v>1760</v>
      </c>
      <c r="D596" s="301"/>
      <c r="E596" s="302">
        <v>499.66666666666669</v>
      </c>
      <c r="F596" s="302">
        <v>34.9</v>
      </c>
      <c r="G596" s="301">
        <v>23.9</v>
      </c>
      <c r="H596" s="301">
        <v>46.4</v>
      </c>
      <c r="I596" s="306"/>
      <c r="J596" s="300">
        <f t="shared" si="17"/>
        <v>1.0679177837354781</v>
      </c>
      <c r="K596" s="301" t="s">
        <v>295</v>
      </c>
      <c r="L596" s="301" t="s">
        <v>296</v>
      </c>
      <c r="M596" s="301"/>
    </row>
    <row r="597" spans="1:13">
      <c r="A597" s="301" t="s">
        <v>294</v>
      </c>
      <c r="B597" s="310">
        <v>30</v>
      </c>
      <c r="C597" s="301">
        <v>1760</v>
      </c>
      <c r="D597" s="301"/>
      <c r="E597" s="302">
        <v>0</v>
      </c>
      <c r="F597" s="302">
        <v>0</v>
      </c>
      <c r="G597" s="301">
        <v>20.100000000000001</v>
      </c>
      <c r="H597" s="301">
        <v>57.4</v>
      </c>
      <c r="I597" s="306"/>
      <c r="J597" s="300">
        <f t="shared" si="17"/>
        <v>0.898123324396783</v>
      </c>
      <c r="K597" s="301" t="s">
        <v>295</v>
      </c>
      <c r="L597" s="301" t="s">
        <v>296</v>
      </c>
      <c r="M597" s="301"/>
    </row>
    <row r="598" spans="1:13">
      <c r="A598" s="301" t="s">
        <v>294</v>
      </c>
      <c r="B598" s="310">
        <v>25</v>
      </c>
      <c r="C598" s="301">
        <v>1180</v>
      </c>
      <c r="D598" s="301"/>
      <c r="E598" s="302">
        <v>0</v>
      </c>
      <c r="F598" s="302">
        <v>0</v>
      </c>
      <c r="G598" s="301">
        <v>12</v>
      </c>
      <c r="H598" s="301">
        <v>63.2</v>
      </c>
      <c r="I598" s="306"/>
      <c r="J598" s="300">
        <f t="shared" si="17"/>
        <v>0.64343163538874004</v>
      </c>
      <c r="K598" s="301" t="s">
        <v>295</v>
      </c>
      <c r="L598" s="301" t="s">
        <v>296</v>
      </c>
      <c r="M598" s="301"/>
    </row>
    <row r="599" spans="1:13">
      <c r="A599" s="301" t="s">
        <v>294</v>
      </c>
      <c r="B599" s="310">
        <v>25</v>
      </c>
      <c r="C599" s="301">
        <v>1180</v>
      </c>
      <c r="D599" s="301"/>
      <c r="E599" s="302">
        <v>0</v>
      </c>
      <c r="F599" s="302">
        <v>0</v>
      </c>
      <c r="G599" s="301">
        <v>9.9</v>
      </c>
      <c r="H599" s="301">
        <v>66.2</v>
      </c>
      <c r="I599" s="306"/>
      <c r="J599" s="300">
        <f t="shared" si="17"/>
        <v>0.53083109919571048</v>
      </c>
      <c r="K599" s="301" t="s">
        <v>295</v>
      </c>
      <c r="L599" s="301" t="s">
        <v>296</v>
      </c>
      <c r="M599" s="301"/>
    </row>
    <row r="600" spans="1:13">
      <c r="A600" s="301" t="s">
        <v>294</v>
      </c>
      <c r="B600" s="310">
        <v>25</v>
      </c>
      <c r="C600" s="301">
        <v>1180</v>
      </c>
      <c r="D600" s="301"/>
      <c r="E600" s="302">
        <v>0</v>
      </c>
      <c r="F600" s="302">
        <v>0</v>
      </c>
      <c r="G600" s="301">
        <v>13.6</v>
      </c>
      <c r="H600" s="301">
        <v>62.7</v>
      </c>
      <c r="I600" s="306"/>
      <c r="J600" s="300">
        <f t="shared" si="17"/>
        <v>0.72922252010723865</v>
      </c>
      <c r="K600" s="301" t="s">
        <v>295</v>
      </c>
      <c r="L600" s="301" t="s">
        <v>296</v>
      </c>
      <c r="M600" s="301"/>
    </row>
    <row r="601" spans="1:13">
      <c r="A601" s="301" t="s">
        <v>294</v>
      </c>
      <c r="B601" s="310">
        <v>25</v>
      </c>
      <c r="C601" s="301">
        <v>1180</v>
      </c>
      <c r="D601" s="301"/>
      <c r="E601" s="302">
        <v>0</v>
      </c>
      <c r="F601" s="302">
        <v>0</v>
      </c>
      <c r="G601" s="301">
        <v>8.1999999999999993</v>
      </c>
      <c r="H601" s="301">
        <v>62.2</v>
      </c>
      <c r="I601" s="306"/>
      <c r="J601" s="300">
        <f t="shared" si="17"/>
        <v>0.43967828418230565</v>
      </c>
      <c r="K601" s="301" t="s">
        <v>295</v>
      </c>
      <c r="L601" s="301" t="s">
        <v>296</v>
      </c>
      <c r="M601" s="301"/>
    </row>
    <row r="602" spans="1:13">
      <c r="A602" s="301" t="s">
        <v>294</v>
      </c>
      <c r="B602" s="310">
        <v>25</v>
      </c>
      <c r="C602" s="301">
        <v>1180</v>
      </c>
      <c r="D602" s="301"/>
      <c r="E602" s="302">
        <v>0</v>
      </c>
      <c r="F602" s="302">
        <v>0</v>
      </c>
      <c r="G602" s="301">
        <v>6.7</v>
      </c>
      <c r="H602" s="301">
        <v>65.099999999999994</v>
      </c>
      <c r="I602" s="306"/>
      <c r="J602" s="300">
        <f t="shared" si="17"/>
        <v>0.35924932975871315</v>
      </c>
      <c r="K602" s="301" t="s">
        <v>295</v>
      </c>
      <c r="L602" s="301" t="s">
        <v>296</v>
      </c>
      <c r="M602" s="301"/>
    </row>
    <row r="603" spans="1:13">
      <c r="A603" s="301" t="s">
        <v>294</v>
      </c>
      <c r="B603" s="310">
        <v>25</v>
      </c>
      <c r="C603" s="301">
        <v>1180</v>
      </c>
      <c r="D603" s="301"/>
      <c r="E603" s="302">
        <v>0</v>
      </c>
      <c r="F603" s="302">
        <v>0</v>
      </c>
      <c r="G603" s="301">
        <v>5.4</v>
      </c>
      <c r="H603" s="301">
        <v>58.2</v>
      </c>
      <c r="I603" s="306"/>
      <c r="J603" s="300">
        <f t="shared" si="17"/>
        <v>0.289544235924933</v>
      </c>
      <c r="K603" s="301" t="s">
        <v>295</v>
      </c>
      <c r="L603" s="301" t="s">
        <v>296</v>
      </c>
      <c r="M603" s="301"/>
    </row>
    <row r="604" spans="1:13">
      <c r="A604" s="301" t="s">
        <v>294</v>
      </c>
      <c r="B604" s="310">
        <v>25</v>
      </c>
      <c r="C604" s="301">
        <v>1180</v>
      </c>
      <c r="D604" s="301"/>
      <c r="E604" s="302">
        <v>0</v>
      </c>
      <c r="F604" s="302">
        <v>0</v>
      </c>
      <c r="G604" s="301">
        <v>4.0999999999999996</v>
      </c>
      <c r="H604" s="301">
        <v>45</v>
      </c>
      <c r="I604" s="306"/>
      <c r="J604" s="300">
        <f t="shared" si="17"/>
        <v>0.21983914209115282</v>
      </c>
      <c r="K604" s="301" t="s">
        <v>295</v>
      </c>
      <c r="L604" s="301" t="s">
        <v>296</v>
      </c>
      <c r="M604" s="301"/>
    </row>
    <row r="605" spans="1:13">
      <c r="A605" s="301" t="s">
        <v>294</v>
      </c>
      <c r="B605" s="310">
        <v>25</v>
      </c>
      <c r="C605" s="301">
        <v>1180</v>
      </c>
      <c r="D605" s="301"/>
      <c r="E605" s="302">
        <v>0</v>
      </c>
      <c r="F605" s="302">
        <v>0</v>
      </c>
      <c r="G605" s="301">
        <v>15.6</v>
      </c>
      <c r="H605" s="301">
        <v>62.3</v>
      </c>
      <c r="I605" s="306"/>
      <c r="J605" s="300">
        <f t="shared" si="17"/>
        <v>0.83646112600536193</v>
      </c>
      <c r="K605" s="301" t="s">
        <v>295</v>
      </c>
      <c r="L605" s="301" t="s">
        <v>296</v>
      </c>
      <c r="M605" s="301"/>
    </row>
    <row r="606" spans="1:13">
      <c r="A606" s="301" t="s">
        <v>294</v>
      </c>
      <c r="B606" s="310">
        <v>25</v>
      </c>
      <c r="C606" s="301">
        <v>1180</v>
      </c>
      <c r="D606" s="301"/>
      <c r="E606" s="302">
        <v>0</v>
      </c>
      <c r="F606" s="302">
        <v>0</v>
      </c>
      <c r="G606" s="301">
        <v>16.100000000000001</v>
      </c>
      <c r="H606" s="301">
        <v>61.8</v>
      </c>
      <c r="I606" s="306"/>
      <c r="J606" s="300">
        <f t="shared" si="17"/>
        <v>0.86327077747989289</v>
      </c>
      <c r="K606" s="301" t="s">
        <v>295</v>
      </c>
      <c r="L606" s="301" t="s">
        <v>296</v>
      </c>
      <c r="M606" s="301"/>
    </row>
    <row r="607" spans="1:13">
      <c r="A607" s="301" t="s">
        <v>300</v>
      </c>
      <c r="B607" s="310">
        <v>60</v>
      </c>
      <c r="C607" s="301"/>
      <c r="D607" s="301"/>
      <c r="E607" s="302">
        <v>478.66666666666669</v>
      </c>
      <c r="F607" s="302">
        <v>89.466666666666654</v>
      </c>
      <c r="G607" s="301">
        <v>39.700000000000003</v>
      </c>
      <c r="H607" s="301">
        <v>60.4</v>
      </c>
      <c r="I607" s="306"/>
      <c r="J607" s="300">
        <f t="shared" si="17"/>
        <v>0.88695263628239507</v>
      </c>
      <c r="K607" s="301" t="s">
        <v>295</v>
      </c>
      <c r="L607" s="301" t="s">
        <v>296</v>
      </c>
      <c r="M607" s="301"/>
    </row>
    <row r="608" spans="1:13">
      <c r="A608" s="301" t="s">
        <v>299</v>
      </c>
      <c r="B608" s="310">
        <v>720</v>
      </c>
      <c r="C608" s="301">
        <v>300</v>
      </c>
      <c r="D608" s="301"/>
      <c r="E608" s="302">
        <v>2390</v>
      </c>
      <c r="F608" s="302">
        <v>173.66666666666666</v>
      </c>
      <c r="G608" s="301">
        <v>718.9</v>
      </c>
      <c r="H608" s="301">
        <v>71.7</v>
      </c>
      <c r="I608" s="306"/>
      <c r="J608" s="300">
        <f t="shared" si="17"/>
        <v>1.3384346142389036</v>
      </c>
      <c r="K608" s="301" t="s">
        <v>295</v>
      </c>
      <c r="L608" s="301" t="s">
        <v>296</v>
      </c>
      <c r="M608" s="301"/>
    </row>
    <row r="609" spans="1:13">
      <c r="A609" s="301" t="s">
        <v>299</v>
      </c>
      <c r="B609" s="310">
        <v>720</v>
      </c>
      <c r="C609" s="301">
        <v>300</v>
      </c>
      <c r="D609" s="301"/>
      <c r="E609" s="302">
        <v>2385</v>
      </c>
      <c r="F609" s="302">
        <v>156</v>
      </c>
      <c r="G609" s="301">
        <v>644.4</v>
      </c>
      <c r="H609" s="301">
        <v>74.400000000000006</v>
      </c>
      <c r="I609" s="306"/>
      <c r="J609" s="300">
        <f t="shared" si="17"/>
        <v>1.1997319034852547</v>
      </c>
      <c r="K609" s="301" t="s">
        <v>295</v>
      </c>
      <c r="L609" s="301" t="s">
        <v>296</v>
      </c>
      <c r="M609" s="301"/>
    </row>
    <row r="610" spans="1:13">
      <c r="A610" s="301" t="s">
        <v>299</v>
      </c>
      <c r="B610" s="310">
        <v>720</v>
      </c>
      <c r="C610" s="301">
        <v>300</v>
      </c>
      <c r="D610" s="301"/>
      <c r="E610" s="302">
        <v>2400</v>
      </c>
      <c r="F610" s="302">
        <v>161.83333333333334</v>
      </c>
      <c r="G610" s="301">
        <v>672.7</v>
      </c>
      <c r="H610" s="301">
        <v>69.099999999999994</v>
      </c>
      <c r="I610" s="306"/>
      <c r="J610" s="300">
        <f t="shared" si="17"/>
        <v>1.2524203157581175</v>
      </c>
      <c r="K610" s="301" t="s">
        <v>295</v>
      </c>
      <c r="L610" s="301" t="s">
        <v>296</v>
      </c>
      <c r="M610" s="301"/>
    </row>
    <row r="611" spans="1:13">
      <c r="A611" s="301" t="s">
        <v>299</v>
      </c>
      <c r="B611" s="310">
        <v>720</v>
      </c>
      <c r="C611" s="301">
        <v>300</v>
      </c>
      <c r="D611" s="301"/>
      <c r="E611" s="302">
        <v>2400</v>
      </c>
      <c r="F611" s="302">
        <v>164.33333333333334</v>
      </c>
      <c r="G611" s="301">
        <v>683.1</v>
      </c>
      <c r="H611" s="301">
        <v>69.8</v>
      </c>
      <c r="I611" s="306"/>
      <c r="J611" s="300">
        <f t="shared" si="17"/>
        <v>1.2717828418230563</v>
      </c>
      <c r="K611" s="301" t="s">
        <v>295</v>
      </c>
      <c r="L611" s="301" t="s">
        <v>296</v>
      </c>
      <c r="M611" s="301"/>
    </row>
    <row r="612" spans="1:13">
      <c r="A612" s="301" t="s">
        <v>299</v>
      </c>
      <c r="B612" s="310">
        <v>800</v>
      </c>
      <c r="C612" s="301">
        <v>300</v>
      </c>
      <c r="D612" s="301"/>
      <c r="E612" s="302">
        <v>2380</v>
      </c>
      <c r="F612" s="302">
        <v>125.66666666666667</v>
      </c>
      <c r="G612" s="301">
        <v>777</v>
      </c>
      <c r="H612" s="301">
        <v>67.7</v>
      </c>
      <c r="I612" s="306"/>
      <c r="J612" s="300">
        <f t="shared" si="17"/>
        <v>1.3019436997319036</v>
      </c>
      <c r="K612" s="301" t="s">
        <v>295</v>
      </c>
      <c r="L612" s="301" t="s">
        <v>296</v>
      </c>
      <c r="M612" s="301"/>
    </row>
    <row r="613" spans="1:13">
      <c r="A613" s="301" t="s">
        <v>297</v>
      </c>
      <c r="B613" s="310">
        <v>1250</v>
      </c>
      <c r="C613" s="301">
        <v>900</v>
      </c>
      <c r="D613" s="301"/>
      <c r="E613" s="302">
        <v>2400</v>
      </c>
      <c r="F613" s="302">
        <v>188.83333333333334</v>
      </c>
      <c r="G613" s="301">
        <v>785</v>
      </c>
      <c r="H613" s="301">
        <v>68</v>
      </c>
      <c r="I613" s="306"/>
      <c r="J613" s="300">
        <f t="shared" si="17"/>
        <v>0.8418230563002681</v>
      </c>
      <c r="K613" s="301" t="s">
        <v>295</v>
      </c>
      <c r="L613" s="301" t="s">
        <v>296</v>
      </c>
      <c r="M613" s="301"/>
    </row>
    <row r="614" spans="1:13">
      <c r="A614" s="301" t="s">
        <v>297</v>
      </c>
      <c r="B614" s="310">
        <v>1250</v>
      </c>
      <c r="C614" s="301">
        <v>900</v>
      </c>
      <c r="D614" s="301"/>
      <c r="E614" s="302">
        <v>2400</v>
      </c>
      <c r="F614" s="302">
        <v>191.66666666666666</v>
      </c>
      <c r="G614" s="301">
        <v>796.7</v>
      </c>
      <c r="H614" s="301">
        <v>70.900000000000006</v>
      </c>
      <c r="I614" s="306"/>
      <c r="J614" s="300">
        <f t="shared" si="17"/>
        <v>0.85436997319034858</v>
      </c>
      <c r="K614" s="301" t="s">
        <v>295</v>
      </c>
      <c r="L614" s="301" t="s">
        <v>296</v>
      </c>
      <c r="M614" s="301"/>
    </row>
    <row r="615" spans="1:13">
      <c r="A615" s="301" t="s">
        <v>294</v>
      </c>
      <c r="B615" s="310">
        <v>100</v>
      </c>
      <c r="C615" s="301">
        <v>1770</v>
      </c>
      <c r="D615" s="301"/>
      <c r="E615" s="302">
        <v>488</v>
      </c>
      <c r="F615" s="302">
        <v>61.833333333333336</v>
      </c>
      <c r="G615" s="301">
        <v>49</v>
      </c>
      <c r="H615" s="301">
        <v>9.4</v>
      </c>
      <c r="I615" s="306"/>
      <c r="J615" s="300">
        <f t="shared" si="17"/>
        <v>0.65683646112600547</v>
      </c>
      <c r="K615" s="301" t="s">
        <v>295</v>
      </c>
      <c r="L615" s="301" t="s">
        <v>296</v>
      </c>
      <c r="M615" s="301"/>
    </row>
    <row r="616" spans="1:13">
      <c r="A616" s="301" t="s">
        <v>294</v>
      </c>
      <c r="B616" s="310">
        <v>100</v>
      </c>
      <c r="C616" s="301"/>
      <c r="D616" s="301"/>
      <c r="E616" s="302">
        <v>474.33333333333331</v>
      </c>
      <c r="F616" s="302">
        <v>84.266666666666666</v>
      </c>
      <c r="G616" s="301">
        <v>60</v>
      </c>
      <c r="H616" s="301">
        <v>51.1</v>
      </c>
      <c r="I616" s="306"/>
      <c r="J616" s="300">
        <f t="shared" si="17"/>
        <v>0.80428954423592502</v>
      </c>
      <c r="K616" s="301" t="s">
        <v>295</v>
      </c>
      <c r="L616" s="301" t="s">
        <v>296</v>
      </c>
      <c r="M616" s="301"/>
    </row>
    <row r="617" spans="1:13">
      <c r="A617" s="301" t="s">
        <v>294</v>
      </c>
      <c r="B617" s="310">
        <v>100</v>
      </c>
      <c r="C617" s="301">
        <v>1770</v>
      </c>
      <c r="D617" s="301"/>
      <c r="E617" s="302">
        <v>0</v>
      </c>
      <c r="F617" s="302">
        <v>0</v>
      </c>
      <c r="G617" s="301">
        <v>68.900000000000006</v>
      </c>
      <c r="H617" s="301">
        <v>63</v>
      </c>
      <c r="I617" s="306"/>
      <c r="J617" s="300">
        <f t="shared" si="17"/>
        <v>0.9235924932975873</v>
      </c>
      <c r="K617" s="301" t="s">
        <v>295</v>
      </c>
      <c r="L617" s="301" t="s">
        <v>296</v>
      </c>
      <c r="M617" s="301"/>
    </row>
    <row r="618" spans="1:13">
      <c r="A618" s="301" t="s">
        <v>294</v>
      </c>
      <c r="B618" s="310">
        <v>100</v>
      </c>
      <c r="C618" s="301">
        <v>1770</v>
      </c>
      <c r="D618" s="301"/>
      <c r="E618" s="302">
        <v>0</v>
      </c>
      <c r="F618" s="302">
        <v>0</v>
      </c>
      <c r="G618" s="301">
        <v>68.900000000000006</v>
      </c>
      <c r="H618" s="301">
        <v>63</v>
      </c>
      <c r="I618" s="306"/>
      <c r="J618" s="300">
        <f t="shared" si="17"/>
        <v>0.9235924932975873</v>
      </c>
      <c r="K618" s="301" t="s">
        <v>295</v>
      </c>
      <c r="L618" s="301" t="s">
        <v>296</v>
      </c>
      <c r="M618" s="301"/>
    </row>
    <row r="619" spans="1:13">
      <c r="A619" s="301" t="s">
        <v>297</v>
      </c>
      <c r="B619" s="310">
        <v>1250</v>
      </c>
      <c r="C619" s="301">
        <v>900</v>
      </c>
      <c r="D619" s="301"/>
      <c r="E619" s="302">
        <v>2400</v>
      </c>
      <c r="F619" s="302">
        <v>188.83333333333334</v>
      </c>
      <c r="G619" s="301">
        <v>787.3</v>
      </c>
      <c r="H619" s="301">
        <v>67.5</v>
      </c>
      <c r="I619" s="306"/>
      <c r="J619" s="300">
        <f t="shared" si="17"/>
        <v>0.84428954423592484</v>
      </c>
      <c r="K619" s="301" t="s">
        <v>295</v>
      </c>
      <c r="L619" s="301" t="s">
        <v>296</v>
      </c>
      <c r="M619" s="301"/>
    </row>
    <row r="620" spans="1:13">
      <c r="A620" s="301" t="s">
        <v>294</v>
      </c>
      <c r="B620" s="310">
        <v>300</v>
      </c>
      <c r="C620" s="301">
        <v>1770</v>
      </c>
      <c r="D620" s="301"/>
      <c r="E620" s="302">
        <v>0</v>
      </c>
      <c r="F620" s="302">
        <v>0</v>
      </c>
      <c r="G620" s="301">
        <v>254.9</v>
      </c>
      <c r="H620" s="301">
        <v>70.900000000000006</v>
      </c>
      <c r="I620" s="306"/>
      <c r="J620" s="300">
        <f t="shared" si="17"/>
        <v>1.1389633601429847</v>
      </c>
      <c r="K620" s="301" t="s">
        <v>295</v>
      </c>
      <c r="L620" s="301" t="s">
        <v>296</v>
      </c>
      <c r="M620" s="301"/>
    </row>
    <row r="621" spans="1:13">
      <c r="A621" s="301" t="s">
        <v>294</v>
      </c>
      <c r="B621" s="310">
        <v>300</v>
      </c>
      <c r="C621" s="301">
        <v>1770</v>
      </c>
      <c r="D621" s="301"/>
      <c r="E621" s="302">
        <v>0</v>
      </c>
      <c r="F621" s="302">
        <v>0</v>
      </c>
      <c r="G621" s="301">
        <v>254.9</v>
      </c>
      <c r="H621" s="301">
        <v>70.900000000000006</v>
      </c>
      <c r="I621" s="306"/>
      <c r="J621" s="300">
        <f t="shared" si="17"/>
        <v>1.1389633601429847</v>
      </c>
      <c r="K621" s="301" t="s">
        <v>295</v>
      </c>
      <c r="L621" s="301" t="s">
        <v>296</v>
      </c>
      <c r="M621" s="301"/>
    </row>
    <row r="622" spans="1:13">
      <c r="A622" s="301" t="s">
        <v>294</v>
      </c>
      <c r="B622" s="310">
        <v>150</v>
      </c>
      <c r="C622" s="301">
        <v>1760</v>
      </c>
      <c r="D622" s="301"/>
      <c r="E622" s="302">
        <v>0</v>
      </c>
      <c r="F622" s="302">
        <v>0</v>
      </c>
      <c r="G622" s="301">
        <v>140.6</v>
      </c>
      <c r="H622" s="301">
        <v>70.900000000000006</v>
      </c>
      <c r="I622" s="306"/>
      <c r="J622" s="300">
        <f t="shared" si="17"/>
        <v>1.2564789991063448</v>
      </c>
      <c r="K622" s="301" t="s">
        <v>295</v>
      </c>
      <c r="L622" s="301" t="s">
        <v>296</v>
      </c>
      <c r="M622" s="301"/>
    </row>
    <row r="623" spans="1:13">
      <c r="A623" s="301" t="s">
        <v>294</v>
      </c>
      <c r="B623" s="310">
        <v>400</v>
      </c>
      <c r="C623" s="301">
        <v>1770</v>
      </c>
      <c r="D623" s="301"/>
      <c r="E623" s="302">
        <v>0</v>
      </c>
      <c r="F623" s="302">
        <v>0</v>
      </c>
      <c r="G623" s="301">
        <v>239.5</v>
      </c>
      <c r="H623" s="301">
        <v>75.3</v>
      </c>
      <c r="I623" s="306"/>
      <c r="J623" s="300">
        <f t="shared" si="17"/>
        <v>0.80261394101876682</v>
      </c>
      <c r="K623" s="301" t="s">
        <v>295</v>
      </c>
      <c r="L623" s="301" t="s">
        <v>296</v>
      </c>
      <c r="M623" s="301"/>
    </row>
    <row r="624" spans="1:13">
      <c r="A624" s="301" t="s">
        <v>298</v>
      </c>
      <c r="B624" s="310">
        <v>30</v>
      </c>
      <c r="C624" s="301">
        <v>1770</v>
      </c>
      <c r="D624" s="301"/>
      <c r="E624" s="302">
        <v>0</v>
      </c>
      <c r="F624" s="302">
        <v>0</v>
      </c>
      <c r="G624" s="301">
        <v>23.5</v>
      </c>
      <c r="H624" s="301">
        <v>59.4</v>
      </c>
      <c r="I624" s="306"/>
      <c r="J624" s="300">
        <f t="shared" si="17"/>
        <v>1.0500446827524577</v>
      </c>
      <c r="K624" s="301" t="s">
        <v>295</v>
      </c>
      <c r="L624" s="301" t="s">
        <v>296</v>
      </c>
      <c r="M624" s="301"/>
    </row>
    <row r="625" spans="1:13">
      <c r="A625" s="301" t="s">
        <v>298</v>
      </c>
      <c r="B625" s="310">
        <v>15</v>
      </c>
      <c r="C625" s="301">
        <v>1760</v>
      </c>
      <c r="D625" s="301"/>
      <c r="E625" s="302">
        <v>213</v>
      </c>
      <c r="F625" s="302">
        <v>29.8</v>
      </c>
      <c r="G625" s="301">
        <v>8.8000000000000007</v>
      </c>
      <c r="H625" s="301">
        <v>45.5</v>
      </c>
      <c r="I625" s="306"/>
      <c r="J625" s="300">
        <f t="shared" si="17"/>
        <v>0.7864164432529045</v>
      </c>
      <c r="K625" s="301" t="s">
        <v>295</v>
      </c>
      <c r="L625" s="301" t="s">
        <v>296</v>
      </c>
      <c r="M625" s="301"/>
    </row>
    <row r="626" spans="1:13">
      <c r="A626" s="301" t="s">
        <v>294</v>
      </c>
      <c r="B626" s="310">
        <v>150</v>
      </c>
      <c r="C626" s="301">
        <v>1770</v>
      </c>
      <c r="D626" s="301"/>
      <c r="E626" s="302">
        <v>0</v>
      </c>
      <c r="F626" s="302">
        <v>0</v>
      </c>
      <c r="G626" s="301">
        <v>107.9</v>
      </c>
      <c r="H626" s="301">
        <v>68.2</v>
      </c>
      <c r="I626" s="306"/>
      <c r="J626" s="300">
        <f t="shared" si="17"/>
        <v>0.96425379803395894</v>
      </c>
      <c r="K626" s="301" t="s">
        <v>295</v>
      </c>
      <c r="L626" s="301" t="s">
        <v>296</v>
      </c>
      <c r="M626" s="301"/>
    </row>
    <row r="627" spans="1:13">
      <c r="A627" s="301" t="s">
        <v>294</v>
      </c>
      <c r="B627" s="310">
        <v>150</v>
      </c>
      <c r="C627" s="301">
        <v>1770</v>
      </c>
      <c r="D627" s="301"/>
      <c r="E627" s="302">
        <v>481.66666666666669</v>
      </c>
      <c r="F627" s="302">
        <v>142</v>
      </c>
      <c r="G627" s="301">
        <v>97</v>
      </c>
      <c r="H627" s="301">
        <v>77.400000000000006</v>
      </c>
      <c r="I627" s="306"/>
      <c r="J627" s="300">
        <f t="shared" si="17"/>
        <v>0.86684539767649682</v>
      </c>
      <c r="K627" s="301" t="s">
        <v>295</v>
      </c>
      <c r="L627" s="301" t="s">
        <v>296</v>
      </c>
      <c r="M627" s="301"/>
    </row>
    <row r="628" spans="1:13">
      <c r="A628" s="301" t="s">
        <v>298</v>
      </c>
      <c r="B628" s="310">
        <v>40</v>
      </c>
      <c r="C628" s="301">
        <v>3525</v>
      </c>
      <c r="D628" s="301"/>
      <c r="E628" s="302">
        <v>477.33333333333331</v>
      </c>
      <c r="F628" s="302">
        <v>42</v>
      </c>
      <c r="G628" s="301">
        <v>31.9</v>
      </c>
      <c r="H628" s="301">
        <v>68.5</v>
      </c>
      <c r="I628" s="306"/>
      <c r="J628" s="300">
        <f t="shared" si="17"/>
        <v>1.0690348525469169</v>
      </c>
      <c r="K628" s="301" t="s">
        <v>295</v>
      </c>
      <c r="L628" s="301" t="s">
        <v>296</v>
      </c>
      <c r="M628" s="301"/>
    </row>
    <row r="629" spans="1:13">
      <c r="A629" s="301" t="s">
        <v>298</v>
      </c>
      <c r="B629" s="310">
        <v>25</v>
      </c>
      <c r="C629" s="301">
        <v>3525</v>
      </c>
      <c r="D629" s="301"/>
      <c r="E629" s="302">
        <v>483</v>
      </c>
      <c r="F629" s="302">
        <v>19.966666666666665</v>
      </c>
      <c r="G629" s="301">
        <v>16.399999999999999</v>
      </c>
      <c r="H629" s="301">
        <v>41.9</v>
      </c>
      <c r="I629" s="306"/>
      <c r="J629" s="300">
        <f t="shared" si="17"/>
        <v>0.87935656836461129</v>
      </c>
      <c r="K629" s="301" t="s">
        <v>295</v>
      </c>
      <c r="L629" s="301" t="s">
        <v>296</v>
      </c>
      <c r="M629" s="301"/>
    </row>
    <row r="630" spans="1:13">
      <c r="A630" s="301" t="s">
        <v>298</v>
      </c>
      <c r="B630" s="310">
        <v>25</v>
      </c>
      <c r="C630" s="301">
        <v>3525</v>
      </c>
      <c r="D630" s="301"/>
      <c r="E630" s="302">
        <v>483</v>
      </c>
      <c r="F630" s="302">
        <v>18.566666666666666</v>
      </c>
      <c r="G630" s="301">
        <v>14.8</v>
      </c>
      <c r="H630" s="301">
        <v>34.4</v>
      </c>
      <c r="I630" s="306"/>
      <c r="J630" s="300">
        <f t="shared" si="17"/>
        <v>0.79356568364611269</v>
      </c>
      <c r="K630" s="301" t="s">
        <v>295</v>
      </c>
      <c r="L630" s="301" t="s">
        <v>296</v>
      </c>
      <c r="M630" s="301"/>
    </row>
    <row r="631" spans="1:13">
      <c r="A631" s="301" t="s">
        <v>298</v>
      </c>
      <c r="B631" s="310">
        <v>25</v>
      </c>
      <c r="C631" s="301">
        <v>3525</v>
      </c>
      <c r="D631" s="301"/>
      <c r="E631" s="302">
        <v>483</v>
      </c>
      <c r="F631" s="302">
        <v>24.333333333333332</v>
      </c>
      <c r="G631" s="301">
        <v>19.3</v>
      </c>
      <c r="H631" s="301">
        <v>56</v>
      </c>
      <c r="I631" s="306"/>
      <c r="J631" s="300">
        <f t="shared" si="17"/>
        <v>1.0348525469168901</v>
      </c>
      <c r="K631" s="301" t="s">
        <v>295</v>
      </c>
      <c r="L631" s="301" t="s">
        <v>296</v>
      </c>
      <c r="M631" s="301"/>
    </row>
    <row r="632" spans="1:13">
      <c r="A632" s="301" t="s">
        <v>294</v>
      </c>
      <c r="B632" s="310">
        <v>30</v>
      </c>
      <c r="C632" s="301">
        <v>1760</v>
      </c>
      <c r="D632" s="301"/>
      <c r="E632" s="302">
        <v>495.33333333333331</v>
      </c>
      <c r="F632" s="302">
        <v>25.7</v>
      </c>
      <c r="G632" s="301">
        <v>15.3</v>
      </c>
      <c r="H632" s="301">
        <v>57.5</v>
      </c>
      <c r="I632" s="306"/>
      <c r="J632" s="300">
        <f t="shared" si="17"/>
        <v>0.6836461126005362</v>
      </c>
      <c r="K632" s="301" t="s">
        <v>295</v>
      </c>
      <c r="L632" s="301" t="s">
        <v>296</v>
      </c>
      <c r="M632" s="301"/>
    </row>
    <row r="633" spans="1:13">
      <c r="A633" s="301" t="s">
        <v>298</v>
      </c>
      <c r="B633" s="310">
        <v>25</v>
      </c>
      <c r="C633" s="301">
        <v>3525</v>
      </c>
      <c r="D633" s="301"/>
      <c r="E633" s="302">
        <v>0</v>
      </c>
      <c r="F633" s="302">
        <v>0</v>
      </c>
      <c r="G633" s="301">
        <v>16.399999999999999</v>
      </c>
      <c r="H633" s="301">
        <v>41.9</v>
      </c>
      <c r="I633" s="306"/>
      <c r="J633" s="300">
        <f t="shared" si="17"/>
        <v>0.87935656836461129</v>
      </c>
      <c r="K633" s="301" t="s">
        <v>295</v>
      </c>
      <c r="L633" s="301" t="s">
        <v>296</v>
      </c>
      <c r="M633" s="301"/>
    </row>
    <row r="634" spans="1:13">
      <c r="A634" s="301" t="s">
        <v>298</v>
      </c>
      <c r="B634" s="310">
        <v>25</v>
      </c>
      <c r="C634" s="301">
        <v>3525</v>
      </c>
      <c r="D634" s="301"/>
      <c r="E634" s="302">
        <v>0</v>
      </c>
      <c r="F634" s="302">
        <v>0</v>
      </c>
      <c r="G634" s="301">
        <v>14.8</v>
      </c>
      <c r="H634" s="301">
        <v>34.4</v>
      </c>
      <c r="I634" s="306"/>
      <c r="J634" s="300">
        <f t="shared" si="17"/>
        <v>0.79356568364611269</v>
      </c>
      <c r="K634" s="301" t="s">
        <v>295</v>
      </c>
      <c r="L634" s="301" t="s">
        <v>296</v>
      </c>
      <c r="M634" s="301"/>
    </row>
    <row r="635" spans="1:13">
      <c r="A635" s="301" t="s">
        <v>298</v>
      </c>
      <c r="B635" s="310">
        <v>25</v>
      </c>
      <c r="C635" s="301">
        <v>3525</v>
      </c>
      <c r="D635" s="301"/>
      <c r="E635" s="302">
        <v>0</v>
      </c>
      <c r="F635" s="302">
        <v>0</v>
      </c>
      <c r="G635" s="301">
        <v>19.3</v>
      </c>
      <c r="H635" s="301">
        <v>56</v>
      </c>
      <c r="I635" s="306"/>
      <c r="J635" s="300">
        <f t="shared" si="17"/>
        <v>1.0348525469168901</v>
      </c>
      <c r="K635" s="301" t="s">
        <v>295</v>
      </c>
      <c r="L635" s="301" t="s">
        <v>296</v>
      </c>
      <c r="M635" s="301"/>
    </row>
    <row r="636" spans="1:13">
      <c r="A636" s="301" t="s">
        <v>294</v>
      </c>
      <c r="B636" s="310">
        <v>300</v>
      </c>
      <c r="C636" s="301">
        <v>1770</v>
      </c>
      <c r="D636" s="301"/>
      <c r="E636" s="302">
        <v>0</v>
      </c>
      <c r="F636" s="302">
        <v>0</v>
      </c>
      <c r="G636" s="301">
        <v>0</v>
      </c>
      <c r="H636" s="301" t="s">
        <v>301</v>
      </c>
      <c r="I636" s="306"/>
      <c r="J636" s="300"/>
      <c r="K636" s="301" t="s">
        <v>295</v>
      </c>
      <c r="L636" s="301" t="s">
        <v>296</v>
      </c>
      <c r="M636" s="301"/>
    </row>
    <row r="637" spans="1:13">
      <c r="A637" s="301" t="s">
        <v>294</v>
      </c>
      <c r="B637" s="310">
        <v>300</v>
      </c>
      <c r="C637" s="301">
        <v>1770</v>
      </c>
      <c r="D637" s="301"/>
      <c r="E637" s="302">
        <v>481.33333333333331</v>
      </c>
      <c r="F637" s="302">
        <v>313.66666666666669</v>
      </c>
      <c r="G637" s="301">
        <v>234</v>
      </c>
      <c r="H637" s="301">
        <v>77.400000000000006</v>
      </c>
      <c r="I637" s="306"/>
      <c r="J637" s="300">
        <f>G637/(B637*0.746)</f>
        <v>1.0455764075067024</v>
      </c>
      <c r="K637" s="301" t="s">
        <v>295</v>
      </c>
      <c r="L637" s="301" t="s">
        <v>296</v>
      </c>
      <c r="M637" s="301"/>
    </row>
    <row r="638" spans="1:13">
      <c r="A638" s="301" t="s">
        <v>294</v>
      </c>
      <c r="B638" s="310">
        <v>150</v>
      </c>
      <c r="C638" s="301">
        <v>1760</v>
      </c>
      <c r="D638" s="301"/>
      <c r="E638" s="302">
        <v>0</v>
      </c>
      <c r="F638" s="302">
        <v>0</v>
      </c>
      <c r="G638" s="301">
        <v>0</v>
      </c>
      <c r="H638" s="301" t="s">
        <v>301</v>
      </c>
      <c r="I638" s="306"/>
      <c r="J638" s="300"/>
      <c r="K638" s="301" t="s">
        <v>295</v>
      </c>
      <c r="L638" s="301" t="s">
        <v>296</v>
      </c>
      <c r="M638" s="301"/>
    </row>
    <row r="639" spans="1:13">
      <c r="A639" s="301" t="s">
        <v>298</v>
      </c>
      <c r="B639" s="310">
        <v>50</v>
      </c>
      <c r="C639" s="301">
        <v>1750</v>
      </c>
      <c r="D639" s="301"/>
      <c r="E639" s="302">
        <v>480.66666666666669</v>
      </c>
      <c r="F639" s="302">
        <v>66.066666666666677</v>
      </c>
      <c r="G639" s="301">
        <v>47</v>
      </c>
      <c r="H639" s="301">
        <v>60.6</v>
      </c>
      <c r="I639" s="306"/>
      <c r="J639" s="300">
        <f>G639/(B639*0.746)</f>
        <v>1.2600536193029492</v>
      </c>
      <c r="K639" s="301" t="s">
        <v>295</v>
      </c>
      <c r="L639" s="301" t="s">
        <v>296</v>
      </c>
      <c r="M639" s="301"/>
    </row>
    <row r="640" spans="1:13">
      <c r="A640" s="301" t="s">
        <v>298</v>
      </c>
      <c r="B640" s="310">
        <v>50</v>
      </c>
      <c r="C640" s="301">
        <v>1750</v>
      </c>
      <c r="D640" s="301"/>
      <c r="E640" s="302">
        <v>481.66666666666669</v>
      </c>
      <c r="F640" s="302">
        <v>65.833333333333329</v>
      </c>
      <c r="G640" s="301">
        <v>47</v>
      </c>
      <c r="H640" s="301">
        <v>57.9</v>
      </c>
      <c r="I640" s="306"/>
      <c r="J640" s="300">
        <f>G640/(B640*0.746)</f>
        <v>1.2600536193029492</v>
      </c>
      <c r="K640" s="301" t="s">
        <v>295</v>
      </c>
      <c r="L640" s="301" t="s">
        <v>296</v>
      </c>
      <c r="M640" s="301"/>
    </row>
    <row r="641" spans="1:13">
      <c r="A641" s="301" t="s">
        <v>294</v>
      </c>
      <c r="B641" s="310">
        <v>50</v>
      </c>
      <c r="C641" s="301">
        <v>1770</v>
      </c>
      <c r="D641" s="301"/>
      <c r="E641" s="302">
        <v>461</v>
      </c>
      <c r="F641" s="302">
        <v>48.433333333333337</v>
      </c>
      <c r="G641" s="301">
        <v>34.200000000000003</v>
      </c>
      <c r="H641" s="301">
        <v>61.2</v>
      </c>
      <c r="I641" s="306"/>
      <c r="J641" s="300">
        <f>G641/(B641*0.746)</f>
        <v>0.91689008042895459</v>
      </c>
      <c r="K641" s="301" t="s">
        <v>295</v>
      </c>
      <c r="L641" s="301" t="s">
        <v>296</v>
      </c>
      <c r="M641" s="301"/>
    </row>
    <row r="642" spans="1:13">
      <c r="A642" s="301" t="s">
        <v>298</v>
      </c>
      <c r="B642" s="310">
        <v>30</v>
      </c>
      <c r="C642" s="301">
        <v>3600</v>
      </c>
      <c r="D642" s="301"/>
      <c r="E642" s="302">
        <v>468</v>
      </c>
      <c r="F642" s="302">
        <v>36.4</v>
      </c>
      <c r="G642" s="301">
        <v>25.8</v>
      </c>
      <c r="H642" s="301">
        <v>70.8</v>
      </c>
      <c r="I642" s="306"/>
      <c r="J642" s="300">
        <f>G642/(B642*0.746)</f>
        <v>1.1528150134048258</v>
      </c>
      <c r="K642" s="301" t="s">
        <v>295</v>
      </c>
      <c r="L642" s="301" t="s">
        <v>296</v>
      </c>
      <c r="M642" s="301"/>
    </row>
    <row r="643" spans="1:13">
      <c r="A643" s="301" t="s">
        <v>294</v>
      </c>
      <c r="B643" s="310">
        <v>40</v>
      </c>
      <c r="C643" s="301">
        <v>1170</v>
      </c>
      <c r="D643" s="301"/>
      <c r="E643" s="302">
        <v>480</v>
      </c>
      <c r="F643" s="302">
        <v>50</v>
      </c>
      <c r="G643" s="301">
        <v>34.299999999999997</v>
      </c>
      <c r="H643" s="301">
        <v>54.5</v>
      </c>
      <c r="I643" s="306"/>
      <c r="J643" s="300">
        <f>G643/(B643*0.746)</f>
        <v>1.1494638069705092</v>
      </c>
      <c r="K643" s="301" t="s">
        <v>295</v>
      </c>
      <c r="L643" s="301" t="s">
        <v>296</v>
      </c>
      <c r="M643" s="301"/>
    </row>
    <row r="644" spans="1:13">
      <c r="A644" s="301" t="s">
        <v>294</v>
      </c>
      <c r="B644" s="310">
        <v>75</v>
      </c>
      <c r="C644" s="301">
        <v>1800</v>
      </c>
      <c r="D644" s="301"/>
      <c r="E644" s="302">
        <v>0</v>
      </c>
      <c r="F644" s="302">
        <v>0</v>
      </c>
      <c r="G644" s="301">
        <v>0</v>
      </c>
      <c r="H644" s="301">
        <v>0</v>
      </c>
      <c r="I644" s="306"/>
      <c r="J644" s="300"/>
      <c r="K644" s="301" t="s">
        <v>295</v>
      </c>
      <c r="L644" s="301" t="s">
        <v>296</v>
      </c>
      <c r="M644" s="301"/>
    </row>
    <row r="645" spans="1:13" ht="15">
      <c r="A645" s="311" t="s">
        <v>303</v>
      </c>
      <c r="B645" s="311">
        <f>SUM(B5:B644)</f>
        <v>171925</v>
      </c>
      <c r="C645" s="311">
        <f>SUM(C5:C644)</f>
        <v>677003</v>
      </c>
      <c r="D645" s="311"/>
      <c r="E645" s="312">
        <f>SUM(E5:E644)</f>
        <v>452966.50000000023</v>
      </c>
      <c r="F645" s="311">
        <f>SUM(F5:F644)</f>
        <v>50005.669999999984</v>
      </c>
      <c r="G645" s="311">
        <f>SUM(G5:G644)</f>
        <v>124378.89999999989</v>
      </c>
      <c r="H645" s="311">
        <f>SUM(H5:H644)</f>
        <v>37422.100000000028</v>
      </c>
      <c r="I645" s="311">
        <f>SUM(I5:I644)</f>
        <v>88316.800000000017</v>
      </c>
      <c r="J645" s="313"/>
      <c r="K645" s="301"/>
      <c r="L645" s="301"/>
      <c r="M645" s="301"/>
    </row>
    <row r="646" spans="1:13" ht="15">
      <c r="A646" s="311" t="s">
        <v>198</v>
      </c>
      <c r="B646" s="314">
        <f>AVERAGE(B5:B644)</f>
        <v>268.6328125</v>
      </c>
      <c r="C646" s="314">
        <f>AVERAGE(C5:C644)</f>
        <v>1514.5480984340045</v>
      </c>
      <c r="D646" s="311"/>
      <c r="E646" s="312">
        <f>AVERAGE(E5:E644)</f>
        <v>707.76015625000036</v>
      </c>
      <c r="F646" s="314">
        <f>AVERAGE(F5:F644)</f>
        <v>78.133859374999972</v>
      </c>
      <c r="G646" s="314">
        <f>AVERAGE(G5:G644)</f>
        <v>194.34203124999982</v>
      </c>
      <c r="H646" s="314">
        <f>AVERAGE(H5:H644)</f>
        <v>59.118641390205418</v>
      </c>
      <c r="I646" s="314">
        <f>AVERAGE(I5:I644)</f>
        <v>2523.3371428571431</v>
      </c>
      <c r="J646" s="315"/>
      <c r="K646" s="301"/>
      <c r="L646" s="301"/>
      <c r="M646" s="301"/>
    </row>
    <row r="647" spans="1:13" ht="15">
      <c r="A647" s="311" t="s">
        <v>304</v>
      </c>
      <c r="B647" s="311">
        <f>MAX(B5:B644)</f>
        <v>2500</v>
      </c>
      <c r="C647" s="311">
        <f>MAX(C5:C644)</f>
        <v>3600</v>
      </c>
      <c r="D647" s="311"/>
      <c r="E647" s="312">
        <f>MAX(E5:E644)</f>
        <v>4300</v>
      </c>
      <c r="F647" s="311">
        <f>MAX(F5:F644)</f>
        <v>615.70000000000005</v>
      </c>
      <c r="G647" s="311">
        <f>MAX(G5:G644)</f>
        <v>2056.4</v>
      </c>
      <c r="H647" s="311">
        <f>MAX(H5:H644)</f>
        <v>91.7</v>
      </c>
      <c r="I647" s="311">
        <f>MAX(I5:I644)</f>
        <v>4219</v>
      </c>
      <c r="J647" s="313"/>
      <c r="K647" s="301"/>
      <c r="L647" s="301"/>
      <c r="M647" s="301"/>
    </row>
    <row r="648" spans="1:13" ht="15">
      <c r="A648" s="311" t="s">
        <v>305</v>
      </c>
      <c r="B648" s="311">
        <f>MIN(B5:B644)</f>
        <v>0</v>
      </c>
      <c r="C648" s="311">
        <f>MIN(C5:C644)</f>
        <v>0</v>
      </c>
      <c r="D648" s="311"/>
      <c r="E648" s="312">
        <f>MIN(E5:E644)</f>
        <v>0</v>
      </c>
      <c r="F648" s="311">
        <f>MIN(F5:F644)</f>
        <v>0</v>
      </c>
      <c r="G648" s="311">
        <f>MIN(G5:G644)</f>
        <v>0</v>
      </c>
      <c r="H648" s="311">
        <f>MIN(H5:H644)</f>
        <v>0</v>
      </c>
      <c r="I648" s="311">
        <f>MIN(I5:I644)</f>
        <v>368</v>
      </c>
      <c r="J648" s="313"/>
      <c r="K648" s="301"/>
      <c r="L648" s="301"/>
      <c r="M648" s="301"/>
    </row>
    <row r="649" spans="1:13" ht="15">
      <c r="A649" s="311" t="s">
        <v>306</v>
      </c>
      <c r="B649" s="312">
        <f>STDEV(B5:B644)</f>
        <v>332.6229900927525</v>
      </c>
      <c r="C649" s="312">
        <f>STDEV(C5:C644)</f>
        <v>739.23522582051612</v>
      </c>
      <c r="D649" s="311"/>
      <c r="E649" s="312">
        <f>STDEV(E5:E644)</f>
        <v>880.88344284350342</v>
      </c>
      <c r="F649" s="312">
        <f>STDEV(F5:F644)</f>
        <v>91.708945023215108</v>
      </c>
      <c r="G649" s="312">
        <f>STDEV(G5:G644)</f>
        <v>259.0804992071383</v>
      </c>
      <c r="H649" s="312">
        <f>STDEV(H5:H644)</f>
        <v>18.139498131289415</v>
      </c>
      <c r="I649" s="312">
        <f>STDEV(I5:I644)</f>
        <v>1161.9163620516572</v>
      </c>
      <c r="J649" s="316"/>
      <c r="K649" s="301"/>
      <c r="L649" s="301"/>
      <c r="M649" s="301"/>
    </row>
    <row r="650" spans="1:13">
      <c r="A650" s="301"/>
      <c r="B650" s="301"/>
      <c r="C650" s="301"/>
      <c r="D650" s="301"/>
      <c r="E650" s="302"/>
      <c r="F650" s="301"/>
      <c r="G650" s="301"/>
      <c r="H650" s="301"/>
      <c r="I650" s="301"/>
      <c r="J650" s="306"/>
      <c r="K650" s="301"/>
      <c r="L650" s="301"/>
      <c r="M650" s="30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20"/>
  <dimension ref="A1:T37"/>
  <sheetViews>
    <sheetView topLeftCell="B1" workbookViewId="0">
      <selection activeCell="F19" sqref="F19"/>
    </sheetView>
  </sheetViews>
  <sheetFormatPr defaultRowHeight="12.75"/>
  <cols>
    <col min="1" max="2" width="4.28515625" style="227" customWidth="1"/>
    <col min="3" max="3" width="19.7109375" style="227" bestFit="1" customWidth="1"/>
    <col min="4" max="8" width="9.140625" style="227"/>
    <col min="9" max="10" width="16.28515625" style="227" customWidth="1"/>
    <col min="11" max="16384" width="9.140625" style="227"/>
  </cols>
  <sheetData>
    <row r="1" spans="1:20">
      <c r="A1" s="226"/>
    </row>
    <row r="2" spans="1:20" ht="13.5" thickBot="1">
      <c r="B2" s="227" t="s">
        <v>721</v>
      </c>
    </row>
    <row r="3" spans="1:20" ht="13.5" thickTop="1">
      <c r="B3" s="228" t="s">
        <v>188</v>
      </c>
      <c r="C3" s="229"/>
      <c r="D3" s="229"/>
      <c r="E3" s="229"/>
      <c r="F3" s="229"/>
      <c r="G3" s="229"/>
      <c r="H3" s="229"/>
      <c r="I3" s="229"/>
      <c r="J3" s="229"/>
      <c r="K3" s="229"/>
      <c r="L3" s="229"/>
      <c r="M3" s="229"/>
      <c r="N3" s="229"/>
      <c r="O3" s="229"/>
      <c r="P3" s="229"/>
      <c r="Q3" s="229"/>
      <c r="R3" s="229"/>
      <c r="S3" s="229"/>
      <c r="T3" s="230"/>
    </row>
    <row r="4" spans="1:20">
      <c r="B4" s="231"/>
      <c r="C4" s="232"/>
      <c r="D4" s="233"/>
      <c r="E4" s="233"/>
      <c r="F4" s="233"/>
      <c r="G4" s="233"/>
      <c r="H4" s="233"/>
      <c r="I4" s="233"/>
      <c r="J4" s="233"/>
      <c r="K4" s="233"/>
      <c r="L4" s="233"/>
      <c r="M4" s="233"/>
      <c r="N4" s="233"/>
      <c r="O4" s="233"/>
      <c r="P4" s="233"/>
      <c r="Q4" s="233"/>
      <c r="R4" s="233"/>
      <c r="S4" s="233"/>
      <c r="T4" s="234"/>
    </row>
    <row r="5" spans="1:20">
      <c r="B5" s="231"/>
      <c r="C5" s="233"/>
      <c r="D5" s="233"/>
      <c r="E5" s="233"/>
      <c r="F5" s="233"/>
      <c r="G5" s="233"/>
      <c r="H5" s="233"/>
      <c r="I5" s="233"/>
      <c r="J5" s="233"/>
      <c r="K5" s="233"/>
      <c r="L5" s="233"/>
      <c r="M5" s="233"/>
      <c r="N5" s="233"/>
      <c r="O5" s="233"/>
      <c r="P5" s="233"/>
      <c r="Q5" s="233"/>
      <c r="R5" s="233"/>
      <c r="S5" s="233"/>
      <c r="T5" s="234"/>
    </row>
    <row r="6" spans="1:20">
      <c r="B6" s="231"/>
      <c r="C6" s="235" t="s">
        <v>189</v>
      </c>
      <c r="D6" s="236">
        <v>92</v>
      </c>
      <c r="E6" s="237"/>
      <c r="F6" s="238"/>
      <c r="G6" s="238"/>
      <c r="H6" s="238"/>
      <c r="I6" s="238"/>
      <c r="J6" s="238"/>
      <c r="K6" s="233"/>
      <c r="L6" s="233"/>
      <c r="M6" s="233"/>
      <c r="N6" s="233"/>
      <c r="O6" s="233"/>
      <c r="P6" s="233"/>
      <c r="Q6" s="233"/>
      <c r="R6" s="233"/>
      <c r="S6" s="233"/>
      <c r="T6" s="234"/>
    </row>
    <row r="7" spans="1:20">
      <c r="B7" s="231"/>
      <c r="C7" s="238"/>
      <c r="D7" s="238"/>
      <c r="E7" s="237"/>
      <c r="F7" s="238"/>
      <c r="G7" s="238"/>
      <c r="H7" s="238"/>
      <c r="I7" s="238"/>
      <c r="J7" s="238"/>
      <c r="K7" s="233"/>
      <c r="L7" s="233"/>
      <c r="M7" s="233"/>
      <c r="N7" s="233"/>
      <c r="O7" s="233"/>
      <c r="P7" s="233"/>
      <c r="Q7" s="233"/>
      <c r="R7" s="233"/>
      <c r="S7" s="233"/>
      <c r="T7" s="234"/>
    </row>
    <row r="8" spans="1:20" s="239" customFormat="1" ht="51">
      <c r="B8" s="240"/>
      <c r="C8" s="241" t="s">
        <v>190</v>
      </c>
      <c r="D8" s="241" t="s">
        <v>191</v>
      </c>
      <c r="E8" s="241" t="s">
        <v>192</v>
      </c>
      <c r="F8" s="241" t="s">
        <v>193</v>
      </c>
      <c r="G8" s="241" t="s">
        <v>194</v>
      </c>
      <c r="H8" s="241" t="s">
        <v>195</v>
      </c>
      <c r="I8" s="241" t="s">
        <v>196</v>
      </c>
      <c r="J8" s="242" t="s">
        <v>197</v>
      </c>
      <c r="K8" s="243"/>
      <c r="L8" s="243"/>
      <c r="M8" s="243"/>
      <c r="N8" s="243"/>
      <c r="O8" s="243"/>
      <c r="P8" s="243"/>
      <c r="Q8" s="243"/>
      <c r="R8" s="243"/>
      <c r="S8" s="243"/>
      <c r="T8" s="244"/>
    </row>
    <row r="9" spans="1:20">
      <c r="B9" s="231"/>
      <c r="C9" s="236" t="s">
        <v>198</v>
      </c>
      <c r="D9" s="245">
        <v>1090.292967032967</v>
      </c>
      <c r="E9" s="245"/>
      <c r="F9" s="245"/>
      <c r="G9" s="245">
        <v>224.20733694876557</v>
      </c>
      <c r="H9" s="245"/>
      <c r="I9" s="245"/>
      <c r="J9" s="245"/>
      <c r="K9" s="233"/>
      <c r="L9" s="233"/>
      <c r="M9" s="233"/>
      <c r="N9" s="233"/>
      <c r="O9" s="233"/>
      <c r="P9" s="233"/>
      <c r="Q9" s="233"/>
      <c r="R9" s="233"/>
      <c r="S9" s="233"/>
      <c r="T9" s="234"/>
    </row>
    <row r="10" spans="1:20">
      <c r="B10" s="231"/>
      <c r="C10" s="236" t="s">
        <v>199</v>
      </c>
      <c r="D10" s="245"/>
      <c r="E10" s="245">
        <v>99.383497522828662</v>
      </c>
      <c r="F10" s="245">
        <v>66.228737996219579</v>
      </c>
      <c r="G10" s="245"/>
      <c r="H10" s="245"/>
      <c r="I10" s="245"/>
      <c r="J10" s="245"/>
      <c r="K10" s="233"/>
      <c r="L10" s="233"/>
      <c r="M10" s="233"/>
      <c r="N10" s="233"/>
      <c r="O10" s="233"/>
      <c r="P10" s="233"/>
      <c r="Q10" s="233"/>
      <c r="R10" s="233"/>
      <c r="S10" s="233"/>
      <c r="T10" s="234"/>
    </row>
    <row r="11" spans="1:20">
      <c r="B11" s="231"/>
      <c r="C11" s="246" t="s">
        <v>200</v>
      </c>
      <c r="D11" s="245"/>
      <c r="E11" s="245"/>
      <c r="F11" s="245"/>
      <c r="G11" s="245"/>
      <c r="H11" s="247">
        <v>0.58334415460450684</v>
      </c>
      <c r="I11" s="248">
        <v>1110.4004822704537</v>
      </c>
      <c r="J11" s="248">
        <v>1142.0704360309376</v>
      </c>
      <c r="K11" s="233"/>
      <c r="L11" s="233"/>
      <c r="M11" s="233"/>
      <c r="N11" s="233"/>
      <c r="O11" s="233"/>
      <c r="P11" s="233"/>
      <c r="Q11" s="233"/>
      <c r="R11" s="233"/>
      <c r="S11" s="233"/>
      <c r="T11" s="234"/>
    </row>
    <row r="12" spans="1:20">
      <c r="B12" s="231"/>
      <c r="C12" s="233"/>
      <c r="D12" s="233"/>
      <c r="E12" s="233"/>
      <c r="F12" s="233"/>
      <c r="G12" s="233"/>
      <c r="H12" s="233"/>
      <c r="I12" s="233"/>
      <c r="J12" s="233"/>
      <c r="K12" s="233"/>
      <c r="L12" s="233"/>
      <c r="M12" s="233"/>
      <c r="N12" s="233"/>
      <c r="O12" s="233"/>
      <c r="P12" s="233"/>
      <c r="Q12" s="233"/>
      <c r="R12" s="233"/>
      <c r="S12" s="233"/>
      <c r="T12" s="234"/>
    </row>
    <row r="13" spans="1:20" ht="13.5" thickBot="1">
      <c r="B13" s="249"/>
      <c r="C13" s="250"/>
      <c r="D13" s="250"/>
      <c r="E13" s="250"/>
      <c r="F13" s="250"/>
      <c r="G13" s="250"/>
      <c r="H13" s="250"/>
      <c r="I13" s="250"/>
      <c r="J13" s="250"/>
      <c r="K13" s="250"/>
      <c r="L13" s="250"/>
      <c r="M13" s="250"/>
      <c r="N13" s="250"/>
      <c r="O13" s="250"/>
      <c r="P13" s="250"/>
      <c r="Q13" s="250"/>
      <c r="R13" s="250"/>
      <c r="S13" s="250"/>
      <c r="T13" s="251"/>
    </row>
    <row r="14" spans="1:20" ht="14.25" thickTop="1" thickBot="1"/>
    <row r="15" spans="1:20" ht="13.5" thickTop="1">
      <c r="B15" s="228" t="s">
        <v>201</v>
      </c>
      <c r="C15" s="229"/>
      <c r="D15" s="229"/>
      <c r="E15" s="229"/>
      <c r="F15" s="229"/>
      <c r="G15" s="229"/>
      <c r="H15" s="229"/>
      <c r="I15" s="229"/>
      <c r="J15" s="229"/>
      <c r="K15" s="229"/>
      <c r="L15" s="229"/>
      <c r="M15" s="229"/>
      <c r="N15" s="229"/>
      <c r="O15" s="229"/>
      <c r="P15" s="229"/>
      <c r="Q15" s="229"/>
      <c r="R15" s="229"/>
      <c r="S15" s="229"/>
      <c r="T15" s="230"/>
    </row>
    <row r="16" spans="1:20" ht="13.5" thickBot="1">
      <c r="B16" s="231"/>
      <c r="C16" s="232"/>
      <c r="D16" s="233"/>
      <c r="E16" s="233"/>
      <c r="F16" s="233"/>
      <c r="G16" s="233"/>
      <c r="H16" s="233"/>
      <c r="I16" s="233"/>
      <c r="J16" s="233"/>
      <c r="K16" s="233"/>
      <c r="L16" s="233"/>
      <c r="M16" s="233"/>
      <c r="N16" s="233"/>
      <c r="O16" s="233"/>
      <c r="P16" s="233"/>
      <c r="Q16" s="233"/>
      <c r="R16" s="233"/>
      <c r="S16" s="233"/>
      <c r="T16" s="234"/>
    </row>
    <row r="17" spans="2:20" ht="13.5" thickBot="1">
      <c r="B17" s="231"/>
      <c r="C17" s="916" t="s">
        <v>202</v>
      </c>
      <c r="D17" s="916" t="s">
        <v>203</v>
      </c>
      <c r="E17" s="919" t="s">
        <v>204</v>
      </c>
      <c r="F17" s="920"/>
      <c r="G17" s="920"/>
      <c r="H17" s="920"/>
      <c r="I17" s="920"/>
      <c r="J17" s="920"/>
      <c r="K17" s="920"/>
      <c r="L17" s="920"/>
      <c r="M17" s="920"/>
      <c r="N17" s="920"/>
      <c r="O17" s="920"/>
      <c r="P17" s="920"/>
      <c r="Q17" s="920"/>
      <c r="R17" s="920"/>
      <c r="S17" s="921"/>
      <c r="T17" s="234"/>
    </row>
    <row r="18" spans="2:20" ht="12.75" customHeight="1">
      <c r="B18" s="231"/>
      <c r="C18" s="917"/>
      <c r="D18" s="917"/>
      <c r="E18" s="922" t="s">
        <v>205</v>
      </c>
      <c r="F18" s="923">
        <v>0</v>
      </c>
      <c r="G18" s="924">
        <v>0</v>
      </c>
      <c r="H18" s="925" t="s">
        <v>206</v>
      </c>
      <c r="I18" s="923">
        <v>0</v>
      </c>
      <c r="J18" s="924">
        <v>0</v>
      </c>
      <c r="K18" s="926" t="s">
        <v>207</v>
      </c>
      <c r="L18" s="928" t="s">
        <v>208</v>
      </c>
      <c r="M18" s="929">
        <v>0</v>
      </c>
      <c r="N18" s="930">
        <v>0</v>
      </c>
      <c r="O18" s="928" t="s">
        <v>209</v>
      </c>
      <c r="P18" s="929">
        <v>0</v>
      </c>
      <c r="Q18" s="929">
        <v>0</v>
      </c>
      <c r="R18" s="929">
        <v>0</v>
      </c>
      <c r="S18" s="930">
        <v>0</v>
      </c>
      <c r="T18" s="234"/>
    </row>
    <row r="19" spans="2:20" ht="60.75" thickBot="1">
      <c r="B19" s="231"/>
      <c r="C19" s="918"/>
      <c r="D19" s="918"/>
      <c r="E19" s="252" t="s">
        <v>210</v>
      </c>
      <c r="F19" s="253" t="s">
        <v>211</v>
      </c>
      <c r="G19" s="254" t="s">
        <v>212</v>
      </c>
      <c r="H19" s="255" t="s">
        <v>213</v>
      </c>
      <c r="I19" s="253" t="s">
        <v>214</v>
      </c>
      <c r="J19" s="254" t="s">
        <v>215</v>
      </c>
      <c r="K19" s="927">
        <v>0</v>
      </c>
      <c r="L19" s="256" t="s">
        <v>216</v>
      </c>
      <c r="M19" s="257" t="s">
        <v>217</v>
      </c>
      <c r="N19" s="258" t="s">
        <v>218</v>
      </c>
      <c r="O19" s="256" t="s">
        <v>219</v>
      </c>
      <c r="P19" s="257" t="s">
        <v>216</v>
      </c>
      <c r="Q19" s="257" t="s">
        <v>220</v>
      </c>
      <c r="R19" s="257" t="s">
        <v>221</v>
      </c>
      <c r="S19" s="258" t="s">
        <v>222</v>
      </c>
      <c r="T19" s="234"/>
    </row>
    <row r="20" spans="2:20" ht="15">
      <c r="B20" s="231"/>
      <c r="C20" s="259" t="s">
        <v>223</v>
      </c>
      <c r="D20" s="260">
        <v>1</v>
      </c>
      <c r="E20" s="261">
        <v>6713.3</v>
      </c>
      <c r="F20" s="262">
        <v>7.13</v>
      </c>
      <c r="G20" s="263">
        <v>0</v>
      </c>
      <c r="H20" s="264"/>
      <c r="I20" s="262"/>
      <c r="J20" s="263"/>
      <c r="K20" s="265">
        <v>187.065</v>
      </c>
      <c r="L20" s="261">
        <v>100</v>
      </c>
      <c r="M20" s="262"/>
      <c r="N20" s="263">
        <v>62.19</v>
      </c>
      <c r="O20" s="266">
        <v>0.91300000000000014</v>
      </c>
      <c r="P20" s="262"/>
      <c r="Q20" s="262"/>
      <c r="R20" s="262"/>
      <c r="S20" s="263"/>
      <c r="T20" s="234"/>
    </row>
    <row r="21" spans="2:20" ht="15">
      <c r="B21" s="231"/>
      <c r="C21" s="267" t="s">
        <v>224</v>
      </c>
      <c r="D21" s="268">
        <v>25</v>
      </c>
      <c r="E21" s="269">
        <v>823.66507936507924</v>
      </c>
      <c r="F21" s="270">
        <v>4.1516666666666664</v>
      </c>
      <c r="G21" s="271">
        <v>59.1</v>
      </c>
      <c r="H21" s="272">
        <v>10.3</v>
      </c>
      <c r="I21" s="270"/>
      <c r="J21" s="271">
        <v>50.25</v>
      </c>
      <c r="K21" s="273">
        <v>296.57680000000005</v>
      </c>
      <c r="L21" s="269">
        <v>191</v>
      </c>
      <c r="M21" s="270">
        <v>202.72177549731401</v>
      </c>
      <c r="N21" s="271">
        <v>126.59403556611574</v>
      </c>
      <c r="O21" s="274">
        <v>0.85270666666666672</v>
      </c>
      <c r="P21" s="270">
        <v>144</v>
      </c>
      <c r="Q21" s="270"/>
      <c r="R21" s="275">
        <v>0.85959999999999981</v>
      </c>
      <c r="S21" s="271">
        <v>107.380781568</v>
      </c>
      <c r="T21" s="234"/>
    </row>
    <row r="22" spans="2:20" ht="15">
      <c r="B22" s="231"/>
      <c r="C22" s="267" t="s">
        <v>225</v>
      </c>
      <c r="D22" s="268">
        <v>121</v>
      </c>
      <c r="E22" s="269">
        <v>1427.3336016096575</v>
      </c>
      <c r="F22" s="270">
        <v>6.6310000000000002</v>
      </c>
      <c r="G22" s="271">
        <v>68.027111111111111</v>
      </c>
      <c r="H22" s="272">
        <v>910.11304347826115</v>
      </c>
      <c r="I22" s="270">
        <v>6.331714285714285</v>
      </c>
      <c r="J22" s="271">
        <v>54.785714285714285</v>
      </c>
      <c r="K22" s="273">
        <v>447.53962809917374</v>
      </c>
      <c r="L22" s="269">
        <v>306.77685950413223</v>
      </c>
      <c r="M22" s="270">
        <v>273.08950134456074</v>
      </c>
      <c r="N22" s="271">
        <v>250.26382566969187</v>
      </c>
      <c r="O22" s="274">
        <v>0.85763911845729957</v>
      </c>
      <c r="P22" s="270">
        <v>157.23684210526315</v>
      </c>
      <c r="Q22" s="270">
        <v>134.22798467294041</v>
      </c>
      <c r="R22" s="275">
        <v>0.84905263157894761</v>
      </c>
      <c r="S22" s="271">
        <v>118.41035950822754</v>
      </c>
      <c r="T22" s="234"/>
    </row>
    <row r="23" spans="2:20" ht="15">
      <c r="B23" s="231"/>
      <c r="C23" s="267" t="s">
        <v>226</v>
      </c>
      <c r="D23" s="268">
        <v>6</v>
      </c>
      <c r="E23" s="269">
        <v>638.51666666666665</v>
      </c>
      <c r="F23" s="270">
        <v>3.7450000000000006</v>
      </c>
      <c r="G23" s="271">
        <v>108</v>
      </c>
      <c r="H23" s="272">
        <v>198.66000000000003</v>
      </c>
      <c r="I23" s="270">
        <v>5.6759999999999993</v>
      </c>
      <c r="J23" s="271"/>
      <c r="K23" s="273">
        <v>202.17499999999998</v>
      </c>
      <c r="L23" s="269">
        <v>71.666666666666671</v>
      </c>
      <c r="M23" s="270">
        <v>72.820630726820539</v>
      </c>
      <c r="N23" s="271">
        <v>61.534995477442095</v>
      </c>
      <c r="O23" s="274">
        <v>0.85138888888888886</v>
      </c>
      <c r="P23" s="270"/>
      <c r="Q23" s="270"/>
      <c r="R23" s="270"/>
      <c r="S23" s="271"/>
      <c r="T23" s="234"/>
    </row>
    <row r="24" spans="2:20" ht="15">
      <c r="B24" s="231"/>
      <c r="C24" s="267" t="s">
        <v>227</v>
      </c>
      <c r="D24" s="268">
        <v>3</v>
      </c>
      <c r="E24" s="269">
        <v>977.2</v>
      </c>
      <c r="F24" s="270">
        <v>2.96</v>
      </c>
      <c r="G24" s="271">
        <v>70</v>
      </c>
      <c r="H24" s="272"/>
      <c r="I24" s="270"/>
      <c r="J24" s="271"/>
      <c r="K24" s="273">
        <v>343.53333333333336</v>
      </c>
      <c r="L24" s="269">
        <v>266.66666666666669</v>
      </c>
      <c r="M24" s="270">
        <v>223.31660089558295</v>
      </c>
      <c r="N24" s="271">
        <v>81.89421339669434</v>
      </c>
      <c r="O24" s="274">
        <v>0.84922222222222221</v>
      </c>
      <c r="P24" s="270"/>
      <c r="Q24" s="270"/>
      <c r="R24" s="270"/>
      <c r="S24" s="271"/>
      <c r="T24" s="234"/>
    </row>
    <row r="25" spans="2:20" ht="15">
      <c r="B25" s="231"/>
      <c r="C25" s="267" t="s">
        <v>228</v>
      </c>
      <c r="D25" s="268">
        <v>2</v>
      </c>
      <c r="E25" s="269"/>
      <c r="F25" s="270"/>
      <c r="G25" s="271">
        <v>78</v>
      </c>
      <c r="H25" s="272"/>
      <c r="I25" s="270"/>
      <c r="J25" s="271"/>
      <c r="K25" s="273">
        <v>492.43</v>
      </c>
      <c r="L25" s="269">
        <v>350</v>
      </c>
      <c r="M25" s="270">
        <v>306.47987192853162</v>
      </c>
      <c r="N25" s="271"/>
      <c r="O25" s="274">
        <v>0.85</v>
      </c>
      <c r="P25" s="270"/>
      <c r="Q25" s="270"/>
      <c r="R25" s="270"/>
      <c r="S25" s="271"/>
      <c r="T25" s="234"/>
    </row>
    <row r="26" spans="2:20" ht="15.75" thickBot="1">
      <c r="B26" s="231"/>
      <c r="C26" s="276" t="s">
        <v>229</v>
      </c>
      <c r="D26" s="277">
        <v>3</v>
      </c>
      <c r="E26" s="278">
        <v>25.666666666666668</v>
      </c>
      <c r="F26" s="279"/>
      <c r="G26" s="280"/>
      <c r="H26" s="281"/>
      <c r="I26" s="279"/>
      <c r="J26" s="280"/>
      <c r="K26" s="282">
        <v>158.6</v>
      </c>
      <c r="L26" s="278">
        <v>26.666666666666668</v>
      </c>
      <c r="M26" s="279">
        <v>24.168006429625947</v>
      </c>
      <c r="N26" s="280"/>
      <c r="O26" s="283">
        <v>0.85</v>
      </c>
      <c r="P26" s="279"/>
      <c r="Q26" s="279"/>
      <c r="R26" s="279"/>
      <c r="S26" s="280"/>
      <c r="T26" s="234"/>
    </row>
    <row r="27" spans="2:20" ht="15">
      <c r="B27" s="231"/>
      <c r="C27" s="284" t="s">
        <v>230</v>
      </c>
      <c r="D27" s="285">
        <v>161</v>
      </c>
      <c r="E27" s="286"/>
      <c r="F27" s="286"/>
      <c r="G27" s="286"/>
      <c r="H27" s="286"/>
      <c r="I27" s="286"/>
      <c r="J27" s="286"/>
      <c r="K27" s="286"/>
      <c r="L27" s="287"/>
      <c r="M27" s="287"/>
      <c r="N27" s="287"/>
      <c r="O27" s="287"/>
      <c r="P27" s="287"/>
      <c r="Q27" s="287"/>
      <c r="R27" s="287"/>
      <c r="S27" s="287"/>
      <c r="T27" s="234"/>
    </row>
    <row r="28" spans="2:20" ht="13.5" thickBot="1">
      <c r="B28" s="231"/>
      <c r="C28" s="233"/>
      <c r="D28" s="233"/>
      <c r="E28" s="233"/>
      <c r="F28" s="233"/>
      <c r="G28" s="233"/>
      <c r="H28" s="233"/>
      <c r="I28" s="233"/>
      <c r="J28" s="233"/>
      <c r="K28" s="233"/>
      <c r="L28" s="233"/>
      <c r="M28" s="233"/>
      <c r="N28" s="233"/>
      <c r="O28" s="233"/>
      <c r="P28" s="233"/>
      <c r="Q28" s="233"/>
      <c r="R28" s="233"/>
      <c r="S28" s="233"/>
      <c r="T28" s="234"/>
    </row>
    <row r="29" spans="2:20" ht="15">
      <c r="B29" s="231"/>
      <c r="C29" s="288" t="s">
        <v>231</v>
      </c>
      <c r="D29" s="289" t="s">
        <v>203</v>
      </c>
      <c r="E29" s="233"/>
      <c r="F29" s="233"/>
      <c r="G29" s="233"/>
      <c r="H29" s="233"/>
      <c r="I29" s="233"/>
      <c r="J29" s="233"/>
      <c r="K29" s="233"/>
      <c r="L29" s="233"/>
      <c r="M29" s="233"/>
      <c r="N29" s="233"/>
      <c r="O29" s="233"/>
      <c r="P29" s="233"/>
      <c r="Q29" s="233"/>
      <c r="R29" s="233"/>
      <c r="S29" s="233"/>
      <c r="T29" s="234"/>
    </row>
    <row r="30" spans="2:20" ht="15">
      <c r="B30" s="231"/>
      <c r="C30" s="290" t="s">
        <v>230</v>
      </c>
      <c r="D30" s="291">
        <v>161</v>
      </c>
      <c r="E30" s="233"/>
      <c r="F30" s="233"/>
      <c r="G30" s="233"/>
      <c r="H30" s="233"/>
      <c r="I30" s="233"/>
      <c r="J30" s="233"/>
      <c r="K30" s="233"/>
      <c r="L30" s="233"/>
      <c r="M30" s="233"/>
      <c r="N30" s="233"/>
      <c r="O30" s="233"/>
      <c r="P30" s="233"/>
      <c r="Q30" s="233"/>
      <c r="R30" s="233"/>
      <c r="S30" s="233"/>
      <c r="T30" s="234"/>
    </row>
    <row r="31" spans="2:20" ht="15">
      <c r="B31" s="231"/>
      <c r="C31" s="292" t="s">
        <v>232</v>
      </c>
      <c r="D31" s="293">
        <v>2</v>
      </c>
      <c r="E31" s="233"/>
      <c r="F31" s="233"/>
      <c r="G31" s="233"/>
      <c r="H31" s="233"/>
      <c r="I31" s="233"/>
      <c r="J31" s="233"/>
      <c r="K31" s="233"/>
      <c r="L31" s="233"/>
      <c r="M31" s="233"/>
      <c r="N31" s="233"/>
      <c r="O31" s="233"/>
      <c r="P31" s="233"/>
      <c r="Q31" s="233"/>
      <c r="R31" s="233"/>
      <c r="S31" s="233"/>
      <c r="T31" s="234"/>
    </row>
    <row r="32" spans="2:20" ht="15">
      <c r="B32" s="231"/>
      <c r="C32" s="292" t="s">
        <v>233</v>
      </c>
      <c r="D32" s="293">
        <v>3</v>
      </c>
      <c r="E32" s="233"/>
      <c r="F32" s="233"/>
      <c r="G32" s="233"/>
      <c r="H32" s="233"/>
      <c r="I32" s="233"/>
      <c r="J32" s="233"/>
      <c r="K32" s="233"/>
      <c r="L32" s="233"/>
      <c r="M32" s="233"/>
      <c r="N32" s="233"/>
      <c r="O32" s="233"/>
      <c r="P32" s="233"/>
      <c r="Q32" s="233"/>
      <c r="R32" s="233"/>
      <c r="S32" s="233"/>
      <c r="T32" s="234"/>
    </row>
    <row r="33" spans="2:20" ht="15">
      <c r="B33" s="231"/>
      <c r="C33" s="292" t="s">
        <v>234</v>
      </c>
      <c r="D33" s="293">
        <v>14</v>
      </c>
      <c r="E33" s="233"/>
      <c r="F33" s="233"/>
      <c r="G33" s="233"/>
      <c r="H33" s="233"/>
      <c r="I33" s="233"/>
      <c r="J33" s="233"/>
      <c r="K33" s="233"/>
      <c r="L33" s="233"/>
      <c r="M33" s="233"/>
      <c r="N33" s="233"/>
      <c r="O33" s="233"/>
      <c r="P33" s="233"/>
      <c r="Q33" s="233"/>
      <c r="R33" s="233"/>
      <c r="S33" s="233"/>
      <c r="T33" s="234"/>
    </row>
    <row r="34" spans="2:20" ht="15">
      <c r="B34" s="231"/>
      <c r="C34" s="292" t="s">
        <v>144</v>
      </c>
      <c r="D34" s="293">
        <v>31</v>
      </c>
      <c r="E34" s="294">
        <f>(D34+D33)/SUM(D33:D35)</f>
        <v>0.28846153846153844</v>
      </c>
      <c r="F34" s="233"/>
      <c r="G34" s="233"/>
      <c r="H34" s="233"/>
      <c r="I34" s="233"/>
      <c r="J34" s="233"/>
      <c r="K34" s="233"/>
      <c r="L34" s="233"/>
      <c r="M34" s="233"/>
      <c r="N34" s="233"/>
      <c r="O34" s="233"/>
      <c r="P34" s="233"/>
      <c r="Q34" s="233"/>
      <c r="R34" s="233"/>
      <c r="S34" s="233"/>
      <c r="T34" s="234"/>
    </row>
    <row r="35" spans="2:20" ht="15.75" thickBot="1">
      <c r="B35" s="231"/>
      <c r="C35" s="295" t="s">
        <v>235</v>
      </c>
      <c r="D35" s="296">
        <v>111</v>
      </c>
      <c r="E35" s="233"/>
      <c r="F35" s="233"/>
      <c r="G35" s="233"/>
      <c r="H35" s="233"/>
      <c r="I35" s="233"/>
      <c r="J35" s="233"/>
      <c r="K35" s="233"/>
      <c r="L35" s="233"/>
      <c r="M35" s="233"/>
      <c r="N35" s="233"/>
      <c r="O35" s="233"/>
      <c r="P35" s="233"/>
      <c r="Q35" s="233"/>
      <c r="R35" s="233"/>
      <c r="S35" s="233"/>
      <c r="T35" s="234"/>
    </row>
    <row r="36" spans="2:20" ht="13.5" thickBot="1">
      <c r="B36" s="249"/>
      <c r="C36" s="250"/>
      <c r="D36" s="250"/>
      <c r="E36" s="250"/>
      <c r="F36" s="250"/>
      <c r="G36" s="250"/>
      <c r="H36" s="250"/>
      <c r="I36" s="250"/>
      <c r="J36" s="250"/>
      <c r="K36" s="250"/>
      <c r="L36" s="250"/>
      <c r="M36" s="250"/>
      <c r="N36" s="250"/>
      <c r="O36" s="250"/>
      <c r="P36" s="250"/>
      <c r="Q36" s="250"/>
      <c r="R36" s="250"/>
      <c r="S36" s="250"/>
      <c r="T36" s="251"/>
    </row>
    <row r="37" spans="2:20" ht="13.5" thickTop="1"/>
  </sheetData>
  <mergeCells count="8">
    <mergeCell ref="C17:C19"/>
    <mergeCell ref="D17:D19"/>
    <mergeCell ref="E17:S17"/>
    <mergeCell ref="E18:G18"/>
    <mergeCell ref="H18:J18"/>
    <mergeCell ref="K18:K19"/>
    <mergeCell ref="L18:N18"/>
    <mergeCell ref="O18:S18"/>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BD54"/>
  <sheetViews>
    <sheetView workbookViewId="0">
      <selection activeCell="G3" sqref="G3"/>
    </sheetView>
  </sheetViews>
  <sheetFormatPr defaultRowHeight="12.75"/>
  <cols>
    <col min="1" max="2" width="21.85546875" style="365" customWidth="1"/>
    <col min="3" max="3" width="40.28515625" style="365" bestFit="1" customWidth="1"/>
    <col min="4" max="4" width="12.28515625" style="365" bestFit="1" customWidth="1"/>
    <col min="5" max="5" width="30.5703125" style="365" bestFit="1" customWidth="1"/>
    <col min="6" max="16384" width="9.140625" style="365"/>
  </cols>
  <sheetData>
    <row r="1" spans="1:56" ht="15.75" thickBot="1">
      <c r="A1" s="803" t="s">
        <v>1763</v>
      </c>
      <c r="B1" s="803" t="s">
        <v>1764</v>
      </c>
      <c r="C1" s="803" t="s">
        <v>1765</v>
      </c>
      <c r="D1" s="803" t="s">
        <v>1766</v>
      </c>
      <c r="E1" s="803" t="s">
        <v>1767</v>
      </c>
      <c r="F1" s="803" t="s">
        <v>1768</v>
      </c>
      <c r="G1" s="803" t="s">
        <v>1769</v>
      </c>
      <c r="H1" s="803" t="s">
        <v>1770</v>
      </c>
      <c r="I1" s="803" t="s">
        <v>1771</v>
      </c>
      <c r="J1" s="803" t="s">
        <v>35</v>
      </c>
      <c r="K1" s="804">
        <v>2016</v>
      </c>
      <c r="L1" s="805">
        <v>2017</v>
      </c>
      <c r="M1" s="805">
        <v>2018</v>
      </c>
      <c r="N1" s="805">
        <v>2019</v>
      </c>
      <c r="O1" s="805">
        <v>2020</v>
      </c>
      <c r="P1" s="805">
        <v>2021</v>
      </c>
      <c r="Q1" s="805">
        <v>2022</v>
      </c>
      <c r="R1" s="805">
        <v>2023</v>
      </c>
      <c r="S1" s="805">
        <v>2024</v>
      </c>
      <c r="T1" s="805">
        <v>2025</v>
      </c>
      <c r="U1" s="805">
        <v>2026</v>
      </c>
      <c r="V1" s="805">
        <v>2027</v>
      </c>
      <c r="W1" s="805">
        <v>2028</v>
      </c>
      <c r="X1" s="805">
        <v>2029</v>
      </c>
      <c r="Y1" s="805">
        <v>2030</v>
      </c>
      <c r="Z1" s="805">
        <v>2031</v>
      </c>
      <c r="AA1" s="805">
        <v>2032</v>
      </c>
      <c r="AB1" s="805">
        <v>2033</v>
      </c>
      <c r="AC1" s="805">
        <v>2034</v>
      </c>
      <c r="AD1" s="805">
        <v>2035</v>
      </c>
      <c r="AE1" s="806" t="s">
        <v>30</v>
      </c>
      <c r="AF1" s="807" t="s">
        <v>1652</v>
      </c>
      <c r="AG1" s="808"/>
      <c r="AH1" s="808"/>
      <c r="AI1" s="808"/>
      <c r="AJ1" s="808"/>
      <c r="AK1" s="808"/>
      <c r="AL1" s="808"/>
      <c r="AM1" s="808"/>
      <c r="AN1" s="808"/>
      <c r="AO1" s="808"/>
      <c r="AP1" s="808"/>
      <c r="AQ1" s="809"/>
      <c r="AR1" s="810"/>
      <c r="AS1" s="807" t="s">
        <v>1653</v>
      </c>
      <c r="AT1" s="808"/>
      <c r="AU1" s="808"/>
      <c r="AV1" s="808"/>
      <c r="AW1" s="808"/>
      <c r="AX1" s="808"/>
      <c r="AY1" s="808"/>
      <c r="AZ1" s="808"/>
      <c r="BA1" s="808"/>
      <c r="BB1" s="808"/>
      <c r="BC1" s="808"/>
      <c r="BD1" s="809"/>
    </row>
    <row r="2" spans="1:56" ht="15">
      <c r="A2" s="803"/>
      <c r="B2" s="803"/>
      <c r="C2" s="803"/>
      <c r="D2" s="803"/>
      <c r="E2" s="803"/>
      <c r="F2" s="803" t="s">
        <v>1654</v>
      </c>
      <c r="G2" s="803" t="s">
        <v>22</v>
      </c>
      <c r="H2" s="803" t="s">
        <v>34</v>
      </c>
      <c r="I2" s="803">
        <v>1</v>
      </c>
      <c r="J2" s="803"/>
      <c r="K2" s="811" t="str">
        <f t="shared" ref="K2:AD2" si="0">CONCATENATE("aMW_",K$1)</f>
        <v>aMW_2016</v>
      </c>
      <c r="L2" s="812" t="str">
        <f t="shared" si="0"/>
        <v>aMW_2017</v>
      </c>
      <c r="M2" s="812" t="str">
        <f t="shared" si="0"/>
        <v>aMW_2018</v>
      </c>
      <c r="N2" s="812" t="str">
        <f t="shared" si="0"/>
        <v>aMW_2019</v>
      </c>
      <c r="O2" s="812" t="str">
        <f t="shared" si="0"/>
        <v>aMW_2020</v>
      </c>
      <c r="P2" s="812" t="str">
        <f t="shared" si="0"/>
        <v>aMW_2021</v>
      </c>
      <c r="Q2" s="812" t="str">
        <f t="shared" si="0"/>
        <v>aMW_2022</v>
      </c>
      <c r="R2" s="812" t="str">
        <f t="shared" si="0"/>
        <v>aMW_2023</v>
      </c>
      <c r="S2" s="812" t="str">
        <f t="shared" si="0"/>
        <v>aMW_2024</v>
      </c>
      <c r="T2" s="812" t="str">
        <f t="shared" si="0"/>
        <v>aMW_2025</v>
      </c>
      <c r="U2" s="812" t="str">
        <f t="shared" si="0"/>
        <v>aMW_2026</v>
      </c>
      <c r="V2" s="812" t="str">
        <f t="shared" si="0"/>
        <v>aMW_2027</v>
      </c>
      <c r="W2" s="812" t="str">
        <f t="shared" si="0"/>
        <v>aMW_2028</v>
      </c>
      <c r="X2" s="812" t="str">
        <f t="shared" si="0"/>
        <v>aMW_2029</v>
      </c>
      <c r="Y2" s="812" t="str">
        <f t="shared" si="0"/>
        <v>aMW_2030</v>
      </c>
      <c r="Z2" s="812" t="str">
        <f t="shared" si="0"/>
        <v>aMW_2031</v>
      </c>
      <c r="AA2" s="812" t="str">
        <f t="shared" si="0"/>
        <v>aMW_2032</v>
      </c>
      <c r="AB2" s="812" t="str">
        <f t="shared" si="0"/>
        <v>aMW_2033</v>
      </c>
      <c r="AC2" s="812" t="str">
        <f t="shared" si="0"/>
        <v>aMW_2034</v>
      </c>
      <c r="AD2" s="812" t="str">
        <f t="shared" si="0"/>
        <v>aMW_2035</v>
      </c>
      <c r="AE2" s="813" t="s">
        <v>30</v>
      </c>
      <c r="AF2" s="814" t="s">
        <v>1530</v>
      </c>
      <c r="AG2" s="814" t="s">
        <v>1531</v>
      </c>
      <c r="AH2" s="814" t="s">
        <v>1532</v>
      </c>
      <c r="AI2" s="814" t="s">
        <v>1533</v>
      </c>
      <c r="AJ2" s="814" t="s">
        <v>1534</v>
      </c>
      <c r="AK2" s="814" t="s">
        <v>1535</v>
      </c>
      <c r="AL2" s="814" t="s">
        <v>1536</v>
      </c>
      <c r="AM2" s="814" t="s">
        <v>1537</v>
      </c>
      <c r="AN2" s="814" t="s">
        <v>1538</v>
      </c>
      <c r="AO2" s="814" t="s">
        <v>1539</v>
      </c>
      <c r="AP2" s="814" t="s">
        <v>1540</v>
      </c>
      <c r="AQ2" s="814" t="s">
        <v>1541</v>
      </c>
      <c r="AR2" s="814"/>
      <c r="AS2" s="814" t="s">
        <v>1530</v>
      </c>
      <c r="AT2" s="814" t="s">
        <v>1531</v>
      </c>
      <c r="AU2" s="814" t="s">
        <v>1532</v>
      </c>
      <c r="AV2" s="814" t="s">
        <v>1533</v>
      </c>
      <c r="AW2" s="814" t="s">
        <v>1534</v>
      </c>
      <c r="AX2" s="814" t="s">
        <v>1535</v>
      </c>
      <c r="AY2" s="814" t="s">
        <v>1536</v>
      </c>
      <c r="AZ2" s="814" t="s">
        <v>1537</v>
      </c>
      <c r="BA2" s="814" t="s">
        <v>1538</v>
      </c>
      <c r="BB2" s="814" t="s">
        <v>1539</v>
      </c>
      <c r="BC2" s="814" t="s">
        <v>1540</v>
      </c>
      <c r="BD2" s="814" t="s">
        <v>1541</v>
      </c>
    </row>
    <row r="3" spans="1:56" ht="15">
      <c r="A3" s="815" t="str">
        <f>VLOOKUP(CONCATENATE($C3," - ",$B3),[2]ACHIEV!$B$17:$C$50,2,FALSE)</f>
        <v>Retro12Med</v>
      </c>
      <c r="B3" s="815" t="str">
        <f>'SC-Retro'!$C$7</f>
        <v>Retro</v>
      </c>
      <c r="C3" s="815" t="str">
        <f>'SC-Retro'!$C$8</f>
        <v>Irrigation Hardware</v>
      </c>
      <c r="D3" s="815" t="s">
        <v>1772</v>
      </c>
      <c r="E3" s="815" t="str">
        <f>'SC-Retro'!$A$9</f>
        <v>Irrigation</v>
      </c>
      <c r="F3" s="816">
        <f t="shared" ref="F3:F34" si="1">VLOOKUP(CONCATENATE($I3," - ",$J3),MeasureOutput,14,FALSE)</f>
        <v>1.8160756509132974E-4</v>
      </c>
      <c r="G3" s="817">
        <f>'SC-Retro'!A149</f>
        <v>68.27798844872909</v>
      </c>
      <c r="H3" s="817">
        <f>'SC-Retro'!B149</f>
        <v>43.585114892527585</v>
      </c>
      <c r="I3" s="227" t="str">
        <f>'SC-Retro'!C149</f>
        <v xml:space="preserve">Wheel/hand line systems: Replace worn nozzle with new flow controlling type nozzle for impact sprinklers </v>
      </c>
      <c r="J3" s="227" t="str">
        <f>'SC-Retro'!D149</f>
        <v>Idaho</v>
      </c>
      <c r="K3" s="360">
        <f>'SC-Retro'!E149</f>
        <v>6.4065749409697989E-2</v>
      </c>
      <c r="L3" s="360">
        <f>'SC-Retro'!F149</f>
        <v>6.4073760255205336E-2</v>
      </c>
      <c r="M3" s="360">
        <f>'SC-Retro'!G149</f>
        <v>6.4084893634587886E-2</v>
      </c>
      <c r="N3" s="360">
        <f>'SC-Retro'!H149</f>
        <v>6.412412059254792E-2</v>
      </c>
      <c r="O3" s="360">
        <f>'SC-Retro'!I149</f>
        <v>6.4180631568880708E-2</v>
      </c>
      <c r="P3" s="360">
        <f>'SC-Retro'!J149</f>
        <v>5.7827273880397746E-2</v>
      </c>
      <c r="Q3" s="360">
        <f>'SC-Retro'!K149</f>
        <v>4.6320654272242107E-2</v>
      </c>
      <c r="R3" s="360">
        <f>'SC-Retro'!L149</f>
        <v>3.7109902015037853E-2</v>
      </c>
      <c r="S3" s="360">
        <f>'SC-Retro'!M149</f>
        <v>2.9735049395582584E-2</v>
      </c>
      <c r="T3" s="360">
        <f>'SC-Retro'!N149</f>
        <v>2.3828965973661641E-2</v>
      </c>
      <c r="U3" s="360">
        <f>'SC-Retro'!O149</f>
        <v>1.9098037511018309E-2</v>
      </c>
      <c r="V3" s="360">
        <f>'SC-Retro'!P149</f>
        <v>1.530803584728588E-2</v>
      </c>
      <c r="W3" s="360">
        <f>'SC-Retro'!Q149</f>
        <v>1.2271308668110008E-2</v>
      </c>
      <c r="X3" s="360">
        <f>'SC-Retro'!R149</f>
        <v>9.8379383908809171E-3</v>
      </c>
      <c r="Y3" s="360">
        <f>'SC-Retro'!S149</f>
        <v>7.8877651014726217E-3</v>
      </c>
      <c r="Z3" s="360">
        <f>'SC-Retro'!T149</f>
        <v>6.3244594202575295E-3</v>
      </c>
      <c r="AA3" s="360">
        <f>'SC-Retro'!U149</f>
        <v>4.3238883314386277E-5</v>
      </c>
      <c r="AB3" s="360">
        <f>'SC-Retro'!V149</f>
        <v>1.5479743632739251E-5</v>
      </c>
      <c r="AC3" s="360">
        <f>'SC-Retro'!W149</f>
        <v>5.2902982451364844E-6</v>
      </c>
      <c r="AD3" s="360">
        <f>'SC-Retro'!X149</f>
        <v>1.7294693603533266E-6</v>
      </c>
      <c r="AE3" s="360">
        <f>'SC-Retro'!Y149</f>
        <v>0.60423636226317301</v>
      </c>
      <c r="AF3" s="818">
        <f t="shared" ref="AF3:AF34" si="2">VLOOKUP(CONCATENATE($I3," - ",$J3),MeasureOutput,15,FALSE)</f>
        <v>0</v>
      </c>
      <c r="AG3" s="818">
        <f t="shared" ref="AG3:AG34" si="3">VLOOKUP(CONCATENATE($I3," - ",$J3),MeasureOutput,16,FALSE)</f>
        <v>2.3919029160583815E-3</v>
      </c>
      <c r="AH3" s="818">
        <f t="shared" ref="AH3:AH34" si="4">VLOOKUP(CONCATENATE($I3," - ",$J3),MeasureOutput,17,FALSE)</f>
        <v>0.13169613053985824</v>
      </c>
      <c r="AI3" s="818">
        <f t="shared" ref="AI3:AI34" si="5">VLOOKUP(CONCATENATE($I3," - ",$J3),MeasureOutput,18,FALSE)</f>
        <v>1.5863507733209261</v>
      </c>
      <c r="AJ3" s="818">
        <f t="shared" ref="AJ3:AJ34" si="6">VLOOKUP(CONCATENATE($I3," - ",$J3),MeasureOutput,19,FALSE)</f>
        <v>6.2834593237426457</v>
      </c>
      <c r="AK3" s="818">
        <f t="shared" ref="AK3:AK34" si="7">VLOOKUP(CONCATENATE($I3," - ",$J3),MeasureOutput,20,FALSE)</f>
        <v>8.32765721220008</v>
      </c>
      <c r="AL3" s="818">
        <f t="shared" ref="AL3:AL34" si="8">VLOOKUP(CONCATENATE($I3," - ",$J3),MeasureOutput,21,FALSE)</f>
        <v>8.0622012637165614</v>
      </c>
      <c r="AM3" s="818">
        <f t="shared" ref="AM3:AM34" si="9">VLOOKUP(CONCATENATE($I3," - ",$J3),MeasureOutput,22,FALSE)</f>
        <v>8.1775705904885001</v>
      </c>
      <c r="AN3" s="818">
        <f t="shared" ref="AN3:AN34" si="10">VLOOKUP(CONCATENATE($I3," - ",$J3),MeasureOutput,23,FALSE)</f>
        <v>3.844371616867361</v>
      </c>
      <c r="AO3" s="818">
        <f t="shared" ref="AO3:AO34" si="11">VLOOKUP(CONCATENATE($I3," - ",$J3),MeasureOutput,24,FALSE)</f>
        <v>2.2106200483807465</v>
      </c>
      <c r="AP3" s="818">
        <f t="shared" ref="AP3:AP34" si="12">VLOOKUP(CONCATENATE($I3," - ",$J3),MeasureOutput,25,FALSE)</f>
        <v>0.62479599880461412</v>
      </c>
      <c r="AQ3" s="818">
        <f t="shared" ref="AQ3:AQ34" si="13">VLOOKUP(CONCATENATE($I3," - ",$J3),MeasureOutput,26,FALSE)</f>
        <v>4.2813741335925434E-3</v>
      </c>
      <c r="AR3" s="818"/>
      <c r="AS3" s="818">
        <f t="shared" ref="AS3:AS34" si="14">VLOOKUP(CONCATENATE($I3," - ",$J3),MeasureOutput,28,FALSE)</f>
        <v>0</v>
      </c>
      <c r="AT3" s="818">
        <f t="shared" ref="AT3:AT34" si="15">VLOOKUP(CONCATENATE($I3," - ",$J3),MeasureOutput,29,FALSE)</f>
        <v>1.635770332766103E-3</v>
      </c>
      <c r="AU3" s="818">
        <f t="shared" ref="AU3:AU34" si="16">VLOOKUP(CONCATENATE($I3," - ",$J3),MeasureOutput,30,FALSE)</f>
        <v>4.856021178010464E-2</v>
      </c>
      <c r="AV3" s="818">
        <f t="shared" ref="AV3:AV34" si="17">VLOOKUP(CONCATENATE($I3," - ",$J3),MeasureOutput,31,FALSE)</f>
        <v>1.0454762891727987</v>
      </c>
      <c r="AW3" s="818">
        <f t="shared" ref="AW3:AW34" si="18">VLOOKUP(CONCATENATE($I3," - ",$J3),MeasureOutput,32,FALSE)</f>
        <v>4.0743578128121536</v>
      </c>
      <c r="AX3" s="818">
        <f t="shared" ref="AX3:AX34" si="19">VLOOKUP(CONCATENATE($I3," - ",$J3),MeasureOutput,33,FALSE)</f>
        <v>6.1214550398423127</v>
      </c>
      <c r="AY3" s="818">
        <f t="shared" ref="AY3:AY34" si="20">VLOOKUP(CONCATENATE($I3," - ",$J3),MeasureOutput,34,FALSE)</f>
        <v>6.9435219059098747</v>
      </c>
      <c r="AZ3" s="818">
        <f t="shared" ref="AZ3:AZ34" si="21">VLOOKUP(CONCATENATE($I3," - ",$J3),MeasureOutput,35,FALSE)</f>
        <v>5.9469108415837288</v>
      </c>
      <c r="BA3" s="818">
        <f t="shared" ref="BA3:BA34" si="22">VLOOKUP(CONCATENATE($I3," - ",$J3),MeasureOutput,36,FALSE)</f>
        <v>3.0770427894597505</v>
      </c>
      <c r="BB3" s="818">
        <f t="shared" ref="BB3:BB34" si="23">VLOOKUP(CONCATENATE($I3," - ",$J3),MeasureOutput,37,FALSE)</f>
        <v>1.4521839928009457</v>
      </c>
      <c r="BC3" s="818">
        <f t="shared" ref="BC3:BC34" si="24">VLOOKUP(CONCATENATE($I3," - ",$J3),MeasureOutput,38,FALSE)</f>
        <v>0.30828363911832324</v>
      </c>
      <c r="BD3" s="818">
        <f t="shared" ref="BD3:BD34" si="25">VLOOKUP(CONCATENATE($I3," - ",$J3),MeasureOutput,39,FALSE)</f>
        <v>3.1639208053882745E-3</v>
      </c>
    </row>
    <row r="4" spans="1:56" ht="15">
      <c r="A4" s="815" t="str">
        <f>VLOOKUP(CONCATENATE($C4," - ",$B4),[2]ACHIEV!$B$17:$C$50,2,FALSE)</f>
        <v>Retro12Med</v>
      </c>
      <c r="B4" s="815" t="str">
        <f>'SC-Retro'!$C$7</f>
        <v>Retro</v>
      </c>
      <c r="C4" s="815" t="str">
        <f>'SC-Retro'!$C$8</f>
        <v>Irrigation Hardware</v>
      </c>
      <c r="D4" s="815" t="s">
        <v>1772</v>
      </c>
      <c r="E4" s="815" t="str">
        <f>'SC-Retro'!$A$9</f>
        <v>Irrigation</v>
      </c>
      <c r="F4" s="816">
        <f t="shared" si="1"/>
        <v>1.8160756509132974E-4</v>
      </c>
      <c r="G4" s="817">
        <f>'SC-Retro'!A150</f>
        <v>68.27798844872909</v>
      </c>
      <c r="H4" s="817">
        <f>'SC-Retro'!B150</f>
        <v>16.185715897644169</v>
      </c>
      <c r="I4" s="227" t="str">
        <f>'SC-Retro'!C150</f>
        <v xml:space="preserve">Wheel/hand line systems: Replace worn nozzle with new nozzle </v>
      </c>
      <c r="J4" s="227" t="str">
        <f>'SC-Retro'!D150</f>
        <v>Idaho</v>
      </c>
      <c r="K4" s="360">
        <f>'SC-Retro'!E150</f>
        <v>6.4065749409697989E-2</v>
      </c>
      <c r="L4" s="360">
        <f>'SC-Retro'!F150</f>
        <v>6.4073760255205336E-2</v>
      </c>
      <c r="M4" s="360">
        <f>'SC-Retro'!G150</f>
        <v>6.4084893634587886E-2</v>
      </c>
      <c r="N4" s="360">
        <f>'SC-Retro'!H150</f>
        <v>6.412412059254792E-2</v>
      </c>
      <c r="O4" s="360">
        <f>'SC-Retro'!I150</f>
        <v>6.4180631568880708E-2</v>
      </c>
      <c r="P4" s="360">
        <f>'SC-Retro'!J150</f>
        <v>5.7827273880397746E-2</v>
      </c>
      <c r="Q4" s="360">
        <f>'SC-Retro'!K150</f>
        <v>4.6320654272242107E-2</v>
      </c>
      <c r="R4" s="360">
        <f>'SC-Retro'!L150</f>
        <v>3.7109902015037853E-2</v>
      </c>
      <c r="S4" s="360">
        <f>'SC-Retro'!M150</f>
        <v>2.9735049395582584E-2</v>
      </c>
      <c r="T4" s="360">
        <f>'SC-Retro'!N150</f>
        <v>2.3828965973661641E-2</v>
      </c>
      <c r="U4" s="360">
        <f>'SC-Retro'!O150</f>
        <v>1.9098037511018309E-2</v>
      </c>
      <c r="V4" s="360">
        <f>'SC-Retro'!P150</f>
        <v>1.530803584728588E-2</v>
      </c>
      <c r="W4" s="360">
        <f>'SC-Retro'!Q150</f>
        <v>1.2271308668110008E-2</v>
      </c>
      <c r="X4" s="360">
        <f>'SC-Retro'!R150</f>
        <v>9.8379383908809171E-3</v>
      </c>
      <c r="Y4" s="360">
        <f>'SC-Retro'!S150</f>
        <v>7.8877651014726217E-3</v>
      </c>
      <c r="Z4" s="360">
        <f>'SC-Retro'!T150</f>
        <v>6.3244594202575295E-3</v>
      </c>
      <c r="AA4" s="360">
        <f>'SC-Retro'!U150</f>
        <v>4.3238883314386277E-5</v>
      </c>
      <c r="AB4" s="360">
        <f>'SC-Retro'!V150</f>
        <v>1.5479743632739251E-5</v>
      </c>
      <c r="AC4" s="360">
        <f>'SC-Retro'!W150</f>
        <v>5.2902982451364844E-6</v>
      </c>
      <c r="AD4" s="360">
        <f>'SC-Retro'!X150</f>
        <v>1.7294693603533266E-6</v>
      </c>
      <c r="AE4" s="360">
        <f>'SC-Retro'!Y150</f>
        <v>0.60423636226317301</v>
      </c>
      <c r="AF4" s="818">
        <f t="shared" si="2"/>
        <v>0</v>
      </c>
      <c r="AG4" s="818">
        <f t="shared" si="3"/>
        <v>2.3919029160583815E-3</v>
      </c>
      <c r="AH4" s="818">
        <f t="shared" si="4"/>
        <v>0.13169613053985824</v>
      </c>
      <c r="AI4" s="818">
        <f t="shared" si="5"/>
        <v>1.5863507733209261</v>
      </c>
      <c r="AJ4" s="818">
        <f t="shared" si="6"/>
        <v>6.2834593237426457</v>
      </c>
      <c r="AK4" s="818">
        <f t="shared" si="7"/>
        <v>8.32765721220008</v>
      </c>
      <c r="AL4" s="818">
        <f t="shared" si="8"/>
        <v>8.0622012637165614</v>
      </c>
      <c r="AM4" s="818">
        <f t="shared" si="9"/>
        <v>8.1775705904885001</v>
      </c>
      <c r="AN4" s="818">
        <f t="shared" si="10"/>
        <v>3.844371616867361</v>
      </c>
      <c r="AO4" s="818">
        <f t="shared" si="11"/>
        <v>2.2106200483807465</v>
      </c>
      <c r="AP4" s="818">
        <f t="shared" si="12"/>
        <v>0.62479599880461412</v>
      </c>
      <c r="AQ4" s="818">
        <f t="shared" si="13"/>
        <v>4.2813741335925434E-3</v>
      </c>
      <c r="AR4" s="818"/>
      <c r="AS4" s="818">
        <f t="shared" si="14"/>
        <v>0</v>
      </c>
      <c r="AT4" s="818">
        <f t="shared" si="15"/>
        <v>1.635770332766103E-3</v>
      </c>
      <c r="AU4" s="818">
        <f t="shared" si="16"/>
        <v>4.856021178010464E-2</v>
      </c>
      <c r="AV4" s="818">
        <f t="shared" si="17"/>
        <v>1.0454762891727987</v>
      </c>
      <c r="AW4" s="818">
        <f t="shared" si="18"/>
        <v>4.0743578128121536</v>
      </c>
      <c r="AX4" s="818">
        <f t="shared" si="19"/>
        <v>6.1214550398423127</v>
      </c>
      <c r="AY4" s="818">
        <f t="shared" si="20"/>
        <v>6.9435219059098747</v>
      </c>
      <c r="AZ4" s="818">
        <f t="shared" si="21"/>
        <v>5.9469108415837288</v>
      </c>
      <c r="BA4" s="818">
        <f t="shared" si="22"/>
        <v>3.0770427894597505</v>
      </c>
      <c r="BB4" s="818">
        <f t="shared" si="23"/>
        <v>1.4521839928009457</v>
      </c>
      <c r="BC4" s="818">
        <f t="shared" si="24"/>
        <v>0.30828363911832324</v>
      </c>
      <c r="BD4" s="818">
        <f t="shared" si="25"/>
        <v>3.1639208053882745E-3</v>
      </c>
    </row>
    <row r="5" spans="1:56" ht="15">
      <c r="A5" s="815" t="str">
        <f>VLOOKUP(CONCATENATE($C5," - ",$B5),[2]ACHIEV!$B$17:$C$50,2,FALSE)</f>
        <v>Retro12Med</v>
      </c>
      <c r="B5" s="815" t="str">
        <f>'SC-Retro'!$C$7</f>
        <v>Retro</v>
      </c>
      <c r="C5" s="815" t="str">
        <f>'SC-Retro'!$C$8</f>
        <v>Irrigation Hardware</v>
      </c>
      <c r="D5" s="815" t="s">
        <v>1772</v>
      </c>
      <c r="E5" s="815" t="str">
        <f>'SC-Retro'!$A$9</f>
        <v>Irrigation</v>
      </c>
      <c r="F5" s="816">
        <f t="shared" si="1"/>
        <v>1.2900973932756995E-4</v>
      </c>
      <c r="G5" s="817">
        <f>'SC-Retro'!A151</f>
        <v>48.503075778542595</v>
      </c>
      <c r="H5" s="817">
        <f>'SC-Retro'!B151</f>
        <v>109.66482821351977</v>
      </c>
      <c r="I5" s="227" t="str">
        <f>'SC-Retro'!C151</f>
        <v xml:space="preserve">Wheel/hand line systems: Rebuild or replace leaking impact sprinkler with new or rebuilt impact sprinkler </v>
      </c>
      <c r="J5" s="227" t="str">
        <f>'SC-Retro'!D151</f>
        <v>Idaho</v>
      </c>
      <c r="K5" s="360">
        <f>'SC-Retro'!E151</f>
        <v>9.1021600636670252E-2</v>
      </c>
      <c r="L5" s="360">
        <f>'SC-Retro'!F151</f>
        <v>9.1032982068827845E-2</v>
      </c>
      <c r="M5" s="360">
        <f>'SC-Retro'!G151</f>
        <v>9.1048799850110856E-2</v>
      </c>
      <c r="N5" s="360">
        <f>'SC-Retro'!H151</f>
        <v>9.1104531665230942E-2</v>
      </c>
      <c r="O5" s="360">
        <f>'SC-Retro'!I151</f>
        <v>9.1184819799947928E-2</v>
      </c>
      <c r="P5" s="360">
        <f>'SC-Retro'!J151</f>
        <v>8.2158268303221427E-2</v>
      </c>
      <c r="Q5" s="360">
        <f>'SC-Retro'!K151</f>
        <v>6.5810204879287168E-2</v>
      </c>
      <c r="R5" s="360">
        <f>'SC-Retro'!L151</f>
        <v>5.2724001701405586E-2</v>
      </c>
      <c r="S5" s="360">
        <f>'SC-Retro'!M151</f>
        <v>4.2246158297286354E-2</v>
      </c>
      <c r="T5" s="360">
        <f>'SC-Retro'!N151</f>
        <v>3.3855073021452992E-2</v>
      </c>
      <c r="U5" s="360">
        <f>'SC-Retro'!O151</f>
        <v>2.7133592587132299E-2</v>
      </c>
      <c r="V5" s="360">
        <f>'SC-Retro'!P151</f>
        <v>2.1748936651204871E-2</v>
      </c>
      <c r="W5" s="360">
        <f>'SC-Retro'!Q151</f>
        <v>1.7434497639840917E-2</v>
      </c>
      <c r="X5" s="360">
        <f>'SC-Retro'!R151</f>
        <v>1.397727970957564E-2</v>
      </c>
      <c r="Y5" s="360">
        <f>'SC-Retro'!S151</f>
        <v>1.12065653113772E-2</v>
      </c>
      <c r="Z5" s="360">
        <f>'SC-Retro'!T151</f>
        <v>8.9854941977212978E-3</v>
      </c>
      <c r="AA5" s="360">
        <f>'SC-Retro'!U151</f>
        <v>6.1431769787771939E-5</v>
      </c>
      <c r="AB5" s="360">
        <f>'SC-Retro'!V151</f>
        <v>2.1992890989017987E-5</v>
      </c>
      <c r="AC5" s="360">
        <f>'SC-Retro'!W151</f>
        <v>7.5162066869508674E-6</v>
      </c>
      <c r="AD5" s="360">
        <f>'SC-Retro'!X151</f>
        <v>2.4571486462251331E-6</v>
      </c>
      <c r="AE5" s="360">
        <f>'SC-Retro'!Y151</f>
        <v>0.85847057691246653</v>
      </c>
      <c r="AF5" s="818">
        <f t="shared" si="2"/>
        <v>0</v>
      </c>
      <c r="AG5" s="818">
        <f t="shared" si="3"/>
        <v>1.6991515278692447E-3</v>
      </c>
      <c r="AH5" s="818">
        <f t="shared" si="4"/>
        <v>9.3553831101983495E-2</v>
      </c>
      <c r="AI5" s="818">
        <f t="shared" si="5"/>
        <v>1.1269062477948077</v>
      </c>
      <c r="AJ5" s="818">
        <f t="shared" si="6"/>
        <v>4.4636215954096761</v>
      </c>
      <c r="AK5" s="818">
        <f t="shared" si="7"/>
        <v>5.9157716564010121</v>
      </c>
      <c r="AL5" s="818">
        <f t="shared" si="8"/>
        <v>5.7271979992431215</v>
      </c>
      <c r="AM5" s="818">
        <f t="shared" si="9"/>
        <v>5.8091536532697594</v>
      </c>
      <c r="AN5" s="818">
        <f t="shared" si="10"/>
        <v>2.7309511028406215</v>
      </c>
      <c r="AO5" s="818">
        <f t="shared" si="11"/>
        <v>1.5703724459412165</v>
      </c>
      <c r="AP5" s="818">
        <f t="shared" si="12"/>
        <v>0.44384037029600693</v>
      </c>
      <c r="AQ5" s="818">
        <f t="shared" si="13"/>
        <v>3.0413874039928106E-3</v>
      </c>
      <c r="AR5" s="818"/>
      <c r="AS5" s="818">
        <f t="shared" si="14"/>
        <v>0</v>
      </c>
      <c r="AT5" s="818">
        <f t="shared" si="15"/>
        <v>1.1620127395232738E-3</v>
      </c>
      <c r="AU5" s="818">
        <f t="shared" si="16"/>
        <v>3.4496031375633382E-2</v>
      </c>
      <c r="AV5" s="818">
        <f t="shared" si="17"/>
        <v>0.74268174605781967</v>
      </c>
      <c r="AW5" s="818">
        <f t="shared" si="18"/>
        <v>2.8943278827278247</v>
      </c>
      <c r="AX5" s="818">
        <f t="shared" si="19"/>
        <v>4.3485375655928502</v>
      </c>
      <c r="AY5" s="818">
        <f t="shared" si="20"/>
        <v>4.9325145163761182</v>
      </c>
      <c r="AZ5" s="818">
        <f t="shared" si="21"/>
        <v>4.2245454757966163</v>
      </c>
      <c r="BA5" s="818">
        <f t="shared" si="22"/>
        <v>2.1858587662267661</v>
      </c>
      <c r="BB5" s="818">
        <f t="shared" si="23"/>
        <v>1.031597325104294</v>
      </c>
      <c r="BC5" s="818">
        <f t="shared" si="24"/>
        <v>0.21899744045138511</v>
      </c>
      <c r="BD5" s="818">
        <f t="shared" si="25"/>
        <v>2.2475748636954966E-3</v>
      </c>
    </row>
    <row r="6" spans="1:56" ht="15">
      <c r="A6" s="815" t="str">
        <f>VLOOKUP(CONCATENATE($C6," - ",$B6),[2]ACHIEV!$B$17:$C$50,2,FALSE)</f>
        <v>Retro12Med</v>
      </c>
      <c r="B6" s="815" t="str">
        <f>'SC-Retro'!$C$7</f>
        <v>Retro</v>
      </c>
      <c r="C6" s="815" t="str">
        <f>'SC-Retro'!$C$8</f>
        <v>Irrigation Hardware</v>
      </c>
      <c r="D6" s="815" t="s">
        <v>1772</v>
      </c>
      <c r="E6" s="815" t="str">
        <f>'SC-Retro'!$A$9</f>
        <v>Irrigation</v>
      </c>
      <c r="F6" s="816">
        <f t="shared" si="1"/>
        <v>7.7193468841383565E-4</v>
      </c>
      <c r="G6" s="817">
        <f>'SC-Retro'!A152</f>
        <v>290.22000108964318</v>
      </c>
      <c r="H6" s="817">
        <f>'SC-Retro'!B152</f>
        <v>5.6773009492221416</v>
      </c>
      <c r="I6" s="227" t="str">
        <f>'SC-Retro'!C152</f>
        <v xml:space="preserve">Wheel/hand line systems: Replace leaking gasket with new gasket </v>
      </c>
      <c r="J6" s="227" t="str">
        <f>'SC-Retro'!D152</f>
        <v>Idaho</v>
      </c>
      <c r="K6" s="360">
        <f>'SC-Retro'!E152</f>
        <v>0.54463121383411062</v>
      </c>
      <c r="L6" s="360">
        <f>'SC-Retro'!F152</f>
        <v>0.54469931506687086</v>
      </c>
      <c r="M6" s="360">
        <f>'SC-Retro'!G152</f>
        <v>0.54479396136357483</v>
      </c>
      <c r="N6" s="360">
        <f>'SC-Retro'!H152</f>
        <v>0.54512743480181047</v>
      </c>
      <c r="O6" s="360">
        <f>'SC-Retro'!I152</f>
        <v>0.54560784191354594</v>
      </c>
      <c r="P6" s="360">
        <f>'SC-Retro'!J152</f>
        <v>0.49159712726986526</v>
      </c>
      <c r="Q6" s="360">
        <f>'SC-Retro'!K152</f>
        <v>0.39377786718065849</v>
      </c>
      <c r="R6" s="360">
        <f>'SC-Retro'!L152</f>
        <v>0.31547607209688699</v>
      </c>
      <c r="S6" s="360">
        <f>'SC-Retro'!M152</f>
        <v>0.25278149705499131</v>
      </c>
      <c r="T6" s="360">
        <f>'SC-Retro'!N152</f>
        <v>0.2025731187448267</v>
      </c>
      <c r="U6" s="360">
        <f>'SC-Retro'!O152</f>
        <v>0.16235488458831274</v>
      </c>
      <c r="V6" s="360">
        <f>'SC-Retro'!P152</f>
        <v>0.13013559072894157</v>
      </c>
      <c r="W6" s="360">
        <f>'SC-Retro'!Q152</f>
        <v>0.10431998059534293</v>
      </c>
      <c r="X6" s="360">
        <f>'SC-Retro'!R152</f>
        <v>8.3633585446509964E-2</v>
      </c>
      <c r="Y6" s="360">
        <f>'SC-Retro'!S152</f>
        <v>6.7054910326282302E-2</v>
      </c>
      <c r="Z6" s="360">
        <f>'SC-Retro'!T152</f>
        <v>5.3765046731475863E-2</v>
      </c>
      <c r="AA6" s="360">
        <f>'SC-Retro'!U152</f>
        <v>3.6757933406427769E-4</v>
      </c>
      <c r="AB6" s="360">
        <f>'SC-Retro'!V152</f>
        <v>1.3159530079989064E-4</v>
      </c>
      <c r="AC6" s="360">
        <f>'SC-Retro'!W152</f>
        <v>4.4973508955114115E-5</v>
      </c>
      <c r="AD6" s="360">
        <f>'SC-Retro'!X152</f>
        <v>1.4702442501602129E-5</v>
      </c>
      <c r="AE6" s="360">
        <f>'SC-Retro'!Y152</f>
        <v>5.1366913905526523</v>
      </c>
      <c r="AF6" s="818">
        <f t="shared" si="2"/>
        <v>0</v>
      </c>
      <c r="AG6" s="818">
        <f t="shared" si="3"/>
        <v>1.0166937876707548E-2</v>
      </c>
      <c r="AH6" s="818">
        <f t="shared" si="4"/>
        <v>0.55978291125960788</v>
      </c>
      <c r="AI6" s="818">
        <f t="shared" si="5"/>
        <v>6.7428864502572363</v>
      </c>
      <c r="AJ6" s="818">
        <f t="shared" si="6"/>
        <v>26.708249806636815</v>
      </c>
      <c r="AK6" s="818">
        <f t="shared" si="7"/>
        <v>35.397244999590626</v>
      </c>
      <c r="AL6" s="818">
        <f t="shared" si="8"/>
        <v>34.268907340434332</v>
      </c>
      <c r="AM6" s="818">
        <f t="shared" si="9"/>
        <v>34.759292117463993</v>
      </c>
      <c r="AN6" s="818">
        <f t="shared" si="10"/>
        <v>16.340749928127188</v>
      </c>
      <c r="AO6" s="818">
        <f t="shared" si="11"/>
        <v>9.3963833356281192</v>
      </c>
      <c r="AP6" s="818">
        <f t="shared" si="12"/>
        <v>2.6557357586778028</v>
      </c>
      <c r="AQ6" s="818">
        <f t="shared" si="13"/>
        <v>1.8198257358584009E-2</v>
      </c>
      <c r="AR6" s="818"/>
      <c r="AS6" s="818">
        <f t="shared" si="14"/>
        <v>0</v>
      </c>
      <c r="AT6" s="818">
        <f t="shared" si="15"/>
        <v>6.9529474804939278E-3</v>
      </c>
      <c r="AU6" s="818">
        <f t="shared" si="16"/>
        <v>0.20640831746702695</v>
      </c>
      <c r="AV6" s="818">
        <f t="shared" si="17"/>
        <v>4.4438645114855237</v>
      </c>
      <c r="AW6" s="818">
        <f t="shared" si="18"/>
        <v>17.318321112548087</v>
      </c>
      <c r="AX6" s="818">
        <f t="shared" si="19"/>
        <v>26.019640131420807</v>
      </c>
      <c r="AY6" s="818">
        <f t="shared" si="20"/>
        <v>29.513888456340936</v>
      </c>
      <c r="AZ6" s="818">
        <f t="shared" si="21"/>
        <v>25.277728740067566</v>
      </c>
      <c r="BA6" s="818">
        <f t="shared" si="22"/>
        <v>13.079169172953424</v>
      </c>
      <c r="BB6" s="818">
        <f t="shared" si="23"/>
        <v>6.1726018816375614</v>
      </c>
      <c r="BC6" s="818">
        <f t="shared" si="24"/>
        <v>1.3103795251382264</v>
      </c>
      <c r="BD6" s="818">
        <f t="shared" si="25"/>
        <v>1.3448449792524922E-2</v>
      </c>
    </row>
    <row r="7" spans="1:56" ht="15">
      <c r="A7" s="815" t="str">
        <f>VLOOKUP(CONCATENATE($C7," - ",$B7),[2]ACHIEV!$B$17:$C$50,2,FALSE)</f>
        <v>Retro12Med</v>
      </c>
      <c r="B7" s="815" t="str">
        <f>'SC-Retro'!$C$7</f>
        <v>Retro</v>
      </c>
      <c r="C7" s="815" t="str">
        <f>'SC-Retro'!$C$8</f>
        <v>Irrigation Hardware</v>
      </c>
      <c r="D7" s="815" t="s">
        <v>1772</v>
      </c>
      <c r="E7" s="815" t="str">
        <f>'SC-Retro'!$A$9</f>
        <v>Irrigation</v>
      </c>
      <c r="F7" s="816">
        <f t="shared" si="1"/>
        <v>8.0005557508272865E-4</v>
      </c>
      <c r="G7" s="817">
        <f>'SC-Retro'!A153</f>
        <v>300.79245479872253</v>
      </c>
      <c r="H7" s="817">
        <f>'SC-Retro'!B153</f>
        <v>19.471265328815996</v>
      </c>
      <c r="I7" s="365" t="str">
        <f>'SC-Retro'!C153</f>
        <v xml:space="preserve">Wheel/hand line systems: Replace leaking drain with new drain </v>
      </c>
      <c r="J7" s="365" t="str">
        <f>'SC-Retro'!D153</f>
        <v>Idaho</v>
      </c>
      <c r="K7" s="360">
        <f>'SC-Retro'!E153</f>
        <v>0.564471639287773</v>
      </c>
      <c r="L7" s="360">
        <f>'SC-Retro'!F153</f>
        <v>0.56454222138721422</v>
      </c>
      <c r="M7" s="360">
        <f>'SC-Retro'!G153</f>
        <v>0.56464031556341254</v>
      </c>
      <c r="N7" s="360">
        <f>'SC-Retro'!H153</f>
        <v>0.56498593713918432</v>
      </c>
      <c r="O7" s="360">
        <f>'SC-Retro'!I153</f>
        <v>0.56548384505007654</v>
      </c>
      <c r="P7" s="360">
        <f>'SC-Retro'!J153</f>
        <v>0.50950556863180863</v>
      </c>
      <c r="Q7" s="360">
        <f>'SC-Retro'!K153</f>
        <v>0.40812284084476369</v>
      </c>
      <c r="R7" s="360">
        <f>'SC-Retro'!L153</f>
        <v>0.32696858176556515</v>
      </c>
      <c r="S7" s="360">
        <f>'SC-Retro'!M153</f>
        <v>0.26199009972224918</v>
      </c>
      <c r="T7" s="360">
        <f>'SC-Retro'!N153</f>
        <v>0.20995267533152792</v>
      </c>
      <c r="U7" s="360">
        <f>'SC-Retro'!O153</f>
        <v>0.16826932706404915</v>
      </c>
      <c r="V7" s="360">
        <f>'SC-Retro'!P153</f>
        <v>0.13487631329706143</v>
      </c>
      <c r="W7" s="360">
        <f>'SC-Retro'!Q153</f>
        <v>0.10812026369656054</v>
      </c>
      <c r="X7" s="360">
        <f>'SC-Retro'!R153</f>
        <v>8.6680281771152459E-2</v>
      </c>
      <c r="Y7" s="360">
        <f>'SC-Retro'!S153</f>
        <v>6.9497660421828297E-2</v>
      </c>
      <c r="Z7" s="360">
        <f>'SC-Retro'!T153</f>
        <v>5.5723659044896123E-2</v>
      </c>
      <c r="AA7" s="360">
        <f>'SC-Retro'!U153</f>
        <v>3.8096991872149579E-4</v>
      </c>
      <c r="AB7" s="360">
        <f>'SC-Retro'!V153</f>
        <v>1.3638919929350097E-4</v>
      </c>
      <c r="AC7" s="360">
        <f>'SC-Retro'!W153</f>
        <v>4.6611853451625721E-5</v>
      </c>
      <c r="AD7" s="360">
        <f>'SC-Retro'!X153</f>
        <v>1.5238039263282852E-5</v>
      </c>
      <c r="AE7" s="360">
        <f>'SC-Retro'!Y153</f>
        <v>5.3238164396207548</v>
      </c>
      <c r="AF7" s="818">
        <f t="shared" si="2"/>
        <v>0</v>
      </c>
      <c r="AG7" s="818">
        <f t="shared" si="3"/>
        <v>1.0537310282678887E-2</v>
      </c>
      <c r="AH7" s="818">
        <f t="shared" si="4"/>
        <v>0.58017529942791279</v>
      </c>
      <c r="AI7" s="818">
        <f t="shared" si="5"/>
        <v>6.9885237412546379</v>
      </c>
      <c r="AJ7" s="818">
        <f t="shared" si="6"/>
        <v>27.681207334274532</v>
      </c>
      <c r="AK7" s="818">
        <f t="shared" si="7"/>
        <v>36.686734810017299</v>
      </c>
      <c r="AL7" s="818">
        <f t="shared" si="8"/>
        <v>35.517292824402276</v>
      </c>
      <c r="AM7" s="818">
        <f t="shared" si="9"/>
        <v>36.025541877964628</v>
      </c>
      <c r="AN7" s="818">
        <f t="shared" si="10"/>
        <v>16.936028756388936</v>
      </c>
      <c r="AO7" s="818">
        <f t="shared" si="11"/>
        <v>9.738685132457098</v>
      </c>
      <c r="AP7" s="818">
        <f t="shared" si="12"/>
        <v>2.752481824651027</v>
      </c>
      <c r="AQ7" s="818">
        <f t="shared" si="13"/>
        <v>1.8861203512491966E-2</v>
      </c>
      <c r="AR7" s="818"/>
      <c r="AS7" s="818">
        <f t="shared" si="14"/>
        <v>0</v>
      </c>
      <c r="AT7" s="818">
        <f t="shared" si="15"/>
        <v>7.2062371059614574E-3</v>
      </c>
      <c r="AU7" s="818">
        <f t="shared" si="16"/>
        <v>0.21392758689503252</v>
      </c>
      <c r="AV7" s="818">
        <f t="shared" si="17"/>
        <v>4.6057505002550894</v>
      </c>
      <c r="AW7" s="818">
        <f t="shared" si="18"/>
        <v>17.949211980144877</v>
      </c>
      <c r="AX7" s="818">
        <f t="shared" si="19"/>
        <v>26.967512227704685</v>
      </c>
      <c r="AY7" s="818">
        <f t="shared" si="20"/>
        <v>30.589052877497469</v>
      </c>
      <c r="AZ7" s="818">
        <f t="shared" si="21"/>
        <v>26.19857367140116</v>
      </c>
      <c r="BA7" s="818">
        <f t="shared" si="22"/>
        <v>13.555631546721921</v>
      </c>
      <c r="BB7" s="818">
        <f t="shared" si="23"/>
        <v>6.397464218530847</v>
      </c>
      <c r="BC7" s="818">
        <f t="shared" si="24"/>
        <v>1.3581154731047145</v>
      </c>
      <c r="BD7" s="818">
        <f t="shared" si="25"/>
        <v>1.3938364727252076E-2</v>
      </c>
    </row>
    <row r="8" spans="1:56" ht="15">
      <c r="A8" s="815" t="str">
        <f>VLOOKUP(CONCATENATE($C8," - ",$B8),[2]ACHIEV!$B$17:$C$50,2,FALSE)</f>
        <v>Retro12Med</v>
      </c>
      <c r="B8" s="815" t="str">
        <f>'SC-Retro'!$C$7</f>
        <v>Retro</v>
      </c>
      <c r="C8" s="815" t="str">
        <f>'SC-Retro'!$C$8</f>
        <v>Irrigation Hardware</v>
      </c>
      <c r="D8" s="815" t="s">
        <v>1772</v>
      </c>
      <c r="E8" s="815" t="str">
        <f>'SC-Retro'!$A$9</f>
        <v>Irrigation</v>
      </c>
      <c r="F8" s="816">
        <f t="shared" si="1"/>
        <v>3.8409438159448049E-4</v>
      </c>
      <c r="G8" s="817">
        <f>'SC-Retro'!A154</f>
        <v>144.40583318509411</v>
      </c>
      <c r="H8" s="817">
        <f>'SC-Retro'!B154</f>
        <v>35.943897237065414</v>
      </c>
      <c r="I8" s="365" t="str">
        <f>'SC-Retro'!C154</f>
        <v xml:space="preserve">Wheel/hand line systems: Cut and pipe press repair of leaking hand-lines, wheel-lines, and portable main-lines </v>
      </c>
      <c r="J8" s="365" t="str">
        <f>'SC-Retro'!D154</f>
        <v>Idaho</v>
      </c>
      <c r="K8" s="360">
        <f>'SC-Retro'!E154</f>
        <v>0.2709941558715353</v>
      </c>
      <c r="L8" s="360">
        <f>'SC-Retro'!F154</f>
        <v>0.27102804125235241</v>
      </c>
      <c r="M8" s="360">
        <f>'SC-Retro'!G154</f>
        <v>0.27107513475825173</v>
      </c>
      <c r="N8" s="360">
        <f>'SC-Retro'!H154</f>
        <v>0.27124106236321599</v>
      </c>
      <c r="O8" s="360">
        <f>'SC-Retro'!I154</f>
        <v>0.27148010029643127</v>
      </c>
      <c r="P8" s="360">
        <f>'SC-Retro'!J154</f>
        <v>0.24460579039442701</v>
      </c>
      <c r="Q8" s="360">
        <f>'SC-Retro'!K154</f>
        <v>0.19593350143537561</v>
      </c>
      <c r="R8" s="360">
        <f>'SC-Retro'!L154</f>
        <v>0.15697258931178992</v>
      </c>
      <c r="S8" s="360">
        <f>'SC-Retro'!M154</f>
        <v>0.12577741905778003</v>
      </c>
      <c r="T8" s="360">
        <f>'SC-Retro'!N154</f>
        <v>0.10079505162779638</v>
      </c>
      <c r="U8" s="360">
        <f>'SC-Retro'!O154</f>
        <v>8.0783516961683857E-2</v>
      </c>
      <c r="V8" s="360">
        <f>'SC-Retro'!P154</f>
        <v>6.4752044434189915E-2</v>
      </c>
      <c r="W8" s="360">
        <f>'SC-Retro'!Q154</f>
        <v>5.1906876366767885E-2</v>
      </c>
      <c r="X8" s="360">
        <f>'SC-Retro'!R154</f>
        <v>4.1613870661276829E-2</v>
      </c>
      <c r="Y8" s="360">
        <f>'SC-Retro'!S154</f>
        <v>3.3364758315977135E-2</v>
      </c>
      <c r="Z8" s="360">
        <f>'SC-Retro'!T154</f>
        <v>2.6752072015519535E-2</v>
      </c>
      <c r="AA8" s="360">
        <f>'SC-Retro'!U154</f>
        <v>1.8289780097126564E-4</v>
      </c>
      <c r="AB8" s="360">
        <f>'SC-Retro'!V154</f>
        <v>6.5478357742068932E-5</v>
      </c>
      <c r="AC8" s="360">
        <f>'SC-Retro'!W154</f>
        <v>2.2377634234501096E-5</v>
      </c>
      <c r="AD8" s="360">
        <f>'SC-Retro'!X154</f>
        <v>7.3155483816706542E-6</v>
      </c>
      <c r="AE8" s="360">
        <f>'SC-Retro'!Y154</f>
        <v>2.555882424651835</v>
      </c>
      <c r="AF8" s="818">
        <f t="shared" si="2"/>
        <v>0</v>
      </c>
      <c r="AG8" s="818">
        <f t="shared" si="3"/>
        <v>5.0588006667864286E-3</v>
      </c>
      <c r="AH8" s="818">
        <f t="shared" si="4"/>
        <v>0.27853324167775972</v>
      </c>
      <c r="AI8" s="818">
        <f t="shared" si="5"/>
        <v>3.3550828070637264</v>
      </c>
      <c r="AJ8" s="818">
        <f t="shared" si="6"/>
        <v>13.289322072091512</v>
      </c>
      <c r="AK8" s="818">
        <f t="shared" si="7"/>
        <v>17.612737362797848</v>
      </c>
      <c r="AL8" s="818">
        <f t="shared" si="8"/>
        <v>17.051306244429629</v>
      </c>
      <c r="AM8" s="818">
        <f t="shared" si="9"/>
        <v>17.295308801256791</v>
      </c>
      <c r="AN8" s="818">
        <f t="shared" si="10"/>
        <v>8.1307270325300873</v>
      </c>
      <c r="AO8" s="818">
        <f t="shared" si="11"/>
        <v>4.6753930101764256</v>
      </c>
      <c r="AP8" s="818">
        <f t="shared" si="12"/>
        <v>1.3214242075371623</v>
      </c>
      <c r="AQ8" s="818">
        <f t="shared" si="13"/>
        <v>9.0549738354227926E-3</v>
      </c>
      <c r="AR8" s="818"/>
      <c r="AS8" s="818">
        <f t="shared" si="14"/>
        <v>0</v>
      </c>
      <c r="AT8" s="818">
        <f t="shared" si="15"/>
        <v>3.459603646348263E-3</v>
      </c>
      <c r="AU8" s="818">
        <f t="shared" si="16"/>
        <v>0.10270334555940128</v>
      </c>
      <c r="AV8" s="818">
        <f t="shared" si="17"/>
        <v>2.2111500066617524</v>
      </c>
      <c r="AW8" s="818">
        <f t="shared" si="18"/>
        <v>8.6171407216418707</v>
      </c>
      <c r="AX8" s="818">
        <f t="shared" si="19"/>
        <v>12.9466880237298</v>
      </c>
      <c r="AY8" s="818">
        <f t="shared" si="20"/>
        <v>14.685334012363274</v>
      </c>
      <c r="AZ8" s="818">
        <f t="shared" si="21"/>
        <v>12.57753244446018</v>
      </c>
      <c r="BA8" s="818">
        <f t="shared" si="22"/>
        <v>6.5078503021773226</v>
      </c>
      <c r="BB8" s="818">
        <f t="shared" si="23"/>
        <v>3.0713242171149617</v>
      </c>
      <c r="BC8" s="818">
        <f t="shared" si="24"/>
        <v>0.65201035905800742</v>
      </c>
      <c r="BD8" s="818">
        <f t="shared" si="25"/>
        <v>6.6915946180346525E-3</v>
      </c>
    </row>
    <row r="9" spans="1:56" ht="15">
      <c r="A9" s="815" t="str">
        <f>VLOOKUP(CONCATENATE($C9," - ",$B9),[2]ACHIEV!$B$17:$C$50,2,FALSE)</f>
        <v>Retro12Med</v>
      </c>
      <c r="B9" s="815" t="str">
        <f>'SC-Retro'!$C$7</f>
        <v>Retro</v>
      </c>
      <c r="C9" s="815" t="str">
        <f>'SC-Retro'!$C$8</f>
        <v>Irrigation Hardware</v>
      </c>
      <c r="D9" s="815" t="s">
        <v>1772</v>
      </c>
      <c r="E9" s="815" t="str">
        <f>'SC-Retro'!$A$9</f>
        <v>Irrigation</v>
      </c>
      <c r="F9" s="816">
        <f t="shared" si="1"/>
        <v>6.64764681370466E-4</v>
      </c>
      <c r="G9" s="817">
        <f>'SC-Retro'!A155</f>
        <v>249.92788826230839</v>
      </c>
      <c r="H9" s="817">
        <f>'SC-Retro'!B155</f>
        <v>96.830068384897544</v>
      </c>
      <c r="I9" s="365" t="str">
        <f>'SC-Retro'!C155</f>
        <v xml:space="preserve">Thunderbird wheel line systems: Replace leaking hub with new hub </v>
      </c>
      <c r="J9" s="365" t="str">
        <f>'SC-Retro'!D155</f>
        <v>Idaho</v>
      </c>
      <c r="K9" s="360">
        <f>'SC-Retro'!E155</f>
        <v>9.9301085426962102E-2</v>
      </c>
      <c r="L9" s="360">
        <f>'SC-Retro'!F155</f>
        <v>9.9313502134194848E-2</v>
      </c>
      <c r="M9" s="360">
        <f>'SC-Retro'!G155</f>
        <v>9.9330758728667631E-2</v>
      </c>
      <c r="N9" s="360">
        <f>'SC-Retro'!H155</f>
        <v>9.9391560007655561E-2</v>
      </c>
      <c r="O9" s="360">
        <f>'SC-Retro'!I155</f>
        <v>9.9479151292235668E-2</v>
      </c>
      <c r="P9" s="360">
        <f>'SC-Retro'!J155</f>
        <v>8.9631528804632488E-2</v>
      </c>
      <c r="Q9" s="360">
        <f>'SC-Retro'!K155</f>
        <v>7.1796416795280787E-2</v>
      </c>
      <c r="R9" s="360">
        <f>'SC-Retro'!L155</f>
        <v>5.7519869573610882E-2</v>
      </c>
      <c r="S9" s="360">
        <f>'SC-Retro'!M155</f>
        <v>4.6088943115659767E-2</v>
      </c>
      <c r="T9" s="360">
        <f>'SC-Retro'!N155</f>
        <v>3.6934589973414977E-2</v>
      </c>
      <c r="U9" s="360">
        <f>'SC-Retro'!O155</f>
        <v>2.9601711863872754E-2</v>
      </c>
      <c r="V9" s="360">
        <f>'SC-Retro'!P155</f>
        <v>2.3727258158947353E-2</v>
      </c>
      <c r="W9" s="360">
        <f>'SC-Retro'!Q155</f>
        <v>1.9020370191254687E-2</v>
      </c>
      <c r="X9" s="360">
        <f>'SC-Retro'!R155</f>
        <v>1.5248677641007572E-2</v>
      </c>
      <c r="Y9" s="360">
        <f>'SC-Retro'!S155</f>
        <v>1.2225934190829525E-2</v>
      </c>
      <c r="Z9" s="360">
        <f>'SC-Retro'!T155</f>
        <v>9.8028305445105792E-3</v>
      </c>
      <c r="AA9" s="360">
        <f>'SC-Retro'!U155</f>
        <v>6.7019711551494961E-5</v>
      </c>
      <c r="AB9" s="360">
        <f>'SC-Retro'!V155</f>
        <v>2.3993403012147155E-5</v>
      </c>
      <c r="AC9" s="360">
        <f>'SC-Retro'!W155</f>
        <v>8.1998940590693074E-6</v>
      </c>
      <c r="AD9" s="360">
        <f>'SC-Retro'!X155</f>
        <v>2.6806552062241566E-6</v>
      </c>
      <c r="AE9" s="360">
        <f>'SC-Retro'!Y155</f>
        <v>0.93655856959490125</v>
      </c>
      <c r="AF9" s="818">
        <f t="shared" si="2"/>
        <v>0</v>
      </c>
      <c r="AG9" s="818">
        <f t="shared" si="3"/>
        <v>8.7554314109272221E-3</v>
      </c>
      <c r="AH9" s="818">
        <f t="shared" si="4"/>
        <v>0.48206657146702642</v>
      </c>
      <c r="AI9" s="818">
        <f t="shared" si="5"/>
        <v>5.8067513092758478</v>
      </c>
      <c r="AJ9" s="818">
        <f t="shared" si="6"/>
        <v>23.000263414970934</v>
      </c>
      <c r="AK9" s="818">
        <f t="shared" si="7"/>
        <v>30.482939355784275</v>
      </c>
      <c r="AL9" s="818">
        <f t="shared" si="8"/>
        <v>29.511252196591329</v>
      </c>
      <c r="AM9" s="818">
        <f t="shared" si="9"/>
        <v>29.93355538485832</v>
      </c>
      <c r="AN9" s="818">
        <f t="shared" si="10"/>
        <v>14.072114626234276</v>
      </c>
      <c r="AO9" s="818">
        <f t="shared" si="11"/>
        <v>8.0918552668990635</v>
      </c>
      <c r="AP9" s="818">
        <f t="shared" si="12"/>
        <v>2.2870320014368195</v>
      </c>
      <c r="AQ9" s="818">
        <f t="shared" si="13"/>
        <v>1.5671738731335923E-2</v>
      </c>
      <c r="AR9" s="818"/>
      <c r="AS9" s="818">
        <f t="shared" si="14"/>
        <v>0</v>
      </c>
      <c r="AT9" s="818">
        <f t="shared" si="15"/>
        <v>5.9876489369243471E-3</v>
      </c>
      <c r="AU9" s="818">
        <f t="shared" si="16"/>
        <v>0.17775203194343564</v>
      </c>
      <c r="AV9" s="818">
        <f t="shared" si="17"/>
        <v>3.8269094787038309</v>
      </c>
      <c r="AW9" s="818">
        <f t="shared" si="18"/>
        <v>14.913966672375413</v>
      </c>
      <c r="AX9" s="818">
        <f t="shared" si="19"/>
        <v>22.407255485408655</v>
      </c>
      <c r="AY9" s="818">
        <f t="shared" si="20"/>
        <v>25.416386839665829</v>
      </c>
      <c r="AZ9" s="818">
        <f t="shared" si="21"/>
        <v>21.768345876758382</v>
      </c>
      <c r="BA9" s="818">
        <f t="shared" si="22"/>
        <v>11.263348905481013</v>
      </c>
      <c r="BB9" s="818">
        <f t="shared" si="23"/>
        <v>5.3156410570238943</v>
      </c>
      <c r="BC9" s="818">
        <f t="shared" si="24"/>
        <v>1.1284556071612895</v>
      </c>
      <c r="BD9" s="818">
        <f t="shared" si="25"/>
        <v>1.1581361189538562E-2</v>
      </c>
    </row>
    <row r="10" spans="1:56" ht="15">
      <c r="A10" s="815" t="str">
        <f>VLOOKUP(CONCATENATE($C10," - ",$B10),[2]ACHIEV!$B$17:$C$50,2,FALSE)</f>
        <v>Retro12Med</v>
      </c>
      <c r="B10" s="815" t="str">
        <f>'SC-Retro'!$C$7</f>
        <v>Retro</v>
      </c>
      <c r="C10" s="815" t="str">
        <f>'SC-Retro'!$C$8</f>
        <v>Irrigation Hardware</v>
      </c>
      <c r="D10" s="815" t="s">
        <v>1772</v>
      </c>
      <c r="E10" s="815" t="str">
        <f>'SC-Retro'!$A$9</f>
        <v>Irrigation</v>
      </c>
      <c r="F10" s="816">
        <f t="shared" si="1"/>
        <v>1.9141998907863894E-4</v>
      </c>
      <c r="G10" s="817">
        <f>'SC-Retro'!A156</f>
        <v>71.967111042948147</v>
      </c>
      <c r="H10" s="817">
        <f>'SC-Retro'!B156</f>
        <v>19.352060572653851</v>
      </c>
      <c r="I10" s="365" t="str">
        <f>'SC-Retro'!C156</f>
        <v xml:space="preserve">Wheel line systems: Rebuild or replace leaking or malfunctioning leveler with new or rebuilt leveler. </v>
      </c>
      <c r="J10" s="819" t="str">
        <f>'SC-Retro'!D156</f>
        <v>Idaho</v>
      </c>
      <c r="K10" s="360">
        <f>'SC-Retro'!E156</f>
        <v>2.8593896788769096E-2</v>
      </c>
      <c r="L10" s="360">
        <f>'SC-Retro'!F156</f>
        <v>2.8597472198277896E-2</v>
      </c>
      <c r="M10" s="360">
        <f>'SC-Retro'!G156</f>
        <v>2.8602441260591353E-2</v>
      </c>
      <c r="N10" s="360">
        <f>'SC-Retro'!H156</f>
        <v>2.8619949080254458E-2</v>
      </c>
      <c r="O10" s="360">
        <f>'SC-Retro'!I156</f>
        <v>2.8645171122290661E-2</v>
      </c>
      <c r="P10" s="360">
        <f>'SC-Retro'!J156</f>
        <v>2.580953342694647E-2</v>
      </c>
      <c r="Q10" s="360">
        <f>'SC-Retro'!K156</f>
        <v>2.0673886119378666E-2</v>
      </c>
      <c r="R10" s="360">
        <f>'SC-Retro'!L156</f>
        <v>1.656293289060784E-2</v>
      </c>
      <c r="S10" s="360">
        <f>'SC-Retro'!M156</f>
        <v>1.327138043744687E-2</v>
      </c>
      <c r="T10" s="360">
        <f>'SC-Retro'!N156</f>
        <v>1.0635370692016442E-2</v>
      </c>
      <c r="U10" s="360">
        <f>'SC-Retro'!O156</f>
        <v>8.5238574197562395E-3</v>
      </c>
      <c r="V10" s="360">
        <f>'SC-Retro'!P156</f>
        <v>6.8322996466784539E-3</v>
      </c>
      <c r="W10" s="360">
        <f>'SC-Retro'!Q156</f>
        <v>5.476944182376953E-3</v>
      </c>
      <c r="X10" s="360">
        <f>'SC-Retro'!R156</f>
        <v>4.3908796440385554E-3</v>
      </c>
      <c r="Y10" s="360">
        <f>'SC-Retro'!S156</f>
        <v>3.5204761246642245E-3</v>
      </c>
      <c r="Z10" s="360">
        <f>'SC-Retro'!T156</f>
        <v>2.8227397880126463E-3</v>
      </c>
      <c r="AA10" s="360">
        <f>'SC-Retro'!U156</f>
        <v>1.9298426665497425E-5</v>
      </c>
      <c r="AB10" s="360">
        <f>'SC-Retro'!V156</f>
        <v>6.9089364571477069E-6</v>
      </c>
      <c r="AC10" s="360">
        <f>'SC-Retro'!W156</f>
        <v>2.3611718179689355E-6</v>
      </c>
      <c r="AD10" s="360">
        <f>'SC-Retro'!X156</f>
        <v>7.7189869540175302E-7</v>
      </c>
      <c r="AE10" s="360">
        <f>'SC-Retro'!Y156</f>
        <v>0.2696834476731973</v>
      </c>
      <c r="AF10" s="818">
        <f t="shared" si="2"/>
        <v>0</v>
      </c>
      <c r="AG10" s="818">
        <f t="shared" si="3"/>
        <v>2.52113963335616E-3</v>
      </c>
      <c r="AH10" s="818">
        <f t="shared" si="4"/>
        <v>0.13881179375408195</v>
      </c>
      <c r="AI10" s="818">
        <f t="shared" si="5"/>
        <v>1.672062766500245</v>
      </c>
      <c r="AJ10" s="818">
        <f t="shared" si="6"/>
        <v>6.6229604175465715</v>
      </c>
      <c r="AK10" s="818">
        <f t="shared" si="7"/>
        <v>8.7776082004531677</v>
      </c>
      <c r="AL10" s="818">
        <f t="shared" si="8"/>
        <v>8.4978094226102883</v>
      </c>
      <c r="AM10" s="818">
        <f t="shared" si="9"/>
        <v>8.6194122603532453</v>
      </c>
      <c r="AN10" s="818">
        <f t="shared" si="10"/>
        <v>4.052086555672413</v>
      </c>
      <c r="AO10" s="818">
        <f t="shared" si="11"/>
        <v>2.3300618853914972</v>
      </c>
      <c r="AP10" s="818">
        <f t="shared" si="12"/>
        <v>0.65855430200504561</v>
      </c>
      <c r="AQ10" s="818">
        <f t="shared" si="13"/>
        <v>4.5127007208191367E-3</v>
      </c>
      <c r="AR10" s="818"/>
      <c r="AS10" s="818">
        <f t="shared" si="14"/>
        <v>0</v>
      </c>
      <c r="AT10" s="818">
        <f t="shared" si="15"/>
        <v>1.7241525102535385E-3</v>
      </c>
      <c r="AU10" s="818">
        <f t="shared" si="16"/>
        <v>5.11839647424897E-2</v>
      </c>
      <c r="AV10" s="818">
        <f t="shared" si="17"/>
        <v>1.1019643358732936</v>
      </c>
      <c r="AW10" s="818">
        <f t="shared" si="18"/>
        <v>4.2944991175822125</v>
      </c>
      <c r="AX10" s="818">
        <f t="shared" si="19"/>
        <v>6.4522028929946655</v>
      </c>
      <c r="AY10" s="818">
        <f t="shared" si="20"/>
        <v>7.3186867888908962</v>
      </c>
      <c r="AZ10" s="818">
        <f t="shared" si="21"/>
        <v>6.2682279109635175</v>
      </c>
      <c r="BA10" s="818">
        <f t="shared" si="22"/>
        <v>3.2432982450741004</v>
      </c>
      <c r="BB10" s="818">
        <f t="shared" si="23"/>
        <v>1.5306468312723522</v>
      </c>
      <c r="BC10" s="818">
        <f t="shared" si="24"/>
        <v>0.32494048804341263</v>
      </c>
      <c r="BD10" s="818">
        <f t="shared" si="25"/>
        <v>3.334870360210651E-3</v>
      </c>
    </row>
    <row r="11" spans="1:56" ht="15">
      <c r="A11" s="815" t="str">
        <f>VLOOKUP(CONCATENATE($C11," - ",$B11),[2]ACHIEV!$B$17:$C$50,2,FALSE)</f>
        <v>Retro12Med</v>
      </c>
      <c r="B11" s="815" t="str">
        <f>'SC-Retro'!$C$7</f>
        <v>Retro</v>
      </c>
      <c r="C11" s="815" t="str">
        <f>'SC-Retro'!$C$8</f>
        <v>Irrigation Hardware</v>
      </c>
      <c r="D11" s="815" t="s">
        <v>1772</v>
      </c>
      <c r="E11" s="815" t="str">
        <f>'SC-Retro'!$A$9</f>
        <v>Irrigation</v>
      </c>
      <c r="F11" s="816">
        <f t="shared" si="1"/>
        <v>2.6858223671414699E-4</v>
      </c>
      <c r="G11" s="817">
        <f>'SC-Retro'!A157</f>
        <v>100.97737308839594</v>
      </c>
      <c r="H11" s="817">
        <f>'SC-Retro'!B157</f>
        <v>64.680202912984029</v>
      </c>
      <c r="I11" s="365" t="str">
        <f>'SC-Retro'!C157</f>
        <v xml:space="preserve">Center pivot/linear move systems: Install new sprinkler package on an existing system. </v>
      </c>
      <c r="J11" s="365" t="str">
        <f>'SC-Retro'!D157</f>
        <v>Idaho</v>
      </c>
      <c r="K11" s="360">
        <f>'SC-Retro'!E157</f>
        <v>0.71680563761620508</v>
      </c>
      <c r="L11" s="360">
        <f>'SC-Retro'!F157</f>
        <v>0.71689526771145329</v>
      </c>
      <c r="M11" s="360">
        <f>'SC-Retro'!G157</f>
        <v>0.71701983456941831</v>
      </c>
      <c r="N11" s="360">
        <f>'SC-Retro'!H157</f>
        <v>0.71745872906251873</v>
      </c>
      <c r="O11" s="360">
        <f>'SC-Retro'!I157</f>
        <v>0.71809100741399023</v>
      </c>
      <c r="P11" s="360">
        <f>'SC-Retro'!J157</f>
        <v>0.64700586986610309</v>
      </c>
      <c r="Q11" s="360">
        <f>'SC-Retro'!K157</f>
        <v>0.51826297867965287</v>
      </c>
      <c r="R11" s="360">
        <f>'SC-Retro'!L157</f>
        <v>0.41520761437838455</v>
      </c>
      <c r="S11" s="360">
        <f>'SC-Retro'!M157</f>
        <v>0.33269338512293228</v>
      </c>
      <c r="T11" s="360">
        <f>'SC-Retro'!N157</f>
        <v>0.26661261759781713</v>
      </c>
      <c r="U11" s="360">
        <f>'SC-Retro'!O157</f>
        <v>0.21368018139863379</v>
      </c>
      <c r="V11" s="360">
        <f>'SC-Retro'!P157</f>
        <v>0.17127539281550111</v>
      </c>
      <c r="W11" s="360">
        <f>'SC-Retro'!Q157</f>
        <v>0.13729868635390277</v>
      </c>
      <c r="X11" s="360">
        <f>'SC-Retro'!R157</f>
        <v>0.11007269509965108</v>
      </c>
      <c r="Y11" s="360">
        <f>'SC-Retro'!S157</f>
        <v>8.825299859946785E-2</v>
      </c>
      <c r="Z11" s="360">
        <f>'SC-Retro'!T157</f>
        <v>7.0761806567258625E-2</v>
      </c>
      <c r="AA11" s="360">
        <f>'SC-Retro'!U157</f>
        <v>4.8378229568153057E-4</v>
      </c>
      <c r="AB11" s="360">
        <f>'SC-Retro'!V157</f>
        <v>1.7319656145505706E-4</v>
      </c>
      <c r="AC11" s="360">
        <f>'SC-Retro'!W157</f>
        <v>5.9190997400725224E-5</v>
      </c>
      <c r="AD11" s="360">
        <f>'SC-Retro'!X157</f>
        <v>1.935032991900188E-5</v>
      </c>
      <c r="AE11" s="360">
        <f>'SC-Retro'!Y157</f>
        <v>6.7605551314660204</v>
      </c>
      <c r="AF11" s="818">
        <f t="shared" si="2"/>
        <v>0</v>
      </c>
      <c r="AG11" s="818">
        <f t="shared" si="3"/>
        <v>3.5374222151757766E-3</v>
      </c>
      <c r="AH11" s="818">
        <f t="shared" si="4"/>
        <v>0.19476744423727807</v>
      </c>
      <c r="AI11" s="818">
        <f t="shared" si="5"/>
        <v>2.3460786927983115</v>
      </c>
      <c r="AJ11" s="818">
        <f t="shared" si="6"/>
        <v>9.2927051724109671</v>
      </c>
      <c r="AK11" s="818">
        <f t="shared" si="7"/>
        <v>12.315901044742203</v>
      </c>
      <c r="AL11" s="818">
        <f t="shared" si="8"/>
        <v>11.923314137049649</v>
      </c>
      <c r="AM11" s="818">
        <f t="shared" si="9"/>
        <v>12.093935618687983</v>
      </c>
      <c r="AN11" s="818">
        <f t="shared" si="10"/>
        <v>5.6855006403470156</v>
      </c>
      <c r="AO11" s="818">
        <f t="shared" si="11"/>
        <v>3.2693201784884378</v>
      </c>
      <c r="AP11" s="818">
        <f t="shared" si="12"/>
        <v>0.92402046558248951</v>
      </c>
      <c r="AQ11" s="818">
        <f t="shared" si="13"/>
        <v>6.3317904209116939E-3</v>
      </c>
      <c r="AR11" s="818"/>
      <c r="AS11" s="818">
        <f t="shared" si="14"/>
        <v>0</v>
      </c>
      <c r="AT11" s="818">
        <f t="shared" si="15"/>
        <v>2.4191660435732548E-3</v>
      </c>
      <c r="AU11" s="818">
        <f t="shared" si="16"/>
        <v>7.181644822259578E-2</v>
      </c>
      <c r="AV11" s="818">
        <f t="shared" si="17"/>
        <v>1.5461710531520272</v>
      </c>
      <c r="AW11" s="818">
        <f t="shared" si="18"/>
        <v>6.0256307824430602</v>
      </c>
      <c r="AX11" s="818">
        <f t="shared" si="19"/>
        <v>9.0531145314299959</v>
      </c>
      <c r="AY11" s="818">
        <f t="shared" si="20"/>
        <v>10.268881933553246</v>
      </c>
      <c r="AZ11" s="818">
        <f t="shared" si="21"/>
        <v>8.7949784171651935</v>
      </c>
      <c r="BA11" s="818">
        <f t="shared" si="22"/>
        <v>4.5506861701638082</v>
      </c>
      <c r="BB11" s="818">
        <f t="shared" si="23"/>
        <v>2.1476573660949296</v>
      </c>
      <c r="BC11" s="818">
        <f t="shared" si="24"/>
        <v>0.45592544173551697</v>
      </c>
      <c r="BD11" s="818">
        <f t="shared" si="25"/>
        <v>4.679171411555794E-3</v>
      </c>
    </row>
    <row r="12" spans="1:56" ht="15">
      <c r="A12" s="815" t="str">
        <f>VLOOKUP(CONCATENATE($C12," - ",$B12),[2]ACHIEV!$B$17:$C$50,2,FALSE)</f>
        <v>Retro12Med</v>
      </c>
      <c r="B12" s="815" t="str">
        <f>'SC-Retro'!$C$7</f>
        <v>Retro</v>
      </c>
      <c r="C12" s="815" t="str">
        <f>'SC-Retro'!$C$8</f>
        <v>Irrigation Hardware</v>
      </c>
      <c r="D12" s="815" t="s">
        <v>1772</v>
      </c>
      <c r="E12" s="815" t="str">
        <f>'SC-Retro'!$A$9</f>
        <v>Irrigation</v>
      </c>
      <c r="F12" s="816">
        <f t="shared" si="1"/>
        <v>2.0502260169408662E-5</v>
      </c>
      <c r="G12" s="817">
        <f>'SC-Retro'!A158</f>
        <v>7.7081209822715397</v>
      </c>
      <c r="H12" s="817">
        <f>'SC-Retro'!B158</f>
        <v>57.627929346261482</v>
      </c>
      <c r="I12" s="365" t="str">
        <f>'SC-Retro'!C158</f>
        <v xml:space="preserve">Center pivot/linear move systems: New gooseneck elbows </v>
      </c>
      <c r="J12" s="365" t="str">
        <f>'SC-Retro'!D158</f>
        <v>Idaho</v>
      </c>
      <c r="K12" s="360">
        <f>'SC-Retro'!E158</f>
        <v>5.4717452103682666E-2</v>
      </c>
      <c r="L12" s="360">
        <f>'SC-Retro'!F158</f>
        <v>5.4724294028726819E-2</v>
      </c>
      <c r="M12" s="360">
        <f>'SC-Retro'!G158</f>
        <v>5.4733802856122588E-2</v>
      </c>
      <c r="N12" s="360">
        <f>'SC-Retro'!H158</f>
        <v>5.4767305924659622E-2</v>
      </c>
      <c r="O12" s="360">
        <f>'SC-Retro'!I158</f>
        <v>5.4815570975319507E-2</v>
      </c>
      <c r="P12" s="360">
        <f>'SC-Retro'!J158</f>
        <v>4.9389277702856726E-2</v>
      </c>
      <c r="Q12" s="360">
        <f>'SC-Retro'!K158</f>
        <v>3.9561672264915117E-2</v>
      </c>
      <c r="R12" s="360">
        <f>'SC-Retro'!L158</f>
        <v>3.1694927551613301E-2</v>
      </c>
      <c r="S12" s="360">
        <f>'SC-Retro'!M158</f>
        <v>2.5396193068759083E-2</v>
      </c>
      <c r="T12" s="360">
        <f>'SC-Retro'!N158</f>
        <v>2.0351909036542735E-2</v>
      </c>
      <c r="U12" s="360">
        <f>'SC-Retro'!O158</f>
        <v>1.6311304595857775E-2</v>
      </c>
      <c r="V12" s="360">
        <f>'SC-Retro'!P158</f>
        <v>1.3074329512932036E-2</v>
      </c>
      <c r="W12" s="360">
        <f>'SC-Retro'!Q158</f>
        <v>1.0480713181124101E-2</v>
      </c>
      <c r="X12" s="360">
        <f>'SC-Retro'!R158</f>
        <v>8.4024135776443604E-3</v>
      </c>
      <c r="Y12" s="360">
        <f>'SC-Retro'!S158</f>
        <v>6.7368041913452503E-3</v>
      </c>
      <c r="Z12" s="360">
        <f>'SC-Retro'!T158</f>
        <v>5.4016117597656833E-3</v>
      </c>
      <c r="AA12" s="360">
        <f>'SC-Retro'!U158</f>
        <v>3.6929584818272847E-5</v>
      </c>
      <c r="AB12" s="360">
        <f>'SC-Retro'!V158</f>
        <v>1.3220982172316234E-5</v>
      </c>
      <c r="AC12" s="360">
        <f>'SC-Retro'!W158</f>
        <v>4.5183525286076347E-6</v>
      </c>
      <c r="AD12" s="360">
        <f>'SC-Retro'!X158</f>
        <v>1.4771099653381221E-6</v>
      </c>
      <c r="AE12" s="360">
        <f>'SC-Retro'!Y158</f>
        <v>0.51606786022288842</v>
      </c>
      <c r="AF12" s="818">
        <f t="shared" si="2"/>
        <v>0</v>
      </c>
      <c r="AG12" s="818">
        <f t="shared" si="3"/>
        <v>2.7002958748075526E-4</v>
      </c>
      <c r="AH12" s="818">
        <f t="shared" si="4"/>
        <v>1.4867598330910529E-2</v>
      </c>
      <c r="AI12" s="818">
        <f t="shared" si="5"/>
        <v>0.17908822387554268</v>
      </c>
      <c r="AJ12" s="818">
        <f t="shared" si="6"/>
        <v>0.70935986479683644</v>
      </c>
      <c r="AK12" s="818">
        <f t="shared" si="7"/>
        <v>0.94013591713713096</v>
      </c>
      <c r="AL12" s="818">
        <f t="shared" si="8"/>
        <v>0.91016774418910817</v>
      </c>
      <c r="AM12" s="818">
        <f t="shared" si="9"/>
        <v>0.92319215730680126</v>
      </c>
      <c r="AN12" s="818">
        <f t="shared" si="10"/>
        <v>0.4340034350290829</v>
      </c>
      <c r="AO12" s="818">
        <f t="shared" si="11"/>
        <v>0.24956398344320188</v>
      </c>
      <c r="AP12" s="818">
        <f t="shared" si="12"/>
        <v>7.0535223099631214E-2</v>
      </c>
      <c r="AQ12" s="818">
        <f t="shared" si="13"/>
        <v>4.8333804996145277E-4</v>
      </c>
      <c r="AR12" s="818"/>
      <c r="AS12" s="818">
        <f t="shared" si="14"/>
        <v>0</v>
      </c>
      <c r="AT12" s="818">
        <f t="shared" si="15"/>
        <v>1.8466735635657691E-4</v>
      </c>
      <c r="AU12" s="818">
        <f t="shared" si="16"/>
        <v>5.4821179684701364E-3</v>
      </c>
      <c r="AV12" s="818">
        <f t="shared" si="17"/>
        <v>0.11802716957737555</v>
      </c>
      <c r="AW12" s="818">
        <f t="shared" si="18"/>
        <v>0.45996731391409229</v>
      </c>
      <c r="AX12" s="818">
        <f t="shared" si="19"/>
        <v>0.69107068187974241</v>
      </c>
      <c r="AY12" s="818">
        <f t="shared" si="20"/>
        <v>0.7838764455399273</v>
      </c>
      <c r="AZ12" s="818">
        <f t="shared" si="21"/>
        <v>0.67136582783382925</v>
      </c>
      <c r="BA12" s="818">
        <f t="shared" si="22"/>
        <v>0.34737722401696697</v>
      </c>
      <c r="BB12" s="818">
        <f t="shared" si="23"/>
        <v>0.16394170594866414</v>
      </c>
      <c r="BC12" s="818">
        <f t="shared" si="24"/>
        <v>3.4803128228702324E-2</v>
      </c>
      <c r="BD12" s="818">
        <f t="shared" si="25"/>
        <v>3.5718516172414828E-4</v>
      </c>
    </row>
    <row r="13" spans="1:56" ht="15">
      <c r="A13" s="815" t="str">
        <f>VLOOKUP(CONCATENATE($C13," - ",$B13),[2]ACHIEV!$B$17:$C$50,2,FALSE)</f>
        <v>Retro12Med</v>
      </c>
      <c r="B13" s="815" t="str">
        <f>'SC-Retro'!$C$7</f>
        <v>Retro</v>
      </c>
      <c r="C13" s="815" t="str">
        <f>'SC-Retro'!$C$8</f>
        <v>Irrigation Hardware</v>
      </c>
      <c r="D13" s="815" t="s">
        <v>1772</v>
      </c>
      <c r="E13" s="815" t="str">
        <f>'SC-Retro'!$A$9</f>
        <v>Irrigation</v>
      </c>
      <c r="F13" s="816">
        <f t="shared" si="1"/>
        <v>2.0502260169408662E-5</v>
      </c>
      <c r="G13" s="817">
        <f>'SC-Retro'!A159</f>
        <v>7.7081209822715397</v>
      </c>
      <c r="H13" s="817">
        <f>'SC-Retro'!B159</f>
        <v>121.2074872067093</v>
      </c>
      <c r="I13" s="365" t="str">
        <f>'SC-Retro'!C159</f>
        <v xml:space="preserve">Center pivot/linear move systems: New drop tubes (3 feet minimum) </v>
      </c>
      <c r="J13" s="365" t="str">
        <f>'SC-Retro'!D159</f>
        <v>Idaho</v>
      </c>
      <c r="K13" s="360">
        <f>'SC-Retro'!E159</f>
        <v>5.4717452103682666E-2</v>
      </c>
      <c r="L13" s="360">
        <f>'SC-Retro'!F159</f>
        <v>5.4724294028726819E-2</v>
      </c>
      <c r="M13" s="360">
        <f>'SC-Retro'!G159</f>
        <v>5.4733802856122588E-2</v>
      </c>
      <c r="N13" s="360">
        <f>'SC-Retro'!H159</f>
        <v>5.4767305924659622E-2</v>
      </c>
      <c r="O13" s="360">
        <f>'SC-Retro'!I159</f>
        <v>5.4815570975319507E-2</v>
      </c>
      <c r="P13" s="360">
        <f>'SC-Retro'!J159</f>
        <v>4.9389277702856726E-2</v>
      </c>
      <c r="Q13" s="360">
        <f>'SC-Retro'!K159</f>
        <v>3.9561672264915117E-2</v>
      </c>
      <c r="R13" s="360">
        <f>'SC-Retro'!L159</f>
        <v>3.1694927551613301E-2</v>
      </c>
      <c r="S13" s="360">
        <f>'SC-Retro'!M159</f>
        <v>2.5396193068759083E-2</v>
      </c>
      <c r="T13" s="360">
        <f>'SC-Retro'!N159</f>
        <v>2.0351909036542735E-2</v>
      </c>
      <c r="U13" s="360">
        <f>'SC-Retro'!O159</f>
        <v>1.6311304595857775E-2</v>
      </c>
      <c r="V13" s="360">
        <f>'SC-Retro'!P159</f>
        <v>1.3074329512932036E-2</v>
      </c>
      <c r="W13" s="360">
        <f>'SC-Retro'!Q159</f>
        <v>1.0480713181124101E-2</v>
      </c>
      <c r="X13" s="360">
        <f>'SC-Retro'!R159</f>
        <v>8.4024135776443604E-3</v>
      </c>
      <c r="Y13" s="360">
        <f>'SC-Retro'!S159</f>
        <v>6.7368041913452503E-3</v>
      </c>
      <c r="Z13" s="360">
        <f>'SC-Retro'!T159</f>
        <v>5.4016117597656833E-3</v>
      </c>
      <c r="AA13" s="360">
        <f>'SC-Retro'!U159</f>
        <v>3.6929584818272847E-5</v>
      </c>
      <c r="AB13" s="360">
        <f>'SC-Retro'!V159</f>
        <v>1.3220982172316234E-5</v>
      </c>
      <c r="AC13" s="360">
        <f>'SC-Retro'!W159</f>
        <v>4.5183525286076347E-6</v>
      </c>
      <c r="AD13" s="360">
        <f>'SC-Retro'!X159</f>
        <v>1.4771099653381221E-6</v>
      </c>
      <c r="AE13" s="360">
        <f>'SC-Retro'!Y159</f>
        <v>0.51606786022288842</v>
      </c>
      <c r="AF13" s="818">
        <f t="shared" si="2"/>
        <v>0</v>
      </c>
      <c r="AG13" s="818">
        <f t="shared" si="3"/>
        <v>2.7002958748075526E-4</v>
      </c>
      <c r="AH13" s="818">
        <f t="shared" si="4"/>
        <v>1.4867598330910529E-2</v>
      </c>
      <c r="AI13" s="818">
        <f t="shared" si="5"/>
        <v>0.17908822387554268</v>
      </c>
      <c r="AJ13" s="818">
        <f t="shared" si="6"/>
        <v>0.70935986479683644</v>
      </c>
      <c r="AK13" s="818">
        <f t="shared" si="7"/>
        <v>0.94013591713713096</v>
      </c>
      <c r="AL13" s="818">
        <f t="shared" si="8"/>
        <v>0.91016774418910817</v>
      </c>
      <c r="AM13" s="818">
        <f t="shared" si="9"/>
        <v>0.92319215730680126</v>
      </c>
      <c r="AN13" s="818">
        <f t="shared" si="10"/>
        <v>0.4340034350290829</v>
      </c>
      <c r="AO13" s="818">
        <f t="shared" si="11"/>
        <v>0.24956398344320188</v>
      </c>
      <c r="AP13" s="818">
        <f t="shared" si="12"/>
        <v>7.0535223099631214E-2</v>
      </c>
      <c r="AQ13" s="818">
        <f t="shared" si="13"/>
        <v>4.8333804996145277E-4</v>
      </c>
      <c r="AR13" s="818"/>
      <c r="AS13" s="818">
        <f t="shared" si="14"/>
        <v>0</v>
      </c>
      <c r="AT13" s="818">
        <f t="shared" si="15"/>
        <v>1.8466735635657691E-4</v>
      </c>
      <c r="AU13" s="818">
        <f t="shared" si="16"/>
        <v>5.4821179684701364E-3</v>
      </c>
      <c r="AV13" s="818">
        <f t="shared" si="17"/>
        <v>0.11802716957737555</v>
      </c>
      <c r="AW13" s="818">
        <f t="shared" si="18"/>
        <v>0.45996731391409229</v>
      </c>
      <c r="AX13" s="818">
        <f t="shared" si="19"/>
        <v>0.69107068187974241</v>
      </c>
      <c r="AY13" s="818">
        <f t="shared" si="20"/>
        <v>0.7838764455399273</v>
      </c>
      <c r="AZ13" s="818">
        <f t="shared" si="21"/>
        <v>0.67136582783382925</v>
      </c>
      <c r="BA13" s="818">
        <f t="shared" si="22"/>
        <v>0.34737722401696697</v>
      </c>
      <c r="BB13" s="818">
        <f t="shared" si="23"/>
        <v>0.16394170594866414</v>
      </c>
      <c r="BC13" s="818">
        <f t="shared" si="24"/>
        <v>3.4803128228702324E-2</v>
      </c>
      <c r="BD13" s="818">
        <f t="shared" si="25"/>
        <v>3.5718516172414828E-4</v>
      </c>
    </row>
    <row r="14" spans="1:56" ht="15">
      <c r="A14" s="815" t="str">
        <f>VLOOKUP(CONCATENATE($C14," - ",$B14),[2]ACHIEV!$B$17:$C$50,2,FALSE)</f>
        <v>Retro12Med</v>
      </c>
      <c r="B14" s="815" t="str">
        <f>'SC-Retro'!$C$7</f>
        <v>Retro</v>
      </c>
      <c r="C14" s="815" t="str">
        <f>'SC-Retro'!$C$8</f>
        <v>Irrigation Hardware</v>
      </c>
      <c r="D14" s="815" t="s">
        <v>1772</v>
      </c>
      <c r="E14" s="815" t="str">
        <f>'SC-Retro'!$A$9</f>
        <v>Irrigation</v>
      </c>
      <c r="F14" s="816">
        <f t="shared" si="1"/>
        <v>3.4119049504980847E-5</v>
      </c>
      <c r="G14" s="817">
        <f>'SC-Retro'!A160</f>
        <v>12.827549704832846</v>
      </c>
      <c r="H14" s="817">
        <f>'SC-Retro'!B160</f>
        <v>29.125045372586339</v>
      </c>
      <c r="I14" s="365" t="str">
        <f>'SC-Retro'!C160</f>
        <v xml:space="preserve">Center pivot/linear move systems: Replace leaking pivot boot gasket with new pivot boot gasket </v>
      </c>
      <c r="J14" s="365" t="str">
        <f>'SC-Retro'!D160</f>
        <v>Idaho</v>
      </c>
      <c r="K14" s="360">
        <f>'SC-Retro'!E160</f>
        <v>9.1058617034700029E-2</v>
      </c>
      <c r="L14" s="360">
        <f>'SC-Retro'!F160</f>
        <v>9.1070003095425123E-2</v>
      </c>
      <c r="M14" s="360">
        <f>'SC-Retro'!G160</f>
        <v>9.1085827309437137E-2</v>
      </c>
      <c r="N14" s="360">
        <f>'SC-Retro'!H160</f>
        <v>9.1141581789408552E-2</v>
      </c>
      <c r="O14" s="360">
        <f>'SC-Retro'!I160</f>
        <v>9.122190257546911E-2</v>
      </c>
      <c r="P14" s="360">
        <f>'SC-Retro'!J160</f>
        <v>8.219168018721025E-2</v>
      </c>
      <c r="Q14" s="360">
        <f>'SC-Retro'!K160</f>
        <v>6.5836968380710917E-2</v>
      </c>
      <c r="R14" s="360">
        <f>'SC-Retro'!L160</f>
        <v>5.2745443344038218E-2</v>
      </c>
      <c r="S14" s="360">
        <f>'SC-Retro'!M160</f>
        <v>4.2263338841243205E-2</v>
      </c>
      <c r="T14" s="360">
        <f>'SC-Retro'!N160</f>
        <v>3.3868841103419513E-2</v>
      </c>
      <c r="U14" s="360">
        <f>'SC-Retro'!O160</f>
        <v>2.7144627197116713E-2</v>
      </c>
      <c r="V14" s="360">
        <f>'SC-Retro'!P160</f>
        <v>2.1757781445079893E-2</v>
      </c>
      <c r="W14" s="360">
        <f>'SC-Retro'!Q160</f>
        <v>1.7441587850291748E-2</v>
      </c>
      <c r="X14" s="360">
        <f>'SC-Retro'!R160</f>
        <v>1.3982963948761548E-2</v>
      </c>
      <c r="Y14" s="360">
        <f>'SC-Retro'!S160</f>
        <v>1.1211122764544484E-2</v>
      </c>
      <c r="Z14" s="360">
        <f>'SC-Retro'!T160</f>
        <v>8.9891483921915177E-3</v>
      </c>
      <c r="AA14" s="360">
        <f>'SC-Retro'!U160</f>
        <v>6.1456752680033049E-5</v>
      </c>
      <c r="AB14" s="360">
        <f>'SC-Retro'!V160</f>
        <v>2.2001834993528783E-5</v>
      </c>
      <c r="AC14" s="360">
        <f>'SC-Retro'!W160</f>
        <v>7.5192633558783735E-6</v>
      </c>
      <c r="AD14" s="360">
        <f>'SC-Retro'!X160</f>
        <v>2.4581479122418889E-6</v>
      </c>
      <c r="AE14" s="360">
        <f>'SC-Retro'!Y160</f>
        <v>0.85881969721302776</v>
      </c>
      <c r="AF14" s="818">
        <f t="shared" si="2"/>
        <v>0</v>
      </c>
      <c r="AG14" s="818">
        <f t="shared" si="3"/>
        <v>4.493725465845153E-4</v>
      </c>
      <c r="AH14" s="818">
        <f t="shared" si="4"/>
        <v>2.4742068400312272E-2</v>
      </c>
      <c r="AI14" s="818">
        <f t="shared" si="5"/>
        <v>0.29803153045954989</v>
      </c>
      <c r="AJ14" s="818">
        <f t="shared" si="6"/>
        <v>1.1804885970553876</v>
      </c>
      <c r="AK14" s="818">
        <f t="shared" si="7"/>
        <v>1.5645369648597878</v>
      </c>
      <c r="AL14" s="818">
        <f t="shared" si="8"/>
        <v>1.5146651181492936</v>
      </c>
      <c r="AM14" s="818">
        <f t="shared" si="9"/>
        <v>1.5363398307060561</v>
      </c>
      <c r="AN14" s="818">
        <f t="shared" si="10"/>
        <v>0.72225133047446421</v>
      </c>
      <c r="AO14" s="818">
        <f t="shared" si="11"/>
        <v>0.41531449876262194</v>
      </c>
      <c r="AP14" s="818">
        <f t="shared" si="12"/>
        <v>0.11738192515828359</v>
      </c>
      <c r="AQ14" s="818">
        <f t="shared" si="13"/>
        <v>8.0435204304362112E-4</v>
      </c>
      <c r="AR14" s="818"/>
      <c r="AS14" s="818">
        <f t="shared" si="14"/>
        <v>0</v>
      </c>
      <c r="AT14" s="818">
        <f t="shared" si="15"/>
        <v>3.0731610180643391E-4</v>
      </c>
      <c r="AU14" s="818">
        <f t="shared" si="16"/>
        <v>9.1231236367523127E-3</v>
      </c>
      <c r="AV14" s="818">
        <f t="shared" si="17"/>
        <v>0.19641614185307621</v>
      </c>
      <c r="AW14" s="818">
        <f t="shared" si="18"/>
        <v>0.76545938957132198</v>
      </c>
      <c r="AX14" s="818">
        <f t="shared" si="19"/>
        <v>1.1500524630780682</v>
      </c>
      <c r="AY14" s="818">
        <f t="shared" si="20"/>
        <v>1.3044961399461454</v>
      </c>
      <c r="AZ14" s="818">
        <f t="shared" si="21"/>
        <v>1.1172604252673255</v>
      </c>
      <c r="BA14" s="818">
        <f t="shared" si="22"/>
        <v>0.57809142041921358</v>
      </c>
      <c r="BB14" s="818">
        <f t="shared" si="23"/>
        <v>0.27282529511256404</v>
      </c>
      <c r="BC14" s="818">
        <f t="shared" si="24"/>
        <v>5.7917987829218941E-2</v>
      </c>
      <c r="BD14" s="818">
        <f t="shared" si="25"/>
        <v>5.9441340196700397E-4</v>
      </c>
    </row>
    <row r="15" spans="1:56" ht="15">
      <c r="A15" s="815" t="str">
        <f>VLOOKUP(CONCATENATE($C15," - ",$B15),[2]ACHIEV!$B$17:$C$50,2,FALSE)</f>
        <v>Retro12Med</v>
      </c>
      <c r="B15" s="815" t="str">
        <f>'SC-Retro'!$C$7</f>
        <v>Retro</v>
      </c>
      <c r="C15" s="815" t="str">
        <f>'SC-Retro'!$C$8</f>
        <v>Irrigation Hardware</v>
      </c>
      <c r="D15" s="815" t="s">
        <v>1772</v>
      </c>
      <c r="E15" s="815" t="str">
        <f>'SC-Retro'!$A$9</f>
        <v>Irrigation</v>
      </c>
      <c r="F15" s="816">
        <f t="shared" si="1"/>
        <v>8.5297623762452117E-6</v>
      </c>
      <c r="G15" s="817">
        <f>'SC-Retro'!A161</f>
        <v>3.206887426208211</v>
      </c>
      <c r="H15" s="817">
        <f>'SC-Retro'!B161</f>
        <v>280.8991642195852</v>
      </c>
      <c r="I15" s="365" t="str">
        <f>'SC-Retro'!C161</f>
        <v xml:space="preserve">Center pivot/linear move systems: Replace leaking tower gasket with new tower gasket </v>
      </c>
      <c r="J15" s="365" t="str">
        <f>'SC-Retro'!D161</f>
        <v>Idaho</v>
      </c>
      <c r="K15" s="360">
        <f>'SC-Retro'!E161</f>
        <v>2.2764654258675004E-2</v>
      </c>
      <c r="L15" s="360">
        <f>'SC-Retro'!F161</f>
        <v>2.2767500773856277E-2</v>
      </c>
      <c r="M15" s="360">
        <f>'SC-Retro'!G161</f>
        <v>2.2771456827359281E-2</v>
      </c>
      <c r="N15" s="360">
        <f>'SC-Retro'!H161</f>
        <v>2.2785395447352134E-2</v>
      </c>
      <c r="O15" s="360">
        <f>'SC-Retro'!I161</f>
        <v>2.2805475643867274E-2</v>
      </c>
      <c r="P15" s="360">
        <f>'SC-Retro'!J161</f>
        <v>2.0547920046802559E-2</v>
      </c>
      <c r="Q15" s="360">
        <f>'SC-Retro'!K161</f>
        <v>1.6459242095177729E-2</v>
      </c>
      <c r="R15" s="360">
        <f>'SC-Retro'!L161</f>
        <v>1.3186360836009553E-2</v>
      </c>
      <c r="S15" s="360">
        <f>'SC-Retro'!M161</f>
        <v>1.0565834710310799E-2</v>
      </c>
      <c r="T15" s="360">
        <f>'SC-Retro'!N161</f>
        <v>8.4672102758548765E-3</v>
      </c>
      <c r="U15" s="360">
        <f>'SC-Retro'!O161</f>
        <v>6.7861567992791774E-3</v>
      </c>
      <c r="V15" s="360">
        <f>'SC-Retro'!P161</f>
        <v>5.4394453612699725E-3</v>
      </c>
      <c r="W15" s="360">
        <f>'SC-Retro'!Q161</f>
        <v>4.3603969625729353E-3</v>
      </c>
      <c r="X15" s="360">
        <f>'SC-Retro'!R161</f>
        <v>3.4957409871903865E-3</v>
      </c>
      <c r="Y15" s="360">
        <f>'SC-Retro'!S161</f>
        <v>2.8027806911361205E-3</v>
      </c>
      <c r="Z15" s="360">
        <f>'SC-Retro'!T161</f>
        <v>2.247287098047879E-3</v>
      </c>
      <c r="AA15" s="360">
        <f>'SC-Retro'!U161</f>
        <v>1.5364188170008259E-5</v>
      </c>
      <c r="AB15" s="360">
        <f>'SC-Retro'!V161</f>
        <v>5.5004587483821948E-6</v>
      </c>
      <c r="AC15" s="360">
        <f>'SC-Retro'!W161</f>
        <v>1.8798158389695934E-6</v>
      </c>
      <c r="AD15" s="360">
        <f>'SC-Retro'!X161</f>
        <v>6.1453697806047211E-7</v>
      </c>
      <c r="AE15" s="360">
        <f>'SC-Retro'!Y161</f>
        <v>0.21470492430325691</v>
      </c>
      <c r="AF15" s="818">
        <f t="shared" si="2"/>
        <v>0</v>
      </c>
      <c r="AG15" s="818">
        <f t="shared" si="3"/>
        <v>1.1234313664612881E-4</v>
      </c>
      <c r="AH15" s="818">
        <f t="shared" si="4"/>
        <v>6.1855171000780671E-3</v>
      </c>
      <c r="AI15" s="818">
        <f t="shared" si="5"/>
        <v>7.4507882614887458E-2</v>
      </c>
      <c r="AJ15" s="818">
        <f t="shared" si="6"/>
        <v>0.29512214926384689</v>
      </c>
      <c r="AK15" s="818">
        <f t="shared" si="7"/>
        <v>0.39113424121494689</v>
      </c>
      <c r="AL15" s="818">
        <f t="shared" si="8"/>
        <v>0.37866627953732335</v>
      </c>
      <c r="AM15" s="818">
        <f t="shared" si="9"/>
        <v>0.38408495767651396</v>
      </c>
      <c r="AN15" s="818">
        <f t="shared" si="10"/>
        <v>0.18056283261861603</v>
      </c>
      <c r="AO15" s="818">
        <f t="shared" si="11"/>
        <v>0.10382862469065547</v>
      </c>
      <c r="AP15" s="818">
        <f t="shared" si="12"/>
        <v>2.9345481289570895E-2</v>
      </c>
      <c r="AQ15" s="818">
        <f t="shared" si="13"/>
        <v>2.0108801076090525E-4</v>
      </c>
      <c r="AR15" s="818"/>
      <c r="AS15" s="818">
        <f t="shared" si="14"/>
        <v>0</v>
      </c>
      <c r="AT15" s="818">
        <f t="shared" si="15"/>
        <v>7.6829025451608478E-5</v>
      </c>
      <c r="AU15" s="818">
        <f t="shared" si="16"/>
        <v>2.2807809091880777E-3</v>
      </c>
      <c r="AV15" s="818">
        <f t="shared" si="17"/>
        <v>4.9104035463269045E-2</v>
      </c>
      <c r="AW15" s="818">
        <f t="shared" si="18"/>
        <v>0.19136484739283047</v>
      </c>
      <c r="AX15" s="818">
        <f t="shared" si="19"/>
        <v>0.28751311576951705</v>
      </c>
      <c r="AY15" s="818">
        <f t="shared" si="20"/>
        <v>0.3261240349865363</v>
      </c>
      <c r="AZ15" s="818">
        <f t="shared" si="21"/>
        <v>0.27931510631683132</v>
      </c>
      <c r="BA15" s="818">
        <f t="shared" si="22"/>
        <v>0.14452285510480337</v>
      </c>
      <c r="BB15" s="818">
        <f t="shared" si="23"/>
        <v>6.8206323778140995E-2</v>
      </c>
      <c r="BC15" s="818">
        <f t="shared" si="24"/>
        <v>1.4479496957304732E-2</v>
      </c>
      <c r="BD15" s="818">
        <f t="shared" si="25"/>
        <v>1.4860335049175097E-4</v>
      </c>
    </row>
    <row r="16" spans="1:56" ht="15">
      <c r="A16" s="815" t="str">
        <f>VLOOKUP(CONCATENATE($C16," - ",$B16),[2]ACHIEV!$B$17:$C$50,2,FALSE)</f>
        <v>Retro12Med</v>
      </c>
      <c r="B16" s="815" t="str">
        <f>'SC-Retro'!$C$7</f>
        <v>Retro</v>
      </c>
      <c r="C16" s="815" t="str">
        <f>'SC-Retro'!$C$8</f>
        <v>Irrigation Hardware</v>
      </c>
      <c r="D16" s="815" t="s">
        <v>1772</v>
      </c>
      <c r="E16" s="815" t="str">
        <f>'SC-Retro'!$A$9</f>
        <v>Irrigation</v>
      </c>
      <c r="F16" s="816">
        <f t="shared" si="1"/>
        <v>2.7419138962894343E-5</v>
      </c>
      <c r="G16" s="817">
        <f>'SC-Retro'!A162</f>
        <v>10.308621518278239</v>
      </c>
      <c r="H16" s="817">
        <f>'SC-Retro'!B162</f>
        <v>289.53029339717068</v>
      </c>
      <c r="I16" s="365" t="str">
        <f>'SC-Retro'!C162</f>
        <v xml:space="preserve">Wheel/hand line systems: Replace worn nozzle with new flow controlling type nozzle for impact sprinklers </v>
      </c>
      <c r="J16" s="365" t="str">
        <f>'SC-Retro'!D162</f>
        <v>Montana</v>
      </c>
      <c r="K16" s="360">
        <f>'SC-Retro'!E162</f>
        <v>5.5403697796467196E-4</v>
      </c>
      <c r="L16" s="360">
        <f>'SC-Retro'!F162</f>
        <v>5.6004730534470356E-4</v>
      </c>
      <c r="M16" s="360">
        <f>'SC-Retro'!G162</f>
        <v>5.6597970530433326E-4</v>
      </c>
      <c r="N16" s="360">
        <f>'SC-Retro'!H162</f>
        <v>5.7206529573190854E-4</v>
      </c>
      <c r="O16" s="360">
        <f>'SC-Retro'!I162</f>
        <v>5.7821985925449128E-4</v>
      </c>
      <c r="P16" s="360">
        <f>'SC-Retro'!J162</f>
        <v>5.2438242433704174E-4</v>
      </c>
      <c r="Q16" s="360">
        <f>'SC-Retro'!K162</f>
        <v>4.2271650520808658E-4</v>
      </c>
      <c r="R16" s="360">
        <f>'SC-Retro'!L162</f>
        <v>3.4085274254097103E-4</v>
      </c>
      <c r="S16" s="360">
        <f>'SC-Retro'!M162</f>
        <v>2.7490343738533694E-4</v>
      </c>
      <c r="T16" s="360">
        <f>'SC-Retro'!N162</f>
        <v>2.2175498888868256E-4</v>
      </c>
      <c r="U16" s="360">
        <f>'SC-Retro'!O162</f>
        <v>1.7890684391260082E-4</v>
      </c>
      <c r="V16" s="360">
        <f>'SC-Retro'!P162</f>
        <v>1.4435547921811727E-4</v>
      </c>
      <c r="W16" s="360">
        <f>'SC-Retro'!Q162</f>
        <v>1.1648755039772898E-4</v>
      </c>
      <c r="X16" s="360">
        <f>'SC-Retro'!R162</f>
        <v>9.4007138053244668E-5</v>
      </c>
      <c r="Y16" s="360">
        <f>'SC-Retro'!S162</f>
        <v>7.5869565296023331E-5</v>
      </c>
      <c r="Z16" s="360">
        <f>'SC-Retro'!T162</f>
        <v>6.1231932110164726E-5</v>
      </c>
      <c r="AA16" s="360">
        <f>'SC-Retro'!U162</f>
        <v>4.2135795193959177E-7</v>
      </c>
      <c r="AB16" s="360">
        <f>'SC-Retro'!V162</f>
        <v>1.5182398399642038E-7</v>
      </c>
      <c r="AC16" s="360">
        <f>'SC-Retro'!W162</f>
        <v>5.2219438956982985E-8</v>
      </c>
      <c r="AD16" s="360">
        <f>'SC-Retro'!X162</f>
        <v>1.7179653793974454E-8</v>
      </c>
      <c r="AE16" s="360">
        <f>'SC-Retro'!Y162</f>
        <v>6.0021713893162699E-3</v>
      </c>
      <c r="AF16" s="818">
        <f t="shared" si="2"/>
        <v>0</v>
      </c>
      <c r="AG16" s="818">
        <f t="shared" si="3"/>
        <v>3.6112988139109213E-4</v>
      </c>
      <c r="AH16" s="818">
        <f t="shared" si="4"/>
        <v>1.9883502663184165E-2</v>
      </c>
      <c r="AI16" s="818">
        <f t="shared" si="5"/>
        <v>0.23950749119788714</v>
      </c>
      <c r="AJ16" s="818">
        <f t="shared" si="6"/>
        <v>0.94867768464794533</v>
      </c>
      <c r="AK16" s="818">
        <f t="shared" si="7"/>
        <v>1.2573110058594388</v>
      </c>
      <c r="AL16" s="818">
        <f t="shared" si="8"/>
        <v>1.2172324246817428</v>
      </c>
      <c r="AM16" s="818">
        <f t="shared" si="9"/>
        <v>1.2346509039241937</v>
      </c>
      <c r="AN16" s="818">
        <f t="shared" si="10"/>
        <v>0.58042383606037018</v>
      </c>
      <c r="AO16" s="818">
        <f t="shared" si="11"/>
        <v>0.33375976529518309</v>
      </c>
      <c r="AP16" s="818">
        <f t="shared" si="12"/>
        <v>9.4331798931772376E-2</v>
      </c>
      <c r="AQ16" s="818">
        <f t="shared" si="13"/>
        <v>6.4640254530189611E-4</v>
      </c>
      <c r="AR16" s="818"/>
      <c r="AS16" s="818">
        <f t="shared" si="14"/>
        <v>0</v>
      </c>
      <c r="AT16" s="818">
        <f t="shared" si="15"/>
        <v>2.4696886411608513E-4</v>
      </c>
      <c r="AU16" s="818">
        <f t="shared" si="16"/>
        <v>7.3316284715158877E-3</v>
      </c>
      <c r="AV16" s="818">
        <f t="shared" si="17"/>
        <v>0.15784617585079139</v>
      </c>
      <c r="AW16" s="818">
        <f t="shared" si="18"/>
        <v>0.61514718837769489</v>
      </c>
      <c r="AX16" s="818">
        <f t="shared" si="19"/>
        <v>0.92421825218645304</v>
      </c>
      <c r="AY16" s="818">
        <f t="shared" si="20"/>
        <v>1.0483340379256765</v>
      </c>
      <c r="AZ16" s="818">
        <f t="shared" si="21"/>
        <v>0.89786554146753395</v>
      </c>
      <c r="BA16" s="818">
        <f t="shared" si="22"/>
        <v>0.46457240807418815</v>
      </c>
      <c r="BB16" s="818">
        <f t="shared" si="23"/>
        <v>0.21925096940909786</v>
      </c>
      <c r="BC16" s="818">
        <f t="shared" si="24"/>
        <v>4.6544712698070471E-2</v>
      </c>
      <c r="BD16" s="818">
        <f t="shared" si="25"/>
        <v>4.7768926468953234E-4</v>
      </c>
    </row>
    <row r="17" spans="1:56" ht="15">
      <c r="A17" s="815" t="str">
        <f>VLOOKUP(CONCATENATE($C17," - ",$B17),[2]ACHIEV!$B$17:$C$50,2,FALSE)</f>
        <v>Retro12Med</v>
      </c>
      <c r="B17" s="815" t="str">
        <f>'SC-Retro'!$C$7</f>
        <v>Retro</v>
      </c>
      <c r="C17" s="815" t="str">
        <f>'SC-Retro'!$C$8</f>
        <v>Irrigation Hardware</v>
      </c>
      <c r="D17" s="815" t="s">
        <v>1772</v>
      </c>
      <c r="E17" s="815" t="str">
        <f>'SC-Retro'!$A$9</f>
        <v>Irrigation</v>
      </c>
      <c r="F17" s="816">
        <f t="shared" si="1"/>
        <v>2.7419138962894343E-5</v>
      </c>
      <c r="G17" s="817">
        <f>'SC-Retro'!A163</f>
        <v>10.308621518278239</v>
      </c>
      <c r="H17" s="817">
        <f>'SC-Retro'!B163</f>
        <v>108.05347375084912</v>
      </c>
      <c r="I17" s="365" t="str">
        <f>'SC-Retro'!C163</f>
        <v xml:space="preserve">Wheel/hand line systems: Replace worn nozzle with new nozzle </v>
      </c>
      <c r="J17" s="365" t="str">
        <f>'SC-Retro'!D163</f>
        <v>Montana</v>
      </c>
      <c r="K17" s="360">
        <f>'SC-Retro'!E163</f>
        <v>5.5403697796467196E-4</v>
      </c>
      <c r="L17" s="360">
        <f>'SC-Retro'!F163</f>
        <v>5.6004730534470356E-4</v>
      </c>
      <c r="M17" s="360">
        <f>'SC-Retro'!G163</f>
        <v>5.6597970530433326E-4</v>
      </c>
      <c r="N17" s="360">
        <f>'SC-Retro'!H163</f>
        <v>5.7206529573190854E-4</v>
      </c>
      <c r="O17" s="360">
        <f>'SC-Retro'!I163</f>
        <v>5.7821985925449128E-4</v>
      </c>
      <c r="P17" s="360">
        <f>'SC-Retro'!J163</f>
        <v>5.2438242433704174E-4</v>
      </c>
      <c r="Q17" s="360">
        <f>'SC-Retro'!K163</f>
        <v>4.2271650520808658E-4</v>
      </c>
      <c r="R17" s="360">
        <f>'SC-Retro'!L163</f>
        <v>3.4085274254097103E-4</v>
      </c>
      <c r="S17" s="360">
        <f>'SC-Retro'!M163</f>
        <v>2.7490343738533694E-4</v>
      </c>
      <c r="T17" s="360">
        <f>'SC-Retro'!N163</f>
        <v>2.2175498888868256E-4</v>
      </c>
      <c r="U17" s="360">
        <f>'SC-Retro'!O163</f>
        <v>1.7890684391260082E-4</v>
      </c>
      <c r="V17" s="360">
        <f>'SC-Retro'!P163</f>
        <v>1.4435547921811727E-4</v>
      </c>
      <c r="W17" s="360">
        <f>'SC-Retro'!Q163</f>
        <v>1.1648755039772898E-4</v>
      </c>
      <c r="X17" s="360">
        <f>'SC-Retro'!R163</f>
        <v>9.4007138053244668E-5</v>
      </c>
      <c r="Y17" s="360">
        <f>'SC-Retro'!S163</f>
        <v>7.5869565296023331E-5</v>
      </c>
      <c r="Z17" s="360">
        <f>'SC-Retro'!T163</f>
        <v>6.1231932110164726E-5</v>
      </c>
      <c r="AA17" s="360">
        <f>'SC-Retro'!U163</f>
        <v>4.2135795193959177E-7</v>
      </c>
      <c r="AB17" s="360">
        <f>'SC-Retro'!V163</f>
        <v>1.5182398399642038E-7</v>
      </c>
      <c r="AC17" s="360">
        <f>'SC-Retro'!W163</f>
        <v>5.2219438956982985E-8</v>
      </c>
      <c r="AD17" s="360">
        <f>'SC-Retro'!X163</f>
        <v>1.7179653793974454E-8</v>
      </c>
      <c r="AE17" s="360">
        <f>'SC-Retro'!Y163</f>
        <v>6.0021713893162699E-3</v>
      </c>
      <c r="AF17" s="818">
        <f t="shared" si="2"/>
        <v>0</v>
      </c>
      <c r="AG17" s="818">
        <f t="shared" si="3"/>
        <v>3.6112988139109213E-4</v>
      </c>
      <c r="AH17" s="818">
        <f t="shared" si="4"/>
        <v>1.9883502663184165E-2</v>
      </c>
      <c r="AI17" s="818">
        <f t="shared" si="5"/>
        <v>0.23950749119788714</v>
      </c>
      <c r="AJ17" s="818">
        <f t="shared" si="6"/>
        <v>0.94867768464794533</v>
      </c>
      <c r="AK17" s="818">
        <f t="shared" si="7"/>
        <v>1.2573110058594388</v>
      </c>
      <c r="AL17" s="818">
        <f t="shared" si="8"/>
        <v>1.2172324246817428</v>
      </c>
      <c r="AM17" s="818">
        <f t="shared" si="9"/>
        <v>1.2346509039241937</v>
      </c>
      <c r="AN17" s="818">
        <f t="shared" si="10"/>
        <v>0.58042383606037018</v>
      </c>
      <c r="AO17" s="818">
        <f t="shared" si="11"/>
        <v>0.33375976529518309</v>
      </c>
      <c r="AP17" s="818">
        <f t="shared" si="12"/>
        <v>9.4331798931772376E-2</v>
      </c>
      <c r="AQ17" s="818">
        <f t="shared" si="13"/>
        <v>6.4640254530189611E-4</v>
      </c>
      <c r="AR17" s="818"/>
      <c r="AS17" s="818">
        <f t="shared" si="14"/>
        <v>0</v>
      </c>
      <c r="AT17" s="818">
        <f t="shared" si="15"/>
        <v>2.4696886411608513E-4</v>
      </c>
      <c r="AU17" s="818">
        <f t="shared" si="16"/>
        <v>7.3316284715158877E-3</v>
      </c>
      <c r="AV17" s="818">
        <f t="shared" si="17"/>
        <v>0.15784617585079139</v>
      </c>
      <c r="AW17" s="818">
        <f t="shared" si="18"/>
        <v>0.61514718837769489</v>
      </c>
      <c r="AX17" s="818">
        <f t="shared" si="19"/>
        <v>0.92421825218645304</v>
      </c>
      <c r="AY17" s="818">
        <f t="shared" si="20"/>
        <v>1.0483340379256765</v>
      </c>
      <c r="AZ17" s="818">
        <f t="shared" si="21"/>
        <v>0.89786554146753395</v>
      </c>
      <c r="BA17" s="818">
        <f t="shared" si="22"/>
        <v>0.46457240807418815</v>
      </c>
      <c r="BB17" s="818">
        <f t="shared" si="23"/>
        <v>0.21925096940909786</v>
      </c>
      <c r="BC17" s="818">
        <f t="shared" si="24"/>
        <v>4.6544712698070471E-2</v>
      </c>
      <c r="BD17" s="818">
        <f t="shared" si="25"/>
        <v>4.7768926468953234E-4</v>
      </c>
    </row>
    <row r="18" spans="1:56" ht="15">
      <c r="A18" s="815" t="str">
        <f>VLOOKUP(CONCATENATE($C18," - ",$B18),[2]ACHIEV!$B$17:$C$50,2,FALSE)</f>
        <v>Retro12Med</v>
      </c>
      <c r="B18" s="815" t="str">
        <f>'SC-Retro'!$C$7</f>
        <v>Retro</v>
      </c>
      <c r="C18" s="815" t="str">
        <f>'SC-Retro'!$C$8</f>
        <v>Irrigation Hardware</v>
      </c>
      <c r="D18" s="815" t="s">
        <v>1772</v>
      </c>
      <c r="E18" s="815" t="str">
        <f>'SC-Retro'!$A$9</f>
        <v>Irrigation</v>
      </c>
      <c r="F18" s="816">
        <f t="shared" si="1"/>
        <v>2.4103960536173311E-5</v>
      </c>
      <c r="G18" s="817">
        <f>'SC-Retro'!A164</f>
        <v>9.0622322821728929</v>
      </c>
      <c r="H18" s="817">
        <f>'SC-Retro'!B164</f>
        <v>587.60771790177819</v>
      </c>
      <c r="I18" s="365" t="str">
        <f>'SC-Retro'!C164</f>
        <v xml:space="preserve">Wheel/hand line systems: Rebuild or replace leaking impact sprinkler with new or rebuilt impact sprinkler </v>
      </c>
      <c r="J18" s="365" t="str">
        <f>'SC-Retro'!D164</f>
        <v>Montana</v>
      </c>
      <c r="K18" s="360">
        <f>'SC-Retro'!E164</f>
        <v>9.740995492610819E-4</v>
      </c>
      <c r="L18" s="360">
        <f>'SC-Retro'!F164</f>
        <v>9.8466681719563075E-4</v>
      </c>
      <c r="M18" s="360">
        <f>'SC-Retro'!G164</f>
        <v>9.9509707430218844E-4</v>
      </c>
      <c r="N18" s="360">
        <f>'SC-Retro'!H164</f>
        <v>1.0057966686041174E-3</v>
      </c>
      <c r="O18" s="360">
        <f>'SC-Retro'!I164</f>
        <v>1.0166175303727135E-3</v>
      </c>
      <c r="P18" s="360">
        <f>'SC-Retro'!J164</f>
        <v>9.2196135547421333E-4</v>
      </c>
      <c r="Q18" s="360">
        <f>'SC-Retro'!K164</f>
        <v>7.432138531639188E-4</v>
      </c>
      <c r="R18" s="360">
        <f>'SC-Retro'!L164</f>
        <v>5.9928220692651133E-4</v>
      </c>
      <c r="S18" s="360">
        <f>'SC-Retro'!M164</f>
        <v>4.8333112246607833E-4</v>
      </c>
      <c r="T18" s="360">
        <f>'SC-Retro'!N164</f>
        <v>3.8988631321398165E-4</v>
      </c>
      <c r="U18" s="360">
        <f>'SC-Retro'!O164</f>
        <v>3.145513439467567E-4</v>
      </c>
      <c r="V18" s="360">
        <f>'SC-Retro'!P164</f>
        <v>2.5380364999518477E-4</v>
      </c>
      <c r="W18" s="360">
        <f>'SC-Retro'!Q164</f>
        <v>2.048066732906604E-4</v>
      </c>
      <c r="X18" s="360">
        <f>'SC-Retro'!R164</f>
        <v>1.6528194768044709E-4</v>
      </c>
      <c r="Y18" s="360">
        <f>'SC-Retro'!S164</f>
        <v>1.3339273784394057E-4</v>
      </c>
      <c r="Z18" s="360">
        <f>'SC-Retro'!T164</f>
        <v>1.0765706954798234E-4</v>
      </c>
      <c r="AA18" s="360">
        <f>'SC-Retro'!U164</f>
        <v>7.408252650748176E-7</v>
      </c>
      <c r="AB18" s="360">
        <f>'SC-Retro'!V164</f>
        <v>2.6693466367756616E-7</v>
      </c>
      <c r="AC18" s="360">
        <f>'SC-Retro'!W164</f>
        <v>9.1811438538868148E-8</v>
      </c>
      <c r="AD18" s="360">
        <f>'SC-Retro'!X164</f>
        <v>3.0205011006032593E-8</v>
      </c>
      <c r="AE18" s="360">
        <f>'SC-Retro'!Y164</f>
        <v>1.0552928193348054E-2</v>
      </c>
      <c r="AF18" s="818">
        <f t="shared" si="2"/>
        <v>0</v>
      </c>
      <c r="AG18" s="818">
        <f t="shared" si="3"/>
        <v>3.1746658497422696E-4</v>
      </c>
      <c r="AH18" s="818">
        <f t="shared" si="4"/>
        <v>1.7479438875264253E-2</v>
      </c>
      <c r="AI18" s="818">
        <f t="shared" si="5"/>
        <v>0.21054924896672783</v>
      </c>
      <c r="AJ18" s="818">
        <f t="shared" si="6"/>
        <v>0.83397547615362955</v>
      </c>
      <c r="AK18" s="818">
        <f t="shared" si="7"/>
        <v>1.1052927266587365</v>
      </c>
      <c r="AL18" s="818">
        <f t="shared" si="8"/>
        <v>1.0700599449014268</v>
      </c>
      <c r="AM18" s="818">
        <f t="shared" si="9"/>
        <v>1.0853724000747409</v>
      </c>
      <c r="AN18" s="818">
        <f t="shared" si="10"/>
        <v>0.51024626475639934</v>
      </c>
      <c r="AO18" s="818">
        <f t="shared" si="11"/>
        <v>0.2934057200747468</v>
      </c>
      <c r="AP18" s="818">
        <f t="shared" si="12"/>
        <v>8.292638079681186E-2</v>
      </c>
      <c r="AQ18" s="818">
        <f t="shared" si="13"/>
        <v>5.6824765589919099E-4</v>
      </c>
      <c r="AR18" s="818"/>
      <c r="AS18" s="818">
        <f t="shared" si="14"/>
        <v>0</v>
      </c>
      <c r="AT18" s="818">
        <f t="shared" si="15"/>
        <v>2.1710848624289839E-4</v>
      </c>
      <c r="AU18" s="818">
        <f t="shared" si="16"/>
        <v>6.4451799008880721E-3</v>
      </c>
      <c r="AV18" s="818">
        <f t="shared" si="17"/>
        <v>0.13876139577694915</v>
      </c>
      <c r="AW18" s="818">
        <f t="shared" si="18"/>
        <v>0.54077130476852697</v>
      </c>
      <c r="AX18" s="818">
        <f t="shared" si="19"/>
        <v>0.81247337152565946</v>
      </c>
      <c r="AY18" s="818">
        <f t="shared" si="20"/>
        <v>0.92158263295881215</v>
      </c>
      <c r="AZ18" s="818">
        <f t="shared" si="21"/>
        <v>0.78930690010401394</v>
      </c>
      <c r="BA18" s="818">
        <f t="shared" si="22"/>
        <v>0.40840213857806645</v>
      </c>
      <c r="BB18" s="818">
        <f t="shared" si="23"/>
        <v>0.19274189176058562</v>
      </c>
      <c r="BC18" s="818">
        <f t="shared" si="24"/>
        <v>4.091710974440415E-2</v>
      </c>
      <c r="BD18" s="818">
        <f t="shared" si="25"/>
        <v>4.1993306938675312E-4</v>
      </c>
    </row>
    <row r="19" spans="1:56" ht="15">
      <c r="A19" s="815" t="str">
        <f>VLOOKUP(CONCATENATE($C19," - ",$B19),[2]ACHIEV!$B$17:$C$50,2,FALSE)</f>
        <v>Retro12Med</v>
      </c>
      <c r="B19" s="815" t="str">
        <f>'SC-Retro'!$C$7</f>
        <v>Retro</v>
      </c>
      <c r="C19" s="815" t="str">
        <f>'SC-Retro'!$C$8</f>
        <v>Irrigation Hardware</v>
      </c>
      <c r="D19" s="815" t="s">
        <v>1772</v>
      </c>
      <c r="E19" s="815" t="str">
        <f>'SC-Retro'!$A$9</f>
        <v>Irrigation</v>
      </c>
      <c r="F19" s="816">
        <f t="shared" si="1"/>
        <v>1.4422696583229208E-4</v>
      </c>
      <c r="G19" s="817">
        <f>'SC-Retro'!A165</f>
        <v>54.224211982249763</v>
      </c>
      <c r="H19" s="817">
        <f>'SC-Retro'!B165</f>
        <v>31.043423600315389</v>
      </c>
      <c r="I19" s="365" t="str">
        <f>'SC-Retro'!C165</f>
        <v xml:space="preserve">Wheel/hand line systems: Replace leaking gasket with new gasket </v>
      </c>
      <c r="J19" s="365" t="str">
        <f>'SC-Retro'!D165</f>
        <v>Montana</v>
      </c>
      <c r="K19" s="360">
        <f>'SC-Retro'!E165</f>
        <v>5.8285617501609675E-3</v>
      </c>
      <c r="L19" s="360">
        <f>'SC-Retro'!F165</f>
        <v>5.8917914002862906E-3</v>
      </c>
      <c r="M19" s="360">
        <f>'SC-Retro'!G165</f>
        <v>5.9542012409044727E-3</v>
      </c>
      <c r="N19" s="360">
        <f>'SC-Retro'!H165</f>
        <v>6.0182226708884708E-3</v>
      </c>
      <c r="O19" s="360">
        <f>'SC-Retro'!I165</f>
        <v>6.0829697093775668E-3</v>
      </c>
      <c r="P19" s="360">
        <f>'SC-Retro'!J165</f>
        <v>5.5165908820303498E-3</v>
      </c>
      <c r="Q19" s="360">
        <f>'SC-Retro'!K165</f>
        <v>4.4470483946193904E-3</v>
      </c>
      <c r="R19" s="360">
        <f>'SC-Retro'!L165</f>
        <v>3.5858279079315322E-3</v>
      </c>
      <c r="S19" s="360">
        <f>'SC-Retro'!M165</f>
        <v>2.89203017823499E-3</v>
      </c>
      <c r="T19" s="360">
        <f>'SC-Retro'!N165</f>
        <v>2.3328996033661177E-3</v>
      </c>
      <c r="U19" s="360">
        <f>'SC-Retro'!O165</f>
        <v>1.882129945733506E-3</v>
      </c>
      <c r="V19" s="360">
        <f>'SC-Retro'!P165</f>
        <v>1.518643805487159E-3</v>
      </c>
      <c r="W19" s="360">
        <f>'SC-Retro'!Q165</f>
        <v>1.2254685293974089E-3</v>
      </c>
      <c r="X19" s="360">
        <f>'SC-Retro'!R165</f>
        <v>9.8897082846730478E-4</v>
      </c>
      <c r="Y19" s="360">
        <f>'SC-Retro'!S165</f>
        <v>7.9816052695663047E-4</v>
      </c>
      <c r="Z19" s="360">
        <f>'SC-Retro'!T165</f>
        <v>6.4417017560246053E-4</v>
      </c>
      <c r="AA19" s="360">
        <f>'SC-Retro'!U165</f>
        <v>4.4327561868223684E-6</v>
      </c>
      <c r="AB19" s="360">
        <f>'SC-Retro'!V165</f>
        <v>1.5972137259311476E-6</v>
      </c>
      <c r="AC19" s="360">
        <f>'SC-Retro'!W165</f>
        <v>5.4935723900173375E-7</v>
      </c>
      <c r="AD19" s="360">
        <f>'SC-Retro'!X165</f>
        <v>1.8073283366828304E-7</v>
      </c>
      <c r="AE19" s="360">
        <f>'SC-Retro'!Y165</f>
        <v>6.314384773774083E-2</v>
      </c>
      <c r="AF19" s="818">
        <f t="shared" si="2"/>
        <v>0</v>
      </c>
      <c r="AG19" s="818">
        <f t="shared" si="3"/>
        <v>1.8995734014440667E-3</v>
      </c>
      <c r="AH19" s="818">
        <f t="shared" si="4"/>
        <v>0.10458888818901976</v>
      </c>
      <c r="AI19" s="818">
        <f t="shared" si="5"/>
        <v>1.2598294496527578</v>
      </c>
      <c r="AJ19" s="818">
        <f t="shared" si="6"/>
        <v>4.9901240223020507</v>
      </c>
      <c r="AK19" s="818">
        <f t="shared" si="7"/>
        <v>6.6135611234202001</v>
      </c>
      <c r="AL19" s="818">
        <f t="shared" si="8"/>
        <v>6.4027444319863518</v>
      </c>
      <c r="AM19" s="818">
        <f t="shared" si="9"/>
        <v>6.4943670906683471</v>
      </c>
      <c r="AN19" s="818">
        <f t="shared" si="10"/>
        <v>3.053077957152972</v>
      </c>
      <c r="AO19" s="818">
        <f t="shared" si="11"/>
        <v>1.7556042999951622</v>
      </c>
      <c r="AP19" s="818">
        <f t="shared" si="12"/>
        <v>0.49619315762770511</v>
      </c>
      <c r="AQ19" s="818">
        <f t="shared" si="13"/>
        <v>3.4001314899540546E-3</v>
      </c>
      <c r="AR19" s="818"/>
      <c r="AS19" s="818">
        <f t="shared" si="14"/>
        <v>0</v>
      </c>
      <c r="AT19" s="818">
        <f t="shared" si="15"/>
        <v>1.2990768956936869E-3</v>
      </c>
      <c r="AU19" s="818">
        <f t="shared" si="16"/>
        <v>3.8564979392218E-2</v>
      </c>
      <c r="AV19" s="818">
        <f t="shared" si="17"/>
        <v>0.83028409615627596</v>
      </c>
      <c r="AW19" s="818">
        <f t="shared" si="18"/>
        <v>3.2357256965670613</v>
      </c>
      <c r="AX19" s="818">
        <f t="shared" si="19"/>
        <v>4.8614653603843712</v>
      </c>
      <c r="AY19" s="818">
        <f t="shared" si="20"/>
        <v>5.5143247814363532</v>
      </c>
      <c r="AZ19" s="818">
        <f t="shared" si="21"/>
        <v>4.7228478963717579</v>
      </c>
      <c r="BA19" s="818">
        <f t="shared" si="22"/>
        <v>2.4436897495802592</v>
      </c>
      <c r="BB19" s="818">
        <f t="shared" si="23"/>
        <v>1.1532784496426396</v>
      </c>
      <c r="BC19" s="818">
        <f t="shared" si="24"/>
        <v>0.24482908442394952</v>
      </c>
      <c r="BD19" s="818">
        <f t="shared" si="25"/>
        <v>2.5126855132126783E-3</v>
      </c>
    </row>
    <row r="20" spans="1:56" ht="15">
      <c r="A20" s="815" t="str">
        <f>VLOOKUP(CONCATENATE($C20," - ",$B20),[2]ACHIEV!$B$17:$C$50,2,FALSE)</f>
        <v>Retro12Med</v>
      </c>
      <c r="B20" s="815" t="str">
        <f>'SC-Retro'!$C$7</f>
        <v>Retro</v>
      </c>
      <c r="C20" s="815" t="str">
        <f>'SC-Retro'!$C$8</f>
        <v>Irrigation Hardware</v>
      </c>
      <c r="D20" s="815" t="s">
        <v>1772</v>
      </c>
      <c r="E20" s="815" t="str">
        <f>'SC-Retro'!$A$9</f>
        <v>Irrigation</v>
      </c>
      <c r="F20" s="816">
        <f t="shared" si="1"/>
        <v>1.4948102452617197E-4</v>
      </c>
      <c r="G20" s="817">
        <f>'SC-Retro'!A166</f>
        <v>56.199551272930009</v>
      </c>
      <c r="H20" s="817">
        <f>'SC-Retro'!B166</f>
        <v>104.8717783320854</v>
      </c>
      <c r="I20" s="365" t="str">
        <f>'SC-Retro'!C166</f>
        <v xml:space="preserve">Wheel/hand line systems: Replace leaking drain with new drain </v>
      </c>
      <c r="J20" s="365" t="str">
        <f>'SC-Retro'!D166</f>
        <v>Montana</v>
      </c>
      <c r="K20" s="360">
        <f>'SC-Retro'!E166</f>
        <v>6.0408910143837074E-3</v>
      </c>
      <c r="L20" s="360">
        <f>'SC-Retro'!F166</f>
        <v>6.1064240638146671E-3</v>
      </c>
      <c r="M20" s="360">
        <f>'SC-Retro'!G166</f>
        <v>6.1711074388152111E-3</v>
      </c>
      <c r="N20" s="360">
        <f>'SC-Retro'!H166</f>
        <v>6.2374611119332237E-3</v>
      </c>
      <c r="O20" s="360">
        <f>'SC-Retro'!I166</f>
        <v>6.3045668268217944E-3</v>
      </c>
      <c r="P20" s="360">
        <f>'SC-Retro'!J166</f>
        <v>5.7175553280134489E-3</v>
      </c>
      <c r="Q20" s="360">
        <f>'SC-Retro'!K166</f>
        <v>4.6090503693889603E-3</v>
      </c>
      <c r="R20" s="360">
        <f>'SC-Retro'!L166</f>
        <v>3.7164563946760444E-3</v>
      </c>
      <c r="S20" s="360">
        <f>'SC-Retro'!M166</f>
        <v>2.9973842374654064E-3</v>
      </c>
      <c r="T20" s="360">
        <f>'SC-Retro'!N166</f>
        <v>2.4178850384564418E-3</v>
      </c>
      <c r="U20" s="360">
        <f>'SC-Retro'!O166</f>
        <v>1.9506942474736642E-3</v>
      </c>
      <c r="V20" s="360">
        <f>'SC-Retro'!P166</f>
        <v>1.5739666339407831E-3</v>
      </c>
      <c r="W20" s="360">
        <f>'SC-Retro'!Q166</f>
        <v>1.2701112461307247E-3</v>
      </c>
      <c r="X20" s="360">
        <f>'SC-Retro'!R166</f>
        <v>1.0249981465857783E-3</v>
      </c>
      <c r="Y20" s="360">
        <f>'SC-Retro'!S166</f>
        <v>8.2723679734454485E-4</v>
      </c>
      <c r="Z20" s="360">
        <f>'SC-Retro'!T166</f>
        <v>6.6763671593998491E-4</v>
      </c>
      <c r="AA20" s="360">
        <f>'SC-Retro'!U166</f>
        <v>4.5942375093117119E-6</v>
      </c>
      <c r="AB20" s="360">
        <f>'SC-Retro'!V166</f>
        <v>1.6553987859460058E-6</v>
      </c>
      <c r="AC20" s="360">
        <f>'SC-Retro'!W166</f>
        <v>5.6936982930318383E-7</v>
      </c>
      <c r="AD20" s="360">
        <f>'SC-Retro'!X166</f>
        <v>1.8731676830578047E-7</v>
      </c>
      <c r="AE20" s="360">
        <f>'SC-Retro'!Y166</f>
        <v>6.5444121339539266E-2</v>
      </c>
      <c r="AF20" s="818">
        <f t="shared" si="2"/>
        <v>0</v>
      </c>
      <c r="AG20" s="818">
        <f t="shared" si="3"/>
        <v>1.9687731525927215E-3</v>
      </c>
      <c r="AH20" s="818">
        <f t="shared" si="4"/>
        <v>0.10839896735210587</v>
      </c>
      <c r="AI20" s="818">
        <f t="shared" si="5"/>
        <v>1.305723903817805</v>
      </c>
      <c r="AJ20" s="818">
        <f t="shared" si="6"/>
        <v>5.1719097539203789</v>
      </c>
      <c r="AK20" s="818">
        <f t="shared" si="7"/>
        <v>6.8544872090345716</v>
      </c>
      <c r="AL20" s="818">
        <f t="shared" si="8"/>
        <v>6.6359906550725816</v>
      </c>
      <c r="AM20" s="818">
        <f t="shared" si="9"/>
        <v>6.7309510448343826</v>
      </c>
      <c r="AN20" s="818">
        <f t="shared" si="10"/>
        <v>3.1642988421747451</v>
      </c>
      <c r="AO20" s="818">
        <f t="shared" si="11"/>
        <v>1.8195593862175836</v>
      </c>
      <c r="AP20" s="818">
        <f t="shared" si="12"/>
        <v>0.5142690282433916</v>
      </c>
      <c r="AQ20" s="818">
        <f t="shared" si="13"/>
        <v>3.5239952231473381E-3</v>
      </c>
      <c r="AR20" s="818"/>
      <c r="AS20" s="818">
        <f t="shared" si="14"/>
        <v>0</v>
      </c>
      <c r="AT20" s="818">
        <f t="shared" si="15"/>
        <v>1.346401099031463E-3</v>
      </c>
      <c r="AU20" s="818">
        <f t="shared" si="16"/>
        <v>3.9969866918525609E-2</v>
      </c>
      <c r="AV20" s="818">
        <f t="shared" si="17"/>
        <v>0.86053059928851727</v>
      </c>
      <c r="AW20" s="818">
        <f t="shared" si="18"/>
        <v>3.3536002745210007</v>
      </c>
      <c r="AX20" s="818">
        <f t="shared" si="19"/>
        <v>5.0385641726232988</v>
      </c>
      <c r="AY20" s="818">
        <f t="shared" si="20"/>
        <v>5.7152066754122162</v>
      </c>
      <c r="AZ20" s="818">
        <f t="shared" si="21"/>
        <v>4.8948969990247138</v>
      </c>
      <c r="BA20" s="818">
        <f t="shared" si="22"/>
        <v>2.5327111700881058</v>
      </c>
      <c r="BB20" s="818">
        <f t="shared" si="23"/>
        <v>1.195291346675051</v>
      </c>
      <c r="BC20" s="818">
        <f t="shared" si="24"/>
        <v>0.25374798784890312</v>
      </c>
      <c r="BD20" s="818">
        <f t="shared" si="25"/>
        <v>2.6042203873570336E-3</v>
      </c>
    </row>
    <row r="21" spans="1:56" ht="15">
      <c r="A21" s="815" t="str">
        <f>VLOOKUP(CONCATENATE($C21," - ",$B21),[2]ACHIEV!$B$17:$C$50,2,FALSE)</f>
        <v>Retro12Med</v>
      </c>
      <c r="B21" s="815" t="str">
        <f>'SC-Retro'!$C$7</f>
        <v>Retro</v>
      </c>
      <c r="C21" s="815" t="str">
        <f>'SC-Retro'!$C$8</f>
        <v>Irrigation Hardware</v>
      </c>
      <c r="D21" s="815" t="s">
        <v>1772</v>
      </c>
      <c r="E21" s="815" t="str">
        <f>'SC-Retro'!$A$9</f>
        <v>Irrigation</v>
      </c>
      <c r="F21" s="816">
        <f t="shared" si="1"/>
        <v>7.176354176339872E-5</v>
      </c>
      <c r="G21" s="817">
        <f>'SC-Retro'!A167</f>
        <v>26.980540557862223</v>
      </c>
      <c r="H21" s="817">
        <f>'SC-Retro'!B167</f>
        <v>193.03695539222213</v>
      </c>
      <c r="I21" s="365" t="str">
        <f>'SC-Retro'!C167</f>
        <v xml:space="preserve">Wheel/hand line systems: Cut and pipe press repair of leaking hand-lines, wheel-lines, and portable main-lines </v>
      </c>
      <c r="J21" s="365" t="str">
        <f>'SC-Retro'!D167</f>
        <v>Montana</v>
      </c>
      <c r="K21" s="360">
        <f>'SC-Retro'!E167</f>
        <v>2.9001389037373298E-3</v>
      </c>
      <c r="L21" s="360">
        <f>'SC-Retro'!F167</f>
        <v>2.9316003132682637E-3</v>
      </c>
      <c r="M21" s="360">
        <f>'SC-Retro'!G167</f>
        <v>2.9626538071679956E-3</v>
      </c>
      <c r="N21" s="360">
        <f>'SC-Retro'!H167</f>
        <v>2.9945091855148685E-3</v>
      </c>
      <c r="O21" s="360">
        <f>'SC-Retro'!I167</f>
        <v>3.0267256075539447E-3</v>
      </c>
      <c r="P21" s="360">
        <f>'SC-Retro'!J167</f>
        <v>2.7449104116529272E-3</v>
      </c>
      <c r="Q21" s="360">
        <f>'SC-Retro'!K167</f>
        <v>2.2127342231009479E-3</v>
      </c>
      <c r="R21" s="360">
        <f>'SC-Retro'!L167</f>
        <v>1.7842135785233941E-3</v>
      </c>
      <c r="S21" s="360">
        <f>'SC-Retro'!M167</f>
        <v>1.4389980908154688E-3</v>
      </c>
      <c r="T21" s="360">
        <f>'SC-Retro'!N167</f>
        <v>1.1607894345545217E-3</v>
      </c>
      <c r="U21" s="360">
        <f>'SC-Retro'!O167</f>
        <v>9.3649831836473618E-4</v>
      </c>
      <c r="V21" s="360">
        <f>'SC-Retro'!P167</f>
        <v>7.5563718289359846E-4</v>
      </c>
      <c r="W21" s="360">
        <f>'SC-Retro'!Q167</f>
        <v>6.097608826590963E-4</v>
      </c>
      <c r="X21" s="360">
        <f>'SC-Retro'!R167</f>
        <v>4.9208585192052877E-4</v>
      </c>
      <c r="Y21" s="360">
        <f>'SC-Retro'!S167</f>
        <v>3.9714366852002284E-4</v>
      </c>
      <c r="Z21" s="360">
        <f>'SC-Retro'!T167</f>
        <v>3.2052212311903694E-4</v>
      </c>
      <c r="AA21" s="360">
        <f>'SC-Retro'!U167</f>
        <v>2.2056227967098155E-6</v>
      </c>
      <c r="AB21" s="360">
        <f>'SC-Retro'!V167</f>
        <v>7.947315071386605E-7</v>
      </c>
      <c r="AC21" s="360">
        <f>'SC-Retro'!W167</f>
        <v>2.7334570159347709E-7</v>
      </c>
      <c r="AD21" s="360">
        <f>'SC-Retro'!X167</f>
        <v>8.9927900667707619E-8</v>
      </c>
      <c r="AE21" s="360">
        <f>'SC-Retro'!Y167</f>
        <v>3.1418716521418207E-2</v>
      </c>
      <c r="AF21" s="818">
        <f t="shared" si="2"/>
        <v>0</v>
      </c>
      <c r="AG21" s="818">
        <f t="shared" si="3"/>
        <v>9.451777227684761E-4</v>
      </c>
      <c r="AH21" s="818">
        <f t="shared" si="4"/>
        <v>5.204067770702319E-2</v>
      </c>
      <c r="AI21" s="818">
        <f t="shared" si="5"/>
        <v>0.62685797210796457</v>
      </c>
      <c r="AJ21" s="818">
        <f t="shared" si="6"/>
        <v>2.4829543602506585</v>
      </c>
      <c r="AK21" s="818">
        <f t="shared" si="7"/>
        <v>3.2907339286138613</v>
      </c>
      <c r="AL21" s="818">
        <f t="shared" si="8"/>
        <v>3.1858370922086183</v>
      </c>
      <c r="AM21" s="818">
        <f t="shared" si="9"/>
        <v>3.2314261154183601</v>
      </c>
      <c r="AN21" s="818">
        <f t="shared" si="10"/>
        <v>1.5191312264020702</v>
      </c>
      <c r="AO21" s="818">
        <f t="shared" si="11"/>
        <v>0.8735424875345793</v>
      </c>
      <c r="AP21" s="818">
        <f t="shared" si="12"/>
        <v>0.2468926541208275</v>
      </c>
      <c r="AQ21" s="818">
        <f t="shared" si="13"/>
        <v>1.6918159289580827E-3</v>
      </c>
      <c r="AR21" s="818"/>
      <c r="AS21" s="818">
        <f t="shared" si="14"/>
        <v>0</v>
      </c>
      <c r="AT21" s="818">
        <f t="shared" si="15"/>
        <v>6.4638646816146976E-4</v>
      </c>
      <c r="AU21" s="818">
        <f t="shared" si="16"/>
        <v>1.9188918613431701E-2</v>
      </c>
      <c r="AV21" s="818">
        <f t="shared" si="17"/>
        <v>0.41312751097656331</v>
      </c>
      <c r="AW21" s="818">
        <f t="shared" si="18"/>
        <v>1.610011933763513</v>
      </c>
      <c r="AX21" s="818">
        <f t="shared" si="19"/>
        <v>2.4189371967162847</v>
      </c>
      <c r="AY21" s="818">
        <f t="shared" si="20"/>
        <v>2.743782859647109</v>
      </c>
      <c r="AZ21" s="818">
        <f t="shared" si="21"/>
        <v>2.3499647954014518</v>
      </c>
      <c r="BA21" s="818">
        <f t="shared" si="22"/>
        <v>1.2159156950213523</v>
      </c>
      <c r="BB21" s="818">
        <f t="shared" si="23"/>
        <v>0.57384099920672926</v>
      </c>
      <c r="BC21" s="818">
        <f t="shared" si="24"/>
        <v>0.1218205078610822</v>
      </c>
      <c r="BD21" s="818">
        <f t="shared" si="25"/>
        <v>1.250246170854077E-3</v>
      </c>
    </row>
    <row r="22" spans="1:56" ht="15">
      <c r="A22" s="815" t="str">
        <f>VLOOKUP(CONCATENATE($C22," - ",$B22),[2]ACHIEV!$B$17:$C$50,2,FALSE)</f>
        <v>Retro12Med</v>
      </c>
      <c r="B22" s="815" t="str">
        <f>'SC-Retro'!$C$7</f>
        <v>Retro</v>
      </c>
      <c r="C22" s="815" t="str">
        <f>'SC-Retro'!$C$8</f>
        <v>Irrigation Hardware</v>
      </c>
      <c r="D22" s="815" t="s">
        <v>1772</v>
      </c>
      <c r="E22" s="815" t="str">
        <f>'SC-Retro'!$A$9</f>
        <v>Irrigation</v>
      </c>
      <c r="F22" s="816">
        <f t="shared" si="1"/>
        <v>1.2420350377509255E-4</v>
      </c>
      <c r="G22" s="817">
        <f>'SC-Retro'!A168</f>
        <v>46.696102069221105</v>
      </c>
      <c r="H22" s="817">
        <f>'SC-Retro'!B168</f>
        <v>518.91323853032338</v>
      </c>
      <c r="I22" s="365" t="str">
        <f>'SC-Retro'!C168</f>
        <v xml:space="preserve">Thunderbird wheel line systems: Replace leaking hub with new hub </v>
      </c>
      <c r="J22" s="365" t="str">
        <f>'SC-Retro'!D168</f>
        <v>Montana</v>
      </c>
      <c r="K22" s="360">
        <f>'SC-Retro'!E168</f>
        <v>3.7783632807436969E-4</v>
      </c>
      <c r="L22" s="360">
        <f>'SC-Retro'!F168</f>
        <v>3.8193518811100222E-4</v>
      </c>
      <c r="M22" s="360">
        <f>'SC-Retro'!G168</f>
        <v>3.8598090402268989E-4</v>
      </c>
      <c r="N22" s="360">
        <f>'SC-Retro'!H168</f>
        <v>3.9013109116320643E-4</v>
      </c>
      <c r="O22" s="360">
        <f>'SC-Retro'!I168</f>
        <v>3.9432831585173848E-4</v>
      </c>
      <c r="P22" s="360">
        <f>'SC-Retro'!J168</f>
        <v>3.5761282657721384E-4</v>
      </c>
      <c r="Q22" s="360">
        <f>'SC-Retro'!K168</f>
        <v>2.8827976921503966E-4</v>
      </c>
      <c r="R22" s="360">
        <f>'SC-Retro'!L168</f>
        <v>2.3245117885249008E-4</v>
      </c>
      <c r="S22" s="360">
        <f>'SC-Retro'!M168</f>
        <v>1.8747576332950346E-4</v>
      </c>
      <c r="T22" s="360">
        <f>'SC-Retro'!N168</f>
        <v>1.5123014178886659E-4</v>
      </c>
      <c r="U22" s="360">
        <f>'SC-Retro'!O168</f>
        <v>1.2200901322442392E-4</v>
      </c>
      <c r="V22" s="360">
        <f>'SC-Retro'!P168</f>
        <v>9.8446035868507219E-5</v>
      </c>
      <c r="W22" s="360">
        <f>'SC-Retro'!Q168</f>
        <v>7.9440958021149497E-5</v>
      </c>
      <c r="X22" s="360">
        <f>'SC-Retro'!R168</f>
        <v>6.4110002161413905E-5</v>
      </c>
      <c r="Y22" s="360">
        <f>'SC-Retro'!S168</f>
        <v>5.1740730500259129E-5</v>
      </c>
      <c r="Z22" s="360">
        <f>'SC-Retro'!T168</f>
        <v>4.1758310924291748E-5</v>
      </c>
      <c r="AA22" s="360">
        <f>'SC-Retro'!U168</f>
        <v>2.8735327730407166E-7</v>
      </c>
      <c r="AB22" s="360">
        <f>'SC-Retro'!V168</f>
        <v>1.0353932843537968E-7</v>
      </c>
      <c r="AC22" s="360">
        <f>'SC-Retro'!W168</f>
        <v>3.5612065357248168E-8</v>
      </c>
      <c r="AD22" s="360">
        <f>'SC-Retro'!X168</f>
        <v>1.1716000132247724E-8</v>
      </c>
      <c r="AE22" s="360">
        <f>'SC-Retro'!Y168</f>
        <v>4.0932978996158394E-3</v>
      </c>
      <c r="AF22" s="818">
        <f t="shared" si="2"/>
        <v>0</v>
      </c>
      <c r="AG22" s="818">
        <f t="shared" si="3"/>
        <v>1.6358499312234614E-3</v>
      </c>
      <c r="AH22" s="818">
        <f t="shared" si="4"/>
        <v>9.006849928551397E-2</v>
      </c>
      <c r="AI22" s="818">
        <f t="shared" si="5"/>
        <v>1.0849235502039842</v>
      </c>
      <c r="AJ22" s="818">
        <f t="shared" si="6"/>
        <v>4.2973301439542793</v>
      </c>
      <c r="AK22" s="818">
        <f t="shared" si="7"/>
        <v>5.6953806052793663</v>
      </c>
      <c r="AL22" s="818">
        <f t="shared" si="8"/>
        <v>5.5138322271431752</v>
      </c>
      <c r="AM22" s="818">
        <f t="shared" si="9"/>
        <v>5.5927346374367239</v>
      </c>
      <c r="AN22" s="818">
        <f t="shared" si="10"/>
        <v>2.6292099912705664</v>
      </c>
      <c r="AO22" s="818">
        <f t="shared" si="11"/>
        <v>1.5118684917463365</v>
      </c>
      <c r="AP22" s="818">
        <f t="shared" si="12"/>
        <v>0.42730517397315437</v>
      </c>
      <c r="AQ22" s="818">
        <f t="shared" si="13"/>
        <v>2.9280810416505731E-3</v>
      </c>
      <c r="AR22" s="818"/>
      <c r="AS22" s="818">
        <f t="shared" si="14"/>
        <v>0</v>
      </c>
      <c r="AT22" s="818">
        <f t="shared" si="15"/>
        <v>1.1187221556476818E-3</v>
      </c>
      <c r="AU22" s="818">
        <f t="shared" si="16"/>
        <v>3.3210887685853722E-2</v>
      </c>
      <c r="AV22" s="818">
        <f t="shared" si="17"/>
        <v>0.7150132659052032</v>
      </c>
      <c r="AW22" s="818">
        <f t="shared" si="18"/>
        <v>2.7865001974460801</v>
      </c>
      <c r="AX22" s="818">
        <f t="shared" si="19"/>
        <v>4.1865335497877467</v>
      </c>
      <c r="AY22" s="818">
        <f t="shared" si="20"/>
        <v>4.7487545401504194</v>
      </c>
      <c r="AZ22" s="818">
        <f t="shared" si="21"/>
        <v>4.0671607638774887</v>
      </c>
      <c r="BA22" s="818">
        <f t="shared" si="22"/>
        <v>2.104424975493663</v>
      </c>
      <c r="BB22" s="818">
        <f t="shared" si="23"/>
        <v>0.99316534496388242</v>
      </c>
      <c r="BC22" s="818">
        <f t="shared" si="24"/>
        <v>0.21083872863873312</v>
      </c>
      <c r="BD22" s="818">
        <f t="shared" si="25"/>
        <v>2.163841850412527E-3</v>
      </c>
    </row>
    <row r="23" spans="1:56" ht="15">
      <c r="A23" s="815" t="str">
        <f>VLOOKUP(CONCATENATE($C23," - ",$B23),[2]ACHIEV!$B$17:$C$50,2,FALSE)</f>
        <v>Retro12Med</v>
      </c>
      <c r="B23" s="815" t="str">
        <f>'SC-Retro'!$C$7</f>
        <v>Retro</v>
      </c>
      <c r="C23" s="815" t="str">
        <f>'SC-Retro'!$C$8</f>
        <v>Irrigation Hardware</v>
      </c>
      <c r="D23" s="815" t="s">
        <v>1772</v>
      </c>
      <c r="E23" s="815" t="str">
        <f>'SC-Retro'!$A$9</f>
        <v>Irrigation</v>
      </c>
      <c r="F23" s="816">
        <f t="shared" si="1"/>
        <v>3.5764585578076661E-5</v>
      </c>
      <c r="G23" s="817">
        <f>'SC-Retro'!A169</f>
        <v>13.446212770626941</v>
      </c>
      <c r="H23" s="817">
        <f>'SC-Retro'!B169</f>
        <v>104.23376805589017</v>
      </c>
      <c r="I23" s="365" t="str">
        <f>'SC-Retro'!C169</f>
        <v xml:space="preserve">Wheel line systems: Rebuild or replace leaking or malfunctioning leveler with new or rebuilt leveler. </v>
      </c>
      <c r="J23" s="365" t="str">
        <f>'SC-Retro'!D169</f>
        <v>Montana</v>
      </c>
      <c r="K23" s="360">
        <f>'SC-Retro'!E169</f>
        <v>1.0879853852103596E-4</v>
      </c>
      <c r="L23" s="360">
        <f>'SC-Retro'!F169</f>
        <v>1.0997881142878065E-4</v>
      </c>
      <c r="M23" s="360">
        <f>'SC-Retro'!G169</f>
        <v>1.1114378140587687E-4</v>
      </c>
      <c r="N23" s="360">
        <f>'SC-Retro'!H169</f>
        <v>1.1233883403032464E-4</v>
      </c>
      <c r="O23" s="360">
        <f>'SC-Retro'!I169</f>
        <v>1.1354743118741649E-4</v>
      </c>
      <c r="P23" s="360">
        <f>'SC-Retro'!J169</f>
        <v>1.02975150870933E-4</v>
      </c>
      <c r="Q23" s="360">
        <f>'SC-Retro'!K169</f>
        <v>8.3010592802512054E-5</v>
      </c>
      <c r="R23" s="360">
        <f>'SC-Retro'!L169</f>
        <v>6.6934666302560929E-5</v>
      </c>
      <c r="S23" s="360">
        <f>'SC-Retro'!M169</f>
        <v>5.3983927808950228E-5</v>
      </c>
      <c r="T23" s="360">
        <f>'SC-Retro'!N169</f>
        <v>4.3546946612606198E-5</v>
      </c>
      <c r="U23" s="360">
        <f>'SC-Retro'!O169</f>
        <v>3.5132678725901303E-5</v>
      </c>
      <c r="V23" s="360">
        <f>'SC-Retro'!P169</f>
        <v>2.8347683983353935E-5</v>
      </c>
      <c r="W23" s="360">
        <f>'SC-Retro'!Q169</f>
        <v>2.2875143254385049E-5</v>
      </c>
      <c r="X23" s="360">
        <f>'SC-Retro'!R169</f>
        <v>1.8460571473607435E-5</v>
      </c>
      <c r="Y23" s="360">
        <f>'SC-Retro'!S169</f>
        <v>1.4898821108940491E-5</v>
      </c>
      <c r="Z23" s="360">
        <f>'SC-Retro'!T169</f>
        <v>1.2024368389414648E-5</v>
      </c>
      <c r="AA23" s="360">
        <f>'SC-Retro'!U169</f>
        <v>8.2743808064319693E-8</v>
      </c>
      <c r="AB23" s="360">
        <f>'SC-Retro'!V169</f>
        <v>2.9814305232718569E-8</v>
      </c>
      <c r="AC23" s="360">
        <f>'SC-Retro'!W169</f>
        <v>1.0254547741162646E-8</v>
      </c>
      <c r="AD23" s="360">
        <f>'SC-Retro'!X169</f>
        <v>3.3736398461132627E-9</v>
      </c>
      <c r="AE23" s="360">
        <f>'SC-Retro'!Y169</f>
        <v>1.1786712820313354E-3</v>
      </c>
      <c r="AF23" s="818">
        <f t="shared" si="2"/>
        <v>0</v>
      </c>
      <c r="AG23" s="818">
        <f t="shared" si="3"/>
        <v>4.7104544622246676E-4</v>
      </c>
      <c r="AH23" s="818">
        <f t="shared" si="4"/>
        <v>2.5935359733641306E-2</v>
      </c>
      <c r="AI23" s="818">
        <f t="shared" si="5"/>
        <v>0.31240536681802022</v>
      </c>
      <c r="AJ23" s="818">
        <f t="shared" si="6"/>
        <v>1.2374226734296232</v>
      </c>
      <c r="AK23" s="818">
        <f t="shared" si="7"/>
        <v>1.6399934049048945</v>
      </c>
      <c r="AL23" s="818">
        <f t="shared" si="8"/>
        <v>1.5877162765706541</v>
      </c>
      <c r="AM23" s="818">
        <f t="shared" si="9"/>
        <v>1.6104363441974905</v>
      </c>
      <c r="AN23" s="818">
        <f t="shared" si="10"/>
        <v>0.75708496843860718</v>
      </c>
      <c r="AO23" s="818">
        <f t="shared" si="11"/>
        <v>0.43534480439273138</v>
      </c>
      <c r="AP23" s="818">
        <f t="shared" si="12"/>
        <v>0.12304316704455569</v>
      </c>
      <c r="AQ23" s="818">
        <f t="shared" si="13"/>
        <v>8.4314533657025854E-4</v>
      </c>
      <c r="AR23" s="818"/>
      <c r="AS23" s="818">
        <f t="shared" si="14"/>
        <v>0</v>
      </c>
      <c r="AT23" s="818">
        <f t="shared" si="15"/>
        <v>3.2213772605161836E-4</v>
      </c>
      <c r="AU23" s="818">
        <f t="shared" si="16"/>
        <v>9.5631250219432289E-3</v>
      </c>
      <c r="AV23" s="818">
        <f t="shared" si="17"/>
        <v>0.20588914451425402</v>
      </c>
      <c r="AW23" s="818">
        <f t="shared" si="18"/>
        <v>0.80237691969904812</v>
      </c>
      <c r="AX23" s="818">
        <f t="shared" si="19"/>
        <v>1.2055186276226397</v>
      </c>
      <c r="AY23" s="818">
        <f t="shared" si="20"/>
        <v>1.3674110067621819</v>
      </c>
      <c r="AZ23" s="818">
        <f t="shared" si="21"/>
        <v>1.1711450545138513</v>
      </c>
      <c r="BA23" s="818">
        <f t="shared" si="22"/>
        <v>0.60597233444374232</v>
      </c>
      <c r="BB23" s="818">
        <f t="shared" si="23"/>
        <v>0.28598345371528822</v>
      </c>
      <c r="BC23" s="818">
        <f t="shared" si="24"/>
        <v>6.0711328782054999E-2</v>
      </c>
      <c r="BD23" s="818">
        <f t="shared" si="25"/>
        <v>6.2308151287453423E-4</v>
      </c>
    </row>
    <row r="24" spans="1:56" ht="15">
      <c r="A24" s="815" t="str">
        <f>VLOOKUP(CONCATENATE($C24," - ",$B24),[2]ACHIEV!$B$17:$C$50,2,FALSE)</f>
        <v>Retro12Med</v>
      </c>
      <c r="B24" s="815" t="str">
        <f>'SC-Retro'!$C$7</f>
        <v>Retro</v>
      </c>
      <c r="C24" s="815" t="str">
        <f>'SC-Retro'!$C$8</f>
        <v>Irrigation Hardware</v>
      </c>
      <c r="D24" s="815" t="s">
        <v>1772</v>
      </c>
      <c r="E24" s="815" t="str">
        <f>'SC-Retro'!$A$9</f>
        <v>Irrigation</v>
      </c>
      <c r="F24" s="816">
        <f t="shared" si="1"/>
        <v>5.9296535397378663E-5</v>
      </c>
      <c r="G24" s="817">
        <f>'SC-Retro'!A170</f>
        <v>22.29338935784876</v>
      </c>
      <c r="H24" s="817">
        <f>'SC-Retro'!B170</f>
        <v>293.50043344613579</v>
      </c>
      <c r="I24" s="365" t="str">
        <f>'SC-Retro'!C170</f>
        <v xml:space="preserve">Center pivot/linear move systems: Install new sprinkler package on an existing system. </v>
      </c>
      <c r="J24" s="365" t="str">
        <f>'SC-Retro'!D170</f>
        <v>Montana</v>
      </c>
      <c r="K24" s="360">
        <f>'SC-Retro'!E170</f>
        <v>7.6373922005312286E-3</v>
      </c>
      <c r="L24" s="360">
        <f>'SC-Retro'!F170</f>
        <v>7.7202444816614974E-3</v>
      </c>
      <c r="M24" s="360">
        <f>'SC-Retro'!G170</f>
        <v>7.8020225343621514E-3</v>
      </c>
      <c r="N24" s="360">
        <f>'SC-Retro'!H170</f>
        <v>7.885912315578442E-3</v>
      </c>
      <c r="O24" s="360">
        <f>'SC-Retro'!I170</f>
        <v>7.9707528899706503E-3</v>
      </c>
      <c r="P24" s="360">
        <f>'SC-Retro'!J170</f>
        <v>7.2286045823871919E-3</v>
      </c>
      <c r="Q24" s="360">
        <f>'SC-Retro'!K170</f>
        <v>5.8271412709169764E-3</v>
      </c>
      <c r="R24" s="360">
        <f>'SC-Retro'!L170</f>
        <v>4.6986504167562722E-3</v>
      </c>
      <c r="S24" s="360">
        <f>'SC-Retro'!M170</f>
        <v>3.7895401427878598E-3</v>
      </c>
      <c r="T24" s="360">
        <f>'SC-Retro'!N170</f>
        <v>3.05688950363762E-3</v>
      </c>
      <c r="U24" s="360">
        <f>'SC-Retro'!O170</f>
        <v>2.4662284083263519E-3</v>
      </c>
      <c r="V24" s="360">
        <f>'SC-Retro'!P170</f>
        <v>1.9899383162737152E-3</v>
      </c>
      <c r="W24" s="360">
        <f>'SC-Retro'!Q170</f>
        <v>1.6057792967806796E-3</v>
      </c>
      <c r="X24" s="360">
        <f>'SC-Retro'!R170</f>
        <v>1.2958871185812699E-3</v>
      </c>
      <c r="Y24" s="360">
        <f>'SC-Retro'!S170</f>
        <v>1.0458609249841292E-3</v>
      </c>
      <c r="Z24" s="360">
        <f>'SC-Retro'!T170</f>
        <v>8.4408135074234977E-4</v>
      </c>
      <c r="AA24" s="360">
        <f>'SC-Retro'!U170</f>
        <v>5.808413632601343E-6</v>
      </c>
      <c r="AB24" s="360">
        <f>'SC-Retro'!V170</f>
        <v>2.0928915529926542E-6</v>
      </c>
      <c r="AC24" s="360">
        <f>'SC-Retro'!W170</f>
        <v>7.1984425529013906E-7</v>
      </c>
      <c r="AD24" s="360">
        <f>'SC-Retro'!X170</f>
        <v>2.3682129372652391E-7</v>
      </c>
      <c r="AE24" s="360">
        <f>'SC-Retro'!Y170</f>
        <v>8.2739850909263307E-2</v>
      </c>
      <c r="AF24" s="818">
        <f t="shared" si="2"/>
        <v>0</v>
      </c>
      <c r="AG24" s="818">
        <f t="shared" si="3"/>
        <v>7.809782365499065E-4</v>
      </c>
      <c r="AH24" s="818">
        <f t="shared" si="4"/>
        <v>4.2999994313713347E-2</v>
      </c>
      <c r="AI24" s="818">
        <f t="shared" si="5"/>
        <v>0.51795807479483758</v>
      </c>
      <c r="AJ24" s="818">
        <f t="shared" si="6"/>
        <v>2.0516070903815162</v>
      </c>
      <c r="AK24" s="818">
        <f t="shared" si="7"/>
        <v>2.7190564468618201</v>
      </c>
      <c r="AL24" s="818">
        <f t="shared" si="8"/>
        <v>2.6323826453724282</v>
      </c>
      <c r="AM24" s="818">
        <f t="shared" si="9"/>
        <v>2.6700517885342987</v>
      </c>
      <c r="AN24" s="818">
        <f t="shared" si="10"/>
        <v>1.2552225869314098</v>
      </c>
      <c r="AO24" s="818">
        <f t="shared" si="11"/>
        <v>0.72178771783567042</v>
      </c>
      <c r="AP24" s="818">
        <f t="shared" si="12"/>
        <v>0.20400162317372045</v>
      </c>
      <c r="AQ24" s="818">
        <f t="shared" si="13"/>
        <v>1.3979079160844488E-3</v>
      </c>
      <c r="AR24" s="818"/>
      <c r="AS24" s="818">
        <f t="shared" si="14"/>
        <v>0</v>
      </c>
      <c r="AT24" s="818">
        <f t="shared" si="15"/>
        <v>5.3409401414565756E-4</v>
      </c>
      <c r="AU24" s="818">
        <f t="shared" si="16"/>
        <v>1.5855354457701771E-2</v>
      </c>
      <c r="AV24" s="818">
        <f t="shared" si="17"/>
        <v>0.34135759574155872</v>
      </c>
      <c r="AW24" s="818">
        <f t="shared" si="18"/>
        <v>1.330315188948791</v>
      </c>
      <c r="AX24" s="818">
        <f t="shared" si="19"/>
        <v>1.9987112060608814</v>
      </c>
      <c r="AY24" s="818">
        <f t="shared" si="20"/>
        <v>2.2671235764281255</v>
      </c>
      <c r="AZ24" s="818">
        <f t="shared" si="21"/>
        <v>1.9417209247075562</v>
      </c>
      <c r="BA24" s="818">
        <f t="shared" si="22"/>
        <v>1.0046826881506365</v>
      </c>
      <c r="BB24" s="818">
        <f t="shared" si="23"/>
        <v>0.47415139060602368</v>
      </c>
      <c r="BC24" s="818">
        <f t="shared" si="24"/>
        <v>0.10065743522423939</v>
      </c>
      <c r="BD24" s="818">
        <f t="shared" si="25"/>
        <v>1.0330491570483889E-3</v>
      </c>
    </row>
    <row r="25" spans="1:56" ht="15">
      <c r="A25" s="815" t="str">
        <f>VLOOKUP(CONCATENATE($C25," - ",$B25),[2]ACHIEV!$B$17:$C$50,2,FALSE)</f>
        <v>Retro12Med</v>
      </c>
      <c r="B25" s="815" t="str">
        <f>'SC-Retro'!$C$7</f>
        <v>Retro</v>
      </c>
      <c r="C25" s="815" t="str">
        <f>'SC-Retro'!$C$8</f>
        <v>Irrigation Hardware</v>
      </c>
      <c r="D25" s="815" t="s">
        <v>1772</v>
      </c>
      <c r="E25" s="815" t="str">
        <f>'SC-Retro'!$A$9</f>
        <v>Irrigation</v>
      </c>
      <c r="F25" s="816">
        <f t="shared" si="1"/>
        <v>4.5264087853862627E-6</v>
      </c>
      <c r="G25" s="817">
        <f>'SC-Retro'!A171</f>
        <v>1.7017687925467591</v>
      </c>
      <c r="H25" s="817">
        <f>'SC-Retro'!B171</f>
        <v>261.55732925333763</v>
      </c>
      <c r="I25" s="365" t="str">
        <f>'SC-Retro'!C171</f>
        <v xml:space="preserve">Center pivot/linear move systems: New gooseneck elbows </v>
      </c>
      <c r="J25" s="365" t="str">
        <f>'SC-Retro'!D171</f>
        <v>Montana</v>
      </c>
      <c r="K25" s="360">
        <f>'SC-Retro'!E171</f>
        <v>5.830013325779117E-4</v>
      </c>
      <c r="L25" s="360">
        <f>'SC-Retro'!F171</f>
        <v>5.8932587229484641E-4</v>
      </c>
      <c r="M25" s="360">
        <f>'SC-Retro'!G171</f>
        <v>5.9556841064410009E-4</v>
      </c>
      <c r="N25" s="360">
        <f>'SC-Retro'!H171</f>
        <v>6.0197214806580353E-4</v>
      </c>
      <c r="O25" s="360">
        <f>'SC-Retro'!I171</f>
        <v>6.0844846440895187E-4</v>
      </c>
      <c r="P25" s="360">
        <f>'SC-Retro'!J171</f>
        <v>5.5179647627856554E-4</v>
      </c>
      <c r="Q25" s="360">
        <f>'SC-Retro'!K171</f>
        <v>4.4481559108985451E-4</v>
      </c>
      <c r="R25" s="360">
        <f>'SC-Retro'!L171</f>
        <v>3.5867209413392839E-4</v>
      </c>
      <c r="S25" s="360">
        <f>'SC-Retro'!M171</f>
        <v>2.8927504246137065E-4</v>
      </c>
      <c r="T25" s="360">
        <f>'SC-Retro'!N171</f>
        <v>2.3334806009310386E-4</v>
      </c>
      <c r="U25" s="360">
        <f>'SC-Retro'!O171</f>
        <v>1.8825986812563543E-4</v>
      </c>
      <c r="V25" s="360">
        <f>'SC-Retro'!P171</f>
        <v>1.5190220165133423E-4</v>
      </c>
      <c r="W25" s="360">
        <f>'SC-Retro'!Q171</f>
        <v>1.2257737265136676E-4</v>
      </c>
      <c r="X25" s="360">
        <f>'SC-Retro'!R171</f>
        <v>9.8921712695451304E-5</v>
      </c>
      <c r="Y25" s="360">
        <f>'SC-Retro'!S171</f>
        <v>7.9835930504459831E-5</v>
      </c>
      <c r="Z25" s="360">
        <f>'SC-Retro'!T171</f>
        <v>6.4433060312487939E-5</v>
      </c>
      <c r="AA25" s="360">
        <f>'SC-Retro'!U171</f>
        <v>4.43386014369506E-7</v>
      </c>
      <c r="AB25" s="360">
        <f>'SC-Retro'!V171</f>
        <v>1.5976115044228094E-7</v>
      </c>
      <c r="AC25" s="360">
        <f>'SC-Retro'!W171</f>
        <v>5.4949405381265469E-8</v>
      </c>
      <c r="AD25" s="360">
        <f>'SC-Retro'!X171</f>
        <v>1.8077784432202534E-8</v>
      </c>
      <c r="AE25" s="360">
        <f>'SC-Retro'!Y171</f>
        <v>6.3159573413085991E-3</v>
      </c>
      <c r="AF25" s="818">
        <f t="shared" si="2"/>
        <v>0</v>
      </c>
      <c r="AG25" s="818">
        <f t="shared" si="3"/>
        <v>5.9616075836890153E-5</v>
      </c>
      <c r="AH25" s="818">
        <f t="shared" si="4"/>
        <v>3.282410190220924E-3</v>
      </c>
      <c r="AI25" s="818">
        <f t="shared" si="5"/>
        <v>3.953839738698716E-2</v>
      </c>
      <c r="AJ25" s="818">
        <f t="shared" si="6"/>
        <v>0.15660969558896304</v>
      </c>
      <c r="AK25" s="818">
        <f t="shared" si="7"/>
        <v>0.20755952951646792</v>
      </c>
      <c r="AL25" s="818">
        <f t="shared" si="8"/>
        <v>0.20094327354307501</v>
      </c>
      <c r="AM25" s="818">
        <f t="shared" si="9"/>
        <v>0.20381875251335901</v>
      </c>
      <c r="AN25" s="818">
        <f t="shared" si="10"/>
        <v>9.5817580353147844E-2</v>
      </c>
      <c r="AO25" s="818">
        <f t="shared" si="11"/>
        <v>5.5097759848878276E-2</v>
      </c>
      <c r="AP25" s="818">
        <f t="shared" si="12"/>
        <v>1.5572490587829635E-2</v>
      </c>
      <c r="AQ25" s="818">
        <f t="shared" si="13"/>
        <v>1.0670948361690241E-4</v>
      </c>
      <c r="AR25" s="818"/>
      <c r="AS25" s="818">
        <f t="shared" si="14"/>
        <v>0</v>
      </c>
      <c r="AT25" s="818">
        <f t="shared" si="15"/>
        <v>4.0770136427869474E-5</v>
      </c>
      <c r="AU25" s="818">
        <f t="shared" si="16"/>
        <v>1.2103205563663876E-3</v>
      </c>
      <c r="AV25" s="818">
        <f t="shared" si="17"/>
        <v>2.6057576719587389E-2</v>
      </c>
      <c r="AW25" s="818">
        <f t="shared" si="18"/>
        <v>0.10154978395005504</v>
      </c>
      <c r="AX25" s="818">
        <f t="shared" si="19"/>
        <v>0.15257188134070795</v>
      </c>
      <c r="AY25" s="818">
        <f t="shared" si="20"/>
        <v>0.17306117474030772</v>
      </c>
      <c r="AZ25" s="818">
        <f t="shared" si="21"/>
        <v>0.14822152075942635</v>
      </c>
      <c r="BA25" s="818">
        <f t="shared" si="22"/>
        <v>7.6692584409772543E-2</v>
      </c>
      <c r="BB25" s="818">
        <f t="shared" si="23"/>
        <v>3.6194408419637565E-2</v>
      </c>
      <c r="BC25" s="818">
        <f t="shared" si="24"/>
        <v>7.6836984835641419E-3</v>
      </c>
      <c r="BD25" s="818">
        <f t="shared" si="25"/>
        <v>7.885794252334032E-5</v>
      </c>
    </row>
    <row r="26" spans="1:56" ht="15">
      <c r="A26" s="815" t="str">
        <f>VLOOKUP(CONCATENATE($C26," - ",$B26),[2]ACHIEV!$B$17:$C$50,2,FALSE)</f>
        <v>Retro12Med</v>
      </c>
      <c r="B26" s="815" t="str">
        <f>'SC-Retro'!$C$7</f>
        <v>Retro</v>
      </c>
      <c r="C26" s="815" t="str">
        <f>'SC-Retro'!$C$8</f>
        <v>Irrigation Hardware</v>
      </c>
      <c r="D26" s="815" t="s">
        <v>1772</v>
      </c>
      <c r="E26" s="815" t="str">
        <f>'SC-Retro'!$A$9</f>
        <v>Irrigation</v>
      </c>
      <c r="F26" s="816">
        <f t="shared" si="1"/>
        <v>4.5264087853862627E-6</v>
      </c>
      <c r="G26" s="817">
        <f>'SC-Retro'!A172</f>
        <v>1.7017687925467591</v>
      </c>
      <c r="H26" s="817">
        <f>'SC-Retro'!B172</f>
        <v>549.53941361994794</v>
      </c>
      <c r="I26" s="365" t="str">
        <f>'SC-Retro'!C172</f>
        <v xml:space="preserve">Center pivot/linear move systems: New drop tubes (3 feet minimum) </v>
      </c>
      <c r="J26" s="365" t="str">
        <f>'SC-Retro'!D172</f>
        <v>Montana</v>
      </c>
      <c r="K26" s="360">
        <f>'SC-Retro'!E172</f>
        <v>5.830013325779117E-4</v>
      </c>
      <c r="L26" s="360">
        <f>'SC-Retro'!F172</f>
        <v>5.8932587229484641E-4</v>
      </c>
      <c r="M26" s="360">
        <f>'SC-Retro'!G172</f>
        <v>5.9556841064410009E-4</v>
      </c>
      <c r="N26" s="360">
        <f>'SC-Retro'!H172</f>
        <v>6.0197214806580353E-4</v>
      </c>
      <c r="O26" s="360">
        <f>'SC-Retro'!I172</f>
        <v>6.0844846440895187E-4</v>
      </c>
      <c r="P26" s="360">
        <f>'SC-Retro'!J172</f>
        <v>5.5179647627856554E-4</v>
      </c>
      <c r="Q26" s="360">
        <f>'SC-Retro'!K172</f>
        <v>4.4481559108985451E-4</v>
      </c>
      <c r="R26" s="360">
        <f>'SC-Retro'!L172</f>
        <v>3.5867209413392839E-4</v>
      </c>
      <c r="S26" s="360">
        <f>'SC-Retro'!M172</f>
        <v>2.8927504246137065E-4</v>
      </c>
      <c r="T26" s="360">
        <f>'SC-Retro'!N172</f>
        <v>2.3334806009310386E-4</v>
      </c>
      <c r="U26" s="360">
        <f>'SC-Retro'!O172</f>
        <v>1.8825986812563543E-4</v>
      </c>
      <c r="V26" s="360">
        <f>'SC-Retro'!P172</f>
        <v>1.5190220165133423E-4</v>
      </c>
      <c r="W26" s="360">
        <f>'SC-Retro'!Q172</f>
        <v>1.2257737265136676E-4</v>
      </c>
      <c r="X26" s="360">
        <f>'SC-Retro'!R172</f>
        <v>9.8921712695451304E-5</v>
      </c>
      <c r="Y26" s="360">
        <f>'SC-Retro'!S172</f>
        <v>7.9835930504459831E-5</v>
      </c>
      <c r="Z26" s="360">
        <f>'SC-Retro'!T172</f>
        <v>6.4433060312487939E-5</v>
      </c>
      <c r="AA26" s="360">
        <f>'SC-Retro'!U172</f>
        <v>4.43386014369506E-7</v>
      </c>
      <c r="AB26" s="360">
        <f>'SC-Retro'!V172</f>
        <v>1.5976115044228094E-7</v>
      </c>
      <c r="AC26" s="360">
        <f>'SC-Retro'!W172</f>
        <v>5.4949405381265469E-8</v>
      </c>
      <c r="AD26" s="360">
        <f>'SC-Retro'!X172</f>
        <v>1.8077784432202534E-8</v>
      </c>
      <c r="AE26" s="360">
        <f>'SC-Retro'!Y172</f>
        <v>6.3159573413085991E-3</v>
      </c>
      <c r="AF26" s="818">
        <f t="shared" si="2"/>
        <v>0</v>
      </c>
      <c r="AG26" s="818">
        <f t="shared" si="3"/>
        <v>5.9616075836890153E-5</v>
      </c>
      <c r="AH26" s="818">
        <f t="shared" si="4"/>
        <v>3.282410190220924E-3</v>
      </c>
      <c r="AI26" s="818">
        <f t="shared" si="5"/>
        <v>3.953839738698716E-2</v>
      </c>
      <c r="AJ26" s="818">
        <f t="shared" si="6"/>
        <v>0.15660969558896304</v>
      </c>
      <c r="AK26" s="818">
        <f t="shared" si="7"/>
        <v>0.20755952951646792</v>
      </c>
      <c r="AL26" s="818">
        <f t="shared" si="8"/>
        <v>0.20094327354307501</v>
      </c>
      <c r="AM26" s="818">
        <f t="shared" si="9"/>
        <v>0.20381875251335901</v>
      </c>
      <c r="AN26" s="818">
        <f t="shared" si="10"/>
        <v>9.5817580353147844E-2</v>
      </c>
      <c r="AO26" s="818">
        <f t="shared" si="11"/>
        <v>5.5097759848878276E-2</v>
      </c>
      <c r="AP26" s="818">
        <f t="shared" si="12"/>
        <v>1.5572490587829635E-2</v>
      </c>
      <c r="AQ26" s="818">
        <f t="shared" si="13"/>
        <v>1.0670948361690241E-4</v>
      </c>
      <c r="AR26" s="818"/>
      <c r="AS26" s="818">
        <f t="shared" si="14"/>
        <v>0</v>
      </c>
      <c r="AT26" s="818">
        <f t="shared" si="15"/>
        <v>4.0770136427869474E-5</v>
      </c>
      <c r="AU26" s="818">
        <f t="shared" si="16"/>
        <v>1.2103205563663876E-3</v>
      </c>
      <c r="AV26" s="818">
        <f t="shared" si="17"/>
        <v>2.6057576719587389E-2</v>
      </c>
      <c r="AW26" s="818">
        <f t="shared" si="18"/>
        <v>0.10154978395005504</v>
      </c>
      <c r="AX26" s="818">
        <f t="shared" si="19"/>
        <v>0.15257188134070795</v>
      </c>
      <c r="AY26" s="818">
        <f t="shared" si="20"/>
        <v>0.17306117474030772</v>
      </c>
      <c r="AZ26" s="818">
        <f t="shared" si="21"/>
        <v>0.14822152075942635</v>
      </c>
      <c r="BA26" s="818">
        <f t="shared" si="22"/>
        <v>7.6692584409772543E-2</v>
      </c>
      <c r="BB26" s="818">
        <f t="shared" si="23"/>
        <v>3.6194408419637565E-2</v>
      </c>
      <c r="BC26" s="818">
        <f t="shared" si="24"/>
        <v>7.6836984835641419E-3</v>
      </c>
      <c r="BD26" s="818">
        <f t="shared" si="25"/>
        <v>7.885794252334032E-5</v>
      </c>
    </row>
    <row r="27" spans="1:56" ht="15">
      <c r="A27" s="815" t="str">
        <f>VLOOKUP(CONCATENATE($C27," - ",$B27),[2]ACHIEV!$B$17:$C$50,2,FALSE)</f>
        <v>Retro12Med</v>
      </c>
      <c r="B27" s="815" t="str">
        <f>'SC-Retro'!$C$7</f>
        <v>Retro</v>
      </c>
      <c r="C27" s="815" t="str">
        <f>'SC-Retro'!$C$8</f>
        <v>Irrigation Hardware</v>
      </c>
      <c r="D27" s="815" t="s">
        <v>1772</v>
      </c>
      <c r="E27" s="815" t="str">
        <f>'SC-Retro'!$A$9</f>
        <v>Irrigation</v>
      </c>
      <c r="F27" s="816">
        <f t="shared" si="1"/>
        <v>7.5326702593896704E-6</v>
      </c>
      <c r="G27" s="817">
        <f>'SC-Retro'!A173</f>
        <v>2.8320162362181653</v>
      </c>
      <c r="H27" s="817">
        <f>'SC-Retro'!B173</f>
        <v>132.45419904259862</v>
      </c>
      <c r="I27" s="365" t="str">
        <f>'SC-Retro'!C173</f>
        <v xml:space="preserve">Center pivot/linear move systems: Replace leaking pivot boot gasket with new pivot boot gasket </v>
      </c>
      <c r="J27" s="365" t="str">
        <f>'SC-Retro'!D173</f>
        <v>Montana</v>
      </c>
      <c r="K27" s="360">
        <f>'SC-Retro'!E173</f>
        <v>9.7020773140785296E-4</v>
      </c>
      <c r="L27" s="360">
        <f>'SC-Retro'!F173</f>
        <v>9.8073277995934342E-4</v>
      </c>
      <c r="M27" s="360">
        <f>'SC-Retro'!G173</f>
        <v>9.9112136508191086E-4</v>
      </c>
      <c r="N27" s="360">
        <f>'SC-Retro'!H173</f>
        <v>1.0017782113175278E-3</v>
      </c>
      <c r="O27" s="360">
        <f>'SC-Retro'!I173</f>
        <v>1.0125558405201603E-3</v>
      </c>
      <c r="P27" s="360">
        <f>'SC-Retro'!J173</f>
        <v>9.1827784523550757E-4</v>
      </c>
      <c r="Q27" s="360">
        <f>'SC-Retro'!K173</f>
        <v>7.4024449244025918E-4</v>
      </c>
      <c r="R27" s="360">
        <f>'SC-Retro'!L173</f>
        <v>5.9688789600232685E-4</v>
      </c>
      <c r="S27" s="360">
        <f>'SC-Retro'!M173</f>
        <v>4.8140007066253159E-4</v>
      </c>
      <c r="T27" s="360">
        <f>'SC-Retro'!N173</f>
        <v>3.8832860125769664E-4</v>
      </c>
      <c r="U27" s="360">
        <f>'SC-Retro'!O173</f>
        <v>3.1329461763263637E-4</v>
      </c>
      <c r="V27" s="360">
        <f>'SC-Retro'!P173</f>
        <v>2.527896288132479E-4</v>
      </c>
      <c r="W27" s="360">
        <f>'SC-Retro'!Q173</f>
        <v>2.0398840962533213E-4</v>
      </c>
      <c r="X27" s="360">
        <f>'SC-Retro'!R173</f>
        <v>1.6462159706711696E-4</v>
      </c>
      <c r="Y27" s="360">
        <f>'SC-Retro'!S173</f>
        <v>1.3285979412271012E-4</v>
      </c>
      <c r="Z27" s="360">
        <f>'SC-Retro'!T173</f>
        <v>1.0722694748744861E-4</v>
      </c>
      <c r="AA27" s="360">
        <f>'SC-Retro'!U173</f>
        <v>7.3786544747206001E-7</v>
      </c>
      <c r="AB27" s="360">
        <f>'SC-Retro'!V173</f>
        <v>2.6586818018464794E-7</v>
      </c>
      <c r="AC27" s="360">
        <f>'SC-Retro'!W173</f>
        <v>9.1444624494136014E-8</v>
      </c>
      <c r="AD27" s="360">
        <f>'SC-Retro'!X173</f>
        <v>3.0084332989931032E-8</v>
      </c>
      <c r="AE27" s="360">
        <f>'SC-Retro'!Y173</f>
        <v>1.0510766101826842E-2</v>
      </c>
      <c r="AF27" s="818">
        <f t="shared" si="2"/>
        <v>0</v>
      </c>
      <c r="AG27" s="818">
        <f t="shared" si="3"/>
        <v>9.9210712670914938E-5</v>
      </c>
      <c r="AH27" s="818">
        <f t="shared" si="4"/>
        <v>5.4624570584127655E-3</v>
      </c>
      <c r="AI27" s="818">
        <f t="shared" si="5"/>
        <v>6.5798235250524986E-2</v>
      </c>
      <c r="AJ27" s="818">
        <f t="shared" si="6"/>
        <v>0.26062365381220914</v>
      </c>
      <c r="AK27" s="818">
        <f t="shared" si="7"/>
        <v>0.34541234987201674</v>
      </c>
      <c r="AL27" s="818">
        <f t="shared" si="8"/>
        <v>0.3344018386782</v>
      </c>
      <c r="AM27" s="818">
        <f t="shared" si="9"/>
        <v>0.33918709691446214</v>
      </c>
      <c r="AN27" s="818">
        <f t="shared" si="10"/>
        <v>0.15945582294358437</v>
      </c>
      <c r="AO27" s="818">
        <f t="shared" si="11"/>
        <v>9.1691510124449066E-2</v>
      </c>
      <c r="AP27" s="818">
        <f t="shared" si="12"/>
        <v>2.5915122181250319E-2</v>
      </c>
      <c r="AQ27" s="818">
        <f t="shared" si="13"/>
        <v>1.7758169704667467E-4</v>
      </c>
      <c r="AR27" s="818"/>
      <c r="AS27" s="818">
        <f t="shared" si="14"/>
        <v>0</v>
      </c>
      <c r="AT27" s="818">
        <f t="shared" si="15"/>
        <v>6.7848046586730152E-5</v>
      </c>
      <c r="AU27" s="818">
        <f t="shared" si="16"/>
        <v>2.0141675424242638E-3</v>
      </c>
      <c r="AV27" s="818">
        <f t="shared" si="17"/>
        <v>4.3363987322822123E-2</v>
      </c>
      <c r="AW27" s="818">
        <f t="shared" si="18"/>
        <v>0.16899512918004148</v>
      </c>
      <c r="AX27" s="818">
        <f t="shared" si="19"/>
        <v>0.25390408323365937</v>
      </c>
      <c r="AY27" s="818">
        <f t="shared" si="20"/>
        <v>0.28800155395379529</v>
      </c>
      <c r="AZ27" s="818">
        <f t="shared" si="21"/>
        <v>0.24666438542420827</v>
      </c>
      <c r="BA27" s="818">
        <f t="shared" si="22"/>
        <v>0.12762876202528564</v>
      </c>
      <c r="BB27" s="818">
        <f t="shared" si="23"/>
        <v>6.0233301229672541E-2</v>
      </c>
      <c r="BC27" s="818">
        <f t="shared" si="24"/>
        <v>1.2786906749590451E-2</v>
      </c>
      <c r="BD27" s="818">
        <f t="shared" si="25"/>
        <v>1.3123226525187462E-4</v>
      </c>
    </row>
    <row r="28" spans="1:56" ht="15">
      <c r="A28" s="815" t="str">
        <f>VLOOKUP(CONCATENATE($C28," - ",$B28),[2]ACHIEV!$B$17:$C$50,2,FALSE)</f>
        <v>Retro12Med</v>
      </c>
      <c r="B28" s="815" t="str">
        <f>'SC-Retro'!$C$7</f>
        <v>Retro</v>
      </c>
      <c r="C28" s="815" t="str">
        <f>'SC-Retro'!$C$8</f>
        <v>Irrigation Hardware</v>
      </c>
      <c r="D28" s="815" t="s">
        <v>1772</v>
      </c>
      <c r="E28" s="815" t="str">
        <f>'SC-Retro'!$A$9</f>
        <v>Irrigation</v>
      </c>
      <c r="F28" s="816">
        <f t="shared" si="1"/>
        <v>1.8831675648474176E-6</v>
      </c>
      <c r="G28" s="817">
        <f>'SC-Retro'!A174</f>
        <v>0.70800405905454133</v>
      </c>
      <c r="H28" s="817">
        <f>'SC-Retro'!B174</f>
        <v>1272.8590394517028</v>
      </c>
      <c r="I28" s="365" t="str">
        <f>'SC-Retro'!C174</f>
        <v xml:space="preserve">Center pivot/linear move systems: Replace leaking tower gasket with new tower gasket </v>
      </c>
      <c r="J28" s="365" t="str">
        <f>'SC-Retro'!D174</f>
        <v>Montana</v>
      </c>
      <c r="K28" s="360">
        <f>'SC-Retro'!E174</f>
        <v>2.4255193285196324E-4</v>
      </c>
      <c r="L28" s="360">
        <f>'SC-Retro'!F174</f>
        <v>2.4518319498983586E-4</v>
      </c>
      <c r="M28" s="360">
        <f>'SC-Retro'!G174</f>
        <v>2.4778034127047771E-4</v>
      </c>
      <c r="N28" s="360">
        <f>'SC-Retro'!H174</f>
        <v>2.5044455282938194E-4</v>
      </c>
      <c r="O28" s="360">
        <f>'SC-Retro'!I174</f>
        <v>2.5313896013004006E-4</v>
      </c>
      <c r="P28" s="360">
        <f>'SC-Retro'!J174</f>
        <v>2.2956946130887689E-4</v>
      </c>
      <c r="Q28" s="360">
        <f>'SC-Retro'!K174</f>
        <v>1.8506112311006479E-4</v>
      </c>
      <c r="R28" s="360">
        <f>'SC-Retro'!L174</f>
        <v>1.4922197400058171E-4</v>
      </c>
      <c r="S28" s="360">
        <f>'SC-Retro'!M174</f>
        <v>1.203500176656329E-4</v>
      </c>
      <c r="T28" s="360">
        <f>'SC-Retro'!N174</f>
        <v>9.708215031442416E-5</v>
      </c>
      <c r="U28" s="360">
        <f>'SC-Retro'!O174</f>
        <v>7.8323654408159093E-5</v>
      </c>
      <c r="V28" s="360">
        <f>'SC-Retro'!P174</f>
        <v>6.3197407203311975E-5</v>
      </c>
      <c r="W28" s="360">
        <f>'SC-Retro'!Q174</f>
        <v>5.0997102406333034E-5</v>
      </c>
      <c r="X28" s="360">
        <f>'SC-Retro'!R174</f>
        <v>4.115539926677924E-5</v>
      </c>
      <c r="Y28" s="360">
        <f>'SC-Retro'!S174</f>
        <v>3.321494853067753E-5</v>
      </c>
      <c r="Z28" s="360">
        <f>'SC-Retro'!T174</f>
        <v>2.6806736871862153E-5</v>
      </c>
      <c r="AA28" s="360">
        <f>'SC-Retro'!U174</f>
        <v>1.84466361868015E-7</v>
      </c>
      <c r="AB28" s="360">
        <f>'SC-Retro'!V174</f>
        <v>6.6467045046161985E-8</v>
      </c>
      <c r="AC28" s="360">
        <f>'SC-Retro'!W174</f>
        <v>2.2861156123534004E-8</v>
      </c>
      <c r="AD28" s="360">
        <f>'SC-Retro'!X174</f>
        <v>7.5210832474827579E-9</v>
      </c>
      <c r="AE28" s="360">
        <f>'SC-Retro'!Y174</f>
        <v>2.6276915254567104E-3</v>
      </c>
      <c r="AF28" s="818">
        <f t="shared" si="2"/>
        <v>0</v>
      </c>
      <c r="AG28" s="818">
        <f t="shared" si="3"/>
        <v>2.4802678167728734E-5</v>
      </c>
      <c r="AH28" s="818">
        <f t="shared" si="4"/>
        <v>1.3656142646031914E-3</v>
      </c>
      <c r="AI28" s="818">
        <f t="shared" si="5"/>
        <v>1.6449558812631247E-2</v>
      </c>
      <c r="AJ28" s="818">
        <f t="shared" si="6"/>
        <v>6.5155913453052286E-2</v>
      </c>
      <c r="AK28" s="818">
        <f t="shared" si="7"/>
        <v>8.6353087468004186E-2</v>
      </c>
      <c r="AL28" s="818">
        <f t="shared" si="8"/>
        <v>8.3600459669550001E-2</v>
      </c>
      <c r="AM28" s="818">
        <f t="shared" si="9"/>
        <v>8.4796774228615535E-2</v>
      </c>
      <c r="AN28" s="818">
        <f t="shared" si="10"/>
        <v>3.9863955735896094E-2</v>
      </c>
      <c r="AO28" s="818">
        <f t="shared" si="11"/>
        <v>2.2922877531112267E-2</v>
      </c>
      <c r="AP28" s="818">
        <f t="shared" si="12"/>
        <v>6.4787805453125798E-3</v>
      </c>
      <c r="AQ28" s="818">
        <f t="shared" si="13"/>
        <v>4.4395424261668668E-5</v>
      </c>
      <c r="AR28" s="818"/>
      <c r="AS28" s="818">
        <f t="shared" si="14"/>
        <v>0</v>
      </c>
      <c r="AT28" s="818">
        <f t="shared" si="15"/>
        <v>1.6962011646682538E-5</v>
      </c>
      <c r="AU28" s="818">
        <f t="shared" si="16"/>
        <v>5.0354188560606595E-4</v>
      </c>
      <c r="AV28" s="818">
        <f t="shared" si="17"/>
        <v>1.0840996830705531E-2</v>
      </c>
      <c r="AW28" s="818">
        <f t="shared" si="18"/>
        <v>4.2248782295010369E-2</v>
      </c>
      <c r="AX28" s="818">
        <f t="shared" si="19"/>
        <v>6.3476020808414843E-2</v>
      </c>
      <c r="AY28" s="818">
        <f t="shared" si="20"/>
        <v>7.2000388488448822E-2</v>
      </c>
      <c r="AZ28" s="818">
        <f t="shared" si="21"/>
        <v>6.1666096356052066E-2</v>
      </c>
      <c r="BA28" s="818">
        <f t="shared" si="22"/>
        <v>3.190719050632141E-2</v>
      </c>
      <c r="BB28" s="818">
        <f t="shared" si="23"/>
        <v>1.5058325307418135E-2</v>
      </c>
      <c r="BC28" s="818">
        <f t="shared" si="24"/>
        <v>3.1967266873976128E-3</v>
      </c>
      <c r="BD28" s="818">
        <f t="shared" si="25"/>
        <v>3.2808066312968654E-5</v>
      </c>
    </row>
    <row r="29" spans="1:56" ht="15">
      <c r="A29" s="815" t="str">
        <f>VLOOKUP(CONCATENATE($C29," - ",$B29),[2]ACHIEV!$B$17:$C$50,2,FALSE)</f>
        <v>Retro12Med</v>
      </c>
      <c r="B29" s="815" t="str">
        <f>'SC-Retro'!$C$7</f>
        <v>Retro</v>
      </c>
      <c r="C29" s="815" t="str">
        <f>'SC-Retro'!$C$8</f>
        <v>Irrigation Hardware</v>
      </c>
      <c r="D29" s="815" t="s">
        <v>1772</v>
      </c>
      <c r="E29" s="815" t="str">
        <f>'SC-Retro'!$A$9</f>
        <v>Irrigation</v>
      </c>
      <c r="F29" s="816">
        <f t="shared" si="1"/>
        <v>2.0163507212368184E-4</v>
      </c>
      <c r="G29" s="817">
        <f>'SC-Retro'!A175</f>
        <v>75.807619128618981</v>
      </c>
      <c r="H29" s="817">
        <f>'SC-Retro'!B175</f>
        <v>39.241001346540749</v>
      </c>
      <c r="I29" s="365" t="str">
        <f>'SC-Retro'!C175</f>
        <v xml:space="preserve">Wheel/hand line systems: Replace worn nozzle with new flow controlling type nozzle for impact sprinklers </v>
      </c>
      <c r="J29" s="365" t="str">
        <f>'SC-Retro'!D175</f>
        <v>Washington</v>
      </c>
      <c r="K29" s="360">
        <f>'SC-Retro'!E175</f>
        <v>2.0267848197889349E-2</v>
      </c>
      <c r="L29" s="360">
        <f>'SC-Retro'!F175</f>
        <v>2.0483946472232367E-2</v>
      </c>
      <c r="M29" s="360">
        <f>'SC-Retro'!G175</f>
        <v>2.0707861794471035E-2</v>
      </c>
      <c r="N29" s="360">
        <f>'SC-Retro'!H175</f>
        <v>2.093924650365182E-2</v>
      </c>
      <c r="O29" s="360">
        <f>'SC-Retro'!I175</f>
        <v>2.131854837099895E-2</v>
      </c>
      <c r="P29" s="360">
        <f>'SC-Retro'!J175</f>
        <v>1.9424608326733161E-2</v>
      </c>
      <c r="Q29" s="360">
        <f>'SC-Retro'!K175</f>
        <v>1.5725228390486429E-2</v>
      </c>
      <c r="R29" s="360">
        <f>'SC-Retro'!L175</f>
        <v>1.2734771581148243E-2</v>
      </c>
      <c r="S29" s="360">
        <f>'SC-Retro'!M175</f>
        <v>1.030846370199884E-2</v>
      </c>
      <c r="T29" s="360">
        <f>'SC-Retro'!N175</f>
        <v>8.4090852092841614E-3</v>
      </c>
      <c r="U29" s="360">
        <f>'SC-Retro'!O175</f>
        <v>6.8052522408480962E-3</v>
      </c>
      <c r="V29" s="360">
        <f>'SC-Retro'!P175</f>
        <v>5.5048929050968958E-3</v>
      </c>
      <c r="W29" s="360">
        <f>'SC-Retro'!Q175</f>
        <v>4.4542333831638905E-3</v>
      </c>
      <c r="X29" s="360">
        <f>'SC-Retro'!R175</f>
        <v>3.6025333959727166E-3</v>
      </c>
      <c r="Y29" s="360">
        <f>'SC-Retro'!S175</f>
        <v>2.9337021140272194E-3</v>
      </c>
      <c r="Z29" s="360">
        <f>'SC-Retro'!T175</f>
        <v>2.3745064678029506E-3</v>
      </c>
      <c r="AA29" s="360">
        <f>'SC-Retro'!U175</f>
        <v>1.6390016335184697E-5</v>
      </c>
      <c r="AB29" s="360">
        <f>'SC-Retro'!V175</f>
        <v>5.9230160495040396E-6</v>
      </c>
      <c r="AC29" s="360">
        <f>'SC-Retro'!W175</f>
        <v>2.042265424170721E-6</v>
      </c>
      <c r="AD29" s="360">
        <f>'SC-Retro'!X175</f>
        <v>6.7850150291963383E-7</v>
      </c>
      <c r="AE29" s="360">
        <f>'SC-Retro'!Y175</f>
        <v>0.23705264129715387</v>
      </c>
      <c r="AF29" s="818">
        <f t="shared" si="2"/>
        <v>0</v>
      </c>
      <c r="AG29" s="818">
        <f t="shared" si="3"/>
        <v>2.6556796615258517E-3</v>
      </c>
      <c r="AH29" s="818">
        <f t="shared" si="4"/>
        <v>0.14621945273292966</v>
      </c>
      <c r="AI29" s="818">
        <f t="shared" si="5"/>
        <v>1.7612920058212611</v>
      </c>
      <c r="AJ29" s="818">
        <f t="shared" si="6"/>
        <v>6.9763931546129001</v>
      </c>
      <c r="AK29" s="818">
        <f t="shared" si="7"/>
        <v>9.2460232136190239</v>
      </c>
      <c r="AL29" s="818">
        <f t="shared" si="8"/>
        <v>8.9512930392938657</v>
      </c>
      <c r="AM29" s="818">
        <f t="shared" si="9"/>
        <v>9.0793851840942317</v>
      </c>
      <c r="AN29" s="818">
        <f t="shared" si="10"/>
        <v>4.2683252090707819</v>
      </c>
      <c r="AO29" s="818">
        <f t="shared" si="11"/>
        <v>2.4544050941333233</v>
      </c>
      <c r="AP29" s="818">
        <f t="shared" si="12"/>
        <v>0.69369789864315923</v>
      </c>
      <c r="AQ29" s="818">
        <f t="shared" si="13"/>
        <v>4.753519941645936E-3</v>
      </c>
      <c r="AR29" s="818"/>
      <c r="AS29" s="818">
        <f t="shared" si="14"/>
        <v>0</v>
      </c>
      <c r="AT29" s="818">
        <f t="shared" si="15"/>
        <v>1.8161615065936413E-3</v>
      </c>
      <c r="AU29" s="818">
        <f t="shared" si="16"/>
        <v>5.3915385076048927E-2</v>
      </c>
      <c r="AV29" s="818">
        <f t="shared" si="17"/>
        <v>1.1607704054891308</v>
      </c>
      <c r="AW29" s="818">
        <f t="shared" si="18"/>
        <v>4.5236740607745016</v>
      </c>
      <c r="AX29" s="818">
        <f t="shared" si="19"/>
        <v>6.7965231946133722</v>
      </c>
      <c r="AY29" s="818">
        <f t="shared" si="20"/>
        <v>7.7092468014006954</v>
      </c>
      <c r="AZ29" s="818">
        <f t="shared" si="21"/>
        <v>6.6027304306008112</v>
      </c>
      <c r="BA29" s="818">
        <f t="shared" si="22"/>
        <v>3.4163760990262446</v>
      </c>
      <c r="BB29" s="818">
        <f t="shared" si="23"/>
        <v>1.6123294422125054</v>
      </c>
      <c r="BC29" s="818">
        <f t="shared" si="24"/>
        <v>0.34228086135571384</v>
      </c>
      <c r="BD29" s="818">
        <f t="shared" si="25"/>
        <v>3.512834938716655E-3</v>
      </c>
    </row>
    <row r="30" spans="1:56" ht="15">
      <c r="A30" s="815" t="str">
        <f>VLOOKUP(CONCATENATE($C30," - ",$B30),[2]ACHIEV!$B$17:$C$50,2,FALSE)</f>
        <v>Retro12Med</v>
      </c>
      <c r="B30" s="815" t="str">
        <f>'SC-Retro'!$C$7</f>
        <v>Retro</v>
      </c>
      <c r="C30" s="815" t="str">
        <f>'SC-Retro'!$C$8</f>
        <v>Irrigation Hardware</v>
      </c>
      <c r="D30" s="815" t="s">
        <v>1772</v>
      </c>
      <c r="E30" s="815" t="str">
        <f>'SC-Retro'!$A$9</f>
        <v>Irrigation</v>
      </c>
      <c r="F30" s="816">
        <f t="shared" si="1"/>
        <v>2.0163507212368184E-4</v>
      </c>
      <c r="G30" s="817">
        <f>'SC-Retro'!A176</f>
        <v>75.807619128618981</v>
      </c>
      <c r="H30" s="817">
        <f>'SC-Retro'!B176</f>
        <v>14.563061720172616</v>
      </c>
      <c r="I30" s="365" t="str">
        <f>'SC-Retro'!C176</f>
        <v xml:space="preserve">Wheel/hand line systems: Replace worn nozzle with new nozzle </v>
      </c>
      <c r="J30" s="365" t="str">
        <f>'SC-Retro'!D176</f>
        <v>Washington</v>
      </c>
      <c r="K30" s="360">
        <f>'SC-Retro'!E176</f>
        <v>2.0267848197889349E-2</v>
      </c>
      <c r="L30" s="360">
        <f>'SC-Retro'!F176</f>
        <v>2.0483946472232367E-2</v>
      </c>
      <c r="M30" s="360">
        <f>'SC-Retro'!G176</f>
        <v>2.0707861794471035E-2</v>
      </c>
      <c r="N30" s="360">
        <f>'SC-Retro'!H176</f>
        <v>2.093924650365182E-2</v>
      </c>
      <c r="O30" s="360">
        <f>'SC-Retro'!I176</f>
        <v>2.131854837099895E-2</v>
      </c>
      <c r="P30" s="360">
        <f>'SC-Retro'!J176</f>
        <v>1.9424608326733161E-2</v>
      </c>
      <c r="Q30" s="360">
        <f>'SC-Retro'!K176</f>
        <v>1.5725228390486429E-2</v>
      </c>
      <c r="R30" s="360">
        <f>'SC-Retro'!L176</f>
        <v>1.2734771581148243E-2</v>
      </c>
      <c r="S30" s="360">
        <f>'SC-Retro'!M176</f>
        <v>1.030846370199884E-2</v>
      </c>
      <c r="T30" s="360">
        <f>'SC-Retro'!N176</f>
        <v>8.4090852092841614E-3</v>
      </c>
      <c r="U30" s="360">
        <f>'SC-Retro'!O176</f>
        <v>6.8052522408480962E-3</v>
      </c>
      <c r="V30" s="360">
        <f>'SC-Retro'!P176</f>
        <v>5.5048929050968958E-3</v>
      </c>
      <c r="W30" s="360">
        <f>'SC-Retro'!Q176</f>
        <v>4.4542333831638905E-3</v>
      </c>
      <c r="X30" s="360">
        <f>'SC-Retro'!R176</f>
        <v>3.6025333959727166E-3</v>
      </c>
      <c r="Y30" s="360">
        <f>'SC-Retro'!S176</f>
        <v>2.9337021140272194E-3</v>
      </c>
      <c r="Z30" s="360">
        <f>'SC-Retro'!T176</f>
        <v>2.3745064678029506E-3</v>
      </c>
      <c r="AA30" s="360">
        <f>'SC-Retro'!U176</f>
        <v>1.6390016335184697E-5</v>
      </c>
      <c r="AB30" s="360">
        <f>'SC-Retro'!V176</f>
        <v>5.9230160495040396E-6</v>
      </c>
      <c r="AC30" s="360">
        <f>'SC-Retro'!W176</f>
        <v>2.042265424170721E-6</v>
      </c>
      <c r="AD30" s="360">
        <f>'SC-Retro'!X176</f>
        <v>6.7850150291963383E-7</v>
      </c>
      <c r="AE30" s="360">
        <f>'SC-Retro'!Y176</f>
        <v>0.23705264129715387</v>
      </c>
      <c r="AF30" s="818">
        <f t="shared" si="2"/>
        <v>0</v>
      </c>
      <c r="AG30" s="818">
        <f t="shared" si="3"/>
        <v>2.6556796615258517E-3</v>
      </c>
      <c r="AH30" s="818">
        <f t="shared" si="4"/>
        <v>0.14621945273292966</v>
      </c>
      <c r="AI30" s="818">
        <f t="shared" si="5"/>
        <v>1.7612920058212611</v>
      </c>
      <c r="AJ30" s="818">
        <f t="shared" si="6"/>
        <v>6.9763931546129001</v>
      </c>
      <c r="AK30" s="818">
        <f t="shared" si="7"/>
        <v>9.2460232136190239</v>
      </c>
      <c r="AL30" s="818">
        <f t="shared" si="8"/>
        <v>8.9512930392938657</v>
      </c>
      <c r="AM30" s="818">
        <f t="shared" si="9"/>
        <v>9.0793851840942317</v>
      </c>
      <c r="AN30" s="818">
        <f t="shared" si="10"/>
        <v>4.2683252090707819</v>
      </c>
      <c r="AO30" s="818">
        <f t="shared" si="11"/>
        <v>2.4544050941333233</v>
      </c>
      <c r="AP30" s="818">
        <f t="shared" si="12"/>
        <v>0.69369789864315923</v>
      </c>
      <c r="AQ30" s="818">
        <f t="shared" si="13"/>
        <v>4.753519941645936E-3</v>
      </c>
      <c r="AR30" s="818"/>
      <c r="AS30" s="818">
        <f t="shared" si="14"/>
        <v>0</v>
      </c>
      <c r="AT30" s="818">
        <f t="shared" si="15"/>
        <v>1.8161615065936413E-3</v>
      </c>
      <c r="AU30" s="818">
        <f t="shared" si="16"/>
        <v>5.3915385076048927E-2</v>
      </c>
      <c r="AV30" s="818">
        <f t="shared" si="17"/>
        <v>1.1607704054891308</v>
      </c>
      <c r="AW30" s="818">
        <f t="shared" si="18"/>
        <v>4.5236740607745016</v>
      </c>
      <c r="AX30" s="818">
        <f t="shared" si="19"/>
        <v>6.7965231946133722</v>
      </c>
      <c r="AY30" s="818">
        <f t="shared" si="20"/>
        <v>7.7092468014006954</v>
      </c>
      <c r="AZ30" s="818">
        <f t="shared" si="21"/>
        <v>6.6027304306008112</v>
      </c>
      <c r="BA30" s="818">
        <f t="shared" si="22"/>
        <v>3.4163760990262446</v>
      </c>
      <c r="BB30" s="818">
        <f t="shared" si="23"/>
        <v>1.6123294422125054</v>
      </c>
      <c r="BC30" s="818">
        <f t="shared" si="24"/>
        <v>0.34228086135571384</v>
      </c>
      <c r="BD30" s="818">
        <f t="shared" si="25"/>
        <v>3.512834938716655E-3</v>
      </c>
    </row>
    <row r="31" spans="1:56" ht="15">
      <c r="A31" s="815" t="str">
        <f>VLOOKUP(CONCATENATE($C31," - ",$B31),[2]ACHIEV!$B$17:$C$50,2,FALSE)</f>
        <v>Retro12Med</v>
      </c>
      <c r="B31" s="815" t="str">
        <f>'SC-Retro'!$C$7</f>
        <v>Retro</v>
      </c>
      <c r="C31" s="815" t="str">
        <f>'SC-Retro'!$C$8</f>
        <v>Irrigation Hardware</v>
      </c>
      <c r="D31" s="815" t="s">
        <v>1772</v>
      </c>
      <c r="E31" s="815" t="str">
        <f>'SC-Retro'!$A$9</f>
        <v>Irrigation</v>
      </c>
      <c r="F31" s="816">
        <f t="shared" si="1"/>
        <v>1.7725588785829057E-4</v>
      </c>
      <c r="G31" s="817">
        <f>'SC-Retro'!A177</f>
        <v>66.641912508276818</v>
      </c>
      <c r="H31" s="817">
        <f>'SC-Retro'!B177</f>
        <v>79.774754914869376</v>
      </c>
      <c r="I31" s="365" t="str">
        <f>'SC-Retro'!C177</f>
        <v xml:space="preserve">Wheel/hand line systems: Rebuild or replace leaking impact sprinkler with new or rebuilt impact sprinkler </v>
      </c>
      <c r="J31" s="365" t="str">
        <f>'SC-Retro'!D177</f>
        <v>Washington</v>
      </c>
      <c r="K31" s="360">
        <f>'SC-Retro'!E177</f>
        <v>3.5634628335791237E-2</v>
      </c>
      <c r="L31" s="360">
        <f>'SC-Retro'!F177</f>
        <v>3.6014569097880693E-2</v>
      </c>
      <c r="M31" s="360">
        <f>'SC-Retro'!G177</f>
        <v>3.640825367696169E-2</v>
      </c>
      <c r="N31" s="360">
        <f>'SC-Retro'!H177</f>
        <v>3.6815070820732342E-2</v>
      </c>
      <c r="O31" s="360">
        <f>'SC-Retro'!I177</f>
        <v>3.7481953705290075E-2</v>
      </c>
      <c r="P31" s="360">
        <f>'SC-Retro'!J177</f>
        <v>3.4152056574191979E-2</v>
      </c>
      <c r="Q31" s="360">
        <f>'SC-Retro'!K177</f>
        <v>2.7647861959454165E-2</v>
      </c>
      <c r="R31" s="360">
        <f>'SC-Retro'!L177</f>
        <v>2.2390085410382728E-2</v>
      </c>
      <c r="S31" s="360">
        <f>'SC-Retro'!M177</f>
        <v>1.8124187094117727E-2</v>
      </c>
      <c r="T31" s="360">
        <f>'SC-Retro'!N177</f>
        <v>1.4784728164090242E-2</v>
      </c>
      <c r="U31" s="360">
        <f>'SC-Retro'!O177</f>
        <v>1.1964892965755789E-2</v>
      </c>
      <c r="V31" s="360">
        <f>'SC-Retro'!P177</f>
        <v>9.678620581038801E-3</v>
      </c>
      <c r="W31" s="360">
        <f>'SC-Retro'!Q177</f>
        <v>7.8313666838322055E-3</v>
      </c>
      <c r="X31" s="360">
        <f>'SC-Retro'!R177</f>
        <v>6.3339204724324073E-3</v>
      </c>
      <c r="Y31" s="360">
        <f>'SC-Retro'!S177</f>
        <v>5.1579912904701816E-3</v>
      </c>
      <c r="Z31" s="360">
        <f>'SC-Retro'!T177</f>
        <v>4.1748218476346287E-3</v>
      </c>
      <c r="AA31" s="360">
        <f>'SC-Retro'!U177</f>
        <v>2.8816682206188804E-5</v>
      </c>
      <c r="AB31" s="360">
        <f>'SC-Retro'!V177</f>
        <v>1.0413758455768517E-5</v>
      </c>
      <c r="AC31" s="360">
        <f>'SC-Retro'!W177</f>
        <v>3.5906806012559018E-6</v>
      </c>
      <c r="AD31" s="360">
        <f>'SC-Retro'!X177</f>
        <v>1.1929312202138354E-6</v>
      </c>
      <c r="AE31" s="360">
        <f>'SC-Retro'!Y177</f>
        <v>0.41678241746064576</v>
      </c>
      <c r="AF31" s="818">
        <f t="shared" si="2"/>
        <v>0</v>
      </c>
      <c r="AG31" s="818">
        <f t="shared" si="3"/>
        <v>2.33458818107905E-3</v>
      </c>
      <c r="AH31" s="818">
        <f t="shared" si="4"/>
        <v>0.12854043021062667</v>
      </c>
      <c r="AI31" s="818">
        <f t="shared" si="5"/>
        <v>1.5483386644068335</v>
      </c>
      <c r="AJ31" s="818">
        <f t="shared" si="6"/>
        <v>6.1328951835863279</v>
      </c>
      <c r="AK31" s="818">
        <f t="shared" si="7"/>
        <v>8.1281100387293002</v>
      </c>
      <c r="AL31" s="818">
        <f t="shared" si="8"/>
        <v>7.869014940944977</v>
      </c>
      <c r="AM31" s="818">
        <f t="shared" si="9"/>
        <v>7.98161978996814</v>
      </c>
      <c r="AN31" s="818">
        <f t="shared" si="10"/>
        <v>3.7522528528056851</v>
      </c>
      <c r="AO31" s="818">
        <f t="shared" si="11"/>
        <v>2.1576492102408231</v>
      </c>
      <c r="AP31" s="818">
        <f t="shared" si="12"/>
        <v>0.60982464823381233</v>
      </c>
      <c r="AQ31" s="818">
        <f t="shared" si="13"/>
        <v>4.1787839230255554E-3</v>
      </c>
      <c r="AR31" s="818"/>
      <c r="AS31" s="818">
        <f t="shared" si="14"/>
        <v>0</v>
      </c>
      <c r="AT31" s="818">
        <f t="shared" si="15"/>
        <v>1.59657403325072E-3</v>
      </c>
      <c r="AU31" s="818">
        <f t="shared" si="16"/>
        <v>4.7396612852225337E-2</v>
      </c>
      <c r="AV31" s="818">
        <f t="shared" si="17"/>
        <v>1.0204246049933012</v>
      </c>
      <c r="AW31" s="818">
        <f t="shared" si="18"/>
        <v>3.9767281236284822</v>
      </c>
      <c r="AX31" s="818">
        <f t="shared" si="19"/>
        <v>5.9747728434450522</v>
      </c>
      <c r="AY31" s="818">
        <f t="shared" si="20"/>
        <v>6.7771413579417255</v>
      </c>
      <c r="AZ31" s="818">
        <f t="shared" si="21"/>
        <v>5.8044110701495413</v>
      </c>
      <c r="BA31" s="818">
        <f t="shared" si="22"/>
        <v>3.0033107450636627</v>
      </c>
      <c r="BB31" s="818">
        <f t="shared" si="23"/>
        <v>1.4173867858868077</v>
      </c>
      <c r="BC31" s="818">
        <f t="shared" si="24"/>
        <v>0.30089655206060617</v>
      </c>
      <c r="BD31" s="818">
        <f t="shared" si="25"/>
        <v>3.0881069915252722E-3</v>
      </c>
    </row>
    <row r="32" spans="1:56" ht="15">
      <c r="A32" s="815" t="str">
        <f>VLOOKUP(CONCATENATE($C32," - ",$B32),[2]ACHIEV!$B$17:$C$50,2,FALSE)</f>
        <v>Retro12Med</v>
      </c>
      <c r="B32" s="815" t="str">
        <f>'SC-Retro'!$C$7</f>
        <v>Retro</v>
      </c>
      <c r="C32" s="815" t="str">
        <f>'SC-Retro'!$C$8</f>
        <v>Irrigation Hardware</v>
      </c>
      <c r="D32" s="815" t="s">
        <v>1772</v>
      </c>
      <c r="E32" s="815" t="str">
        <f>'SC-Retro'!$A$9</f>
        <v>Irrigation</v>
      </c>
      <c r="F32" s="816">
        <f t="shared" si="1"/>
        <v>1.0606173555314377E-3</v>
      </c>
      <c r="G32" s="817">
        <f>'SC-Retro'!A178</f>
        <v>398.75442145308739</v>
      </c>
      <c r="H32" s="817">
        <f>'SC-Retro'!B178</f>
        <v>4.0909288497475105</v>
      </c>
      <c r="I32" s="365" t="str">
        <f>'SC-Retro'!C178</f>
        <v xml:space="preserve">Wheel/hand line systems: Replace leaking gasket with new gasket </v>
      </c>
      <c r="J32" s="365" t="str">
        <f>'SC-Retro'!D178</f>
        <v>Washington</v>
      </c>
      <c r="K32" s="360">
        <f>'SC-Retro'!E178</f>
        <v>0.21322115573993228</v>
      </c>
      <c r="L32" s="360">
        <f>'SC-Retro'!F178</f>
        <v>0.21549454575938293</v>
      </c>
      <c r="M32" s="360">
        <f>'SC-Retro'!G178</f>
        <v>0.21785017243121582</v>
      </c>
      <c r="N32" s="360">
        <f>'SC-Retro'!H178</f>
        <v>0.22028437830400369</v>
      </c>
      <c r="O32" s="360">
        <f>'SC-Retro'!I178</f>
        <v>0.22427469744101458</v>
      </c>
      <c r="P32" s="360">
        <f>'SC-Retro'!J178</f>
        <v>0.20435013114282491</v>
      </c>
      <c r="Q32" s="360">
        <f>'SC-Retro'!K178</f>
        <v>0.16543203496279787</v>
      </c>
      <c r="R32" s="360">
        <f>'SC-Retro'!L178</f>
        <v>0.1339719287466955</v>
      </c>
      <c r="S32" s="360">
        <f>'SC-Retro'!M178</f>
        <v>0.10844676371082286</v>
      </c>
      <c r="T32" s="360">
        <f>'SC-Retro'!N178</f>
        <v>8.8464984024592089E-2</v>
      </c>
      <c r="U32" s="360">
        <f>'SC-Retro'!O178</f>
        <v>7.1592392726056706E-2</v>
      </c>
      <c r="V32" s="360">
        <f>'SC-Retro'!P178</f>
        <v>5.7912394842761165E-2</v>
      </c>
      <c r="W32" s="360">
        <f>'SC-Retro'!Q178</f>
        <v>4.6859280798861362E-2</v>
      </c>
      <c r="X32" s="360">
        <f>'SC-Retro'!R178</f>
        <v>3.7899254364900846E-2</v>
      </c>
      <c r="Y32" s="360">
        <f>'SC-Retro'!S178</f>
        <v>3.0863037321086074E-2</v>
      </c>
      <c r="Z32" s="360">
        <f>'SC-Retro'!T178</f>
        <v>2.4980205517308632E-2</v>
      </c>
      <c r="AA32" s="360">
        <f>'SC-Retro'!U178</f>
        <v>1.72425715421945E-4</v>
      </c>
      <c r="AB32" s="360">
        <f>'SC-Retro'!V178</f>
        <v>6.2311120312857679E-5</v>
      </c>
      <c r="AC32" s="360">
        <f>'SC-Retro'!W178</f>
        <v>2.148497412343612E-5</v>
      </c>
      <c r="AD32" s="360">
        <f>'SC-Retro'!X178</f>
        <v>7.1379493871910428E-6</v>
      </c>
      <c r="AE32" s="360">
        <f>'SC-Retro'!Y178</f>
        <v>2.4938334674248428</v>
      </c>
      <c r="AF32" s="818">
        <f t="shared" si="2"/>
        <v>0</v>
      </c>
      <c r="AG32" s="818">
        <f t="shared" si="3"/>
        <v>1.3969097290864402E-2</v>
      </c>
      <c r="AH32" s="818">
        <f t="shared" si="4"/>
        <v>0.76912655943965402</v>
      </c>
      <c r="AI32" s="818">
        <f t="shared" si="5"/>
        <v>9.2645433646927842</v>
      </c>
      <c r="AJ32" s="818">
        <f t="shared" si="6"/>
        <v>36.696411893336091</v>
      </c>
      <c r="AK32" s="818">
        <f t="shared" si="7"/>
        <v>48.634855963924991</v>
      </c>
      <c r="AL32" s="818">
        <f t="shared" si="8"/>
        <v>47.084550579074467</v>
      </c>
      <c r="AM32" s="818">
        <f t="shared" si="9"/>
        <v>47.758325981595618</v>
      </c>
      <c r="AN32" s="818">
        <f t="shared" si="10"/>
        <v>22.451747843827242</v>
      </c>
      <c r="AO32" s="818">
        <f t="shared" si="11"/>
        <v>12.910376220391836</v>
      </c>
      <c r="AP32" s="818">
        <f t="shared" si="12"/>
        <v>3.6489090069872319</v>
      </c>
      <c r="AQ32" s="818">
        <f t="shared" si="13"/>
        <v>2.5003912746300094E-2</v>
      </c>
      <c r="AR32" s="818"/>
      <c r="AS32" s="818">
        <f t="shared" si="14"/>
        <v>0</v>
      </c>
      <c r="AT32" s="818">
        <f t="shared" si="15"/>
        <v>9.5531615311436856E-3</v>
      </c>
      <c r="AU32" s="818">
        <f t="shared" si="16"/>
        <v>0.28359943803200099</v>
      </c>
      <c r="AV32" s="818">
        <f t="shared" si="17"/>
        <v>6.1057494853567249</v>
      </c>
      <c r="AW32" s="818">
        <f t="shared" si="18"/>
        <v>23.794904175607975</v>
      </c>
      <c r="AX32" s="818">
        <f t="shared" si="19"/>
        <v>35.7502808492426</v>
      </c>
      <c r="AY32" s="818">
        <f t="shared" si="20"/>
        <v>40.551283412765329</v>
      </c>
      <c r="AZ32" s="818">
        <f t="shared" si="21"/>
        <v>34.730914690749835</v>
      </c>
      <c r="BA32" s="818">
        <f t="shared" si="22"/>
        <v>17.970424219787567</v>
      </c>
      <c r="BB32" s="818">
        <f t="shared" si="23"/>
        <v>8.4809878124573554</v>
      </c>
      <c r="BC32" s="818">
        <f t="shared" si="24"/>
        <v>1.8004259784599372</v>
      </c>
      <c r="BD32" s="818">
        <f t="shared" si="25"/>
        <v>1.847780578983169E-2</v>
      </c>
    </row>
    <row r="33" spans="1:56" ht="15">
      <c r="A33" s="815" t="str">
        <f>VLOOKUP(CONCATENATE($C33," - ",$B33),[2]ACHIEV!$B$17:$C$50,2,FALSE)</f>
        <v>Retro12Med</v>
      </c>
      <c r="B33" s="815" t="str">
        <f>'SC-Retro'!$C$7</f>
        <v>Retro</v>
      </c>
      <c r="C33" s="815" t="str">
        <f>'SC-Retro'!$C$8</f>
        <v>Irrigation Hardware</v>
      </c>
      <c r="D33" s="815" t="s">
        <v>1772</v>
      </c>
      <c r="E33" s="815" t="str">
        <f>'SC-Retro'!$A$9</f>
        <v>Irrigation</v>
      </c>
      <c r="F33" s="816">
        <f t="shared" si="1"/>
        <v>1.0992546922149928E-3</v>
      </c>
      <c r="G33" s="817">
        <f>'SC-Retro'!A179</f>
        <v>413.28068651502326</v>
      </c>
      <c r="H33" s="817">
        <f>'SC-Retro'!B179</f>
        <v>14.130402124270704</v>
      </c>
      <c r="I33" s="365" t="str">
        <f>'SC-Retro'!C179</f>
        <v xml:space="preserve">Wheel/hand line systems: Replace leaking drain with new drain </v>
      </c>
      <c r="J33" s="365" t="str">
        <f>'SC-Retro'!D179</f>
        <v>Washington</v>
      </c>
      <c r="K33" s="360">
        <f>'SC-Retro'!E179</f>
        <v>0.22098861074094209</v>
      </c>
      <c r="L33" s="360">
        <f>'SC-Retro'!F179</f>
        <v>0.22334481831484487</v>
      </c>
      <c r="M33" s="360">
        <f>'SC-Retro'!G179</f>
        <v>0.22578625834843888</v>
      </c>
      <c r="N33" s="360">
        <f>'SC-Retro'!H179</f>
        <v>0.22830914015262976</v>
      </c>
      <c r="O33" s="360">
        <f>'SC-Retro'!I179</f>
        <v>0.23244482302819114</v>
      </c>
      <c r="P33" s="360">
        <f>'SC-Retro'!J179</f>
        <v>0.21179442269351126</v>
      </c>
      <c r="Q33" s="360">
        <f>'SC-Retro'!K179</f>
        <v>0.17145857526007649</v>
      </c>
      <c r="R33" s="360">
        <f>'SC-Retro'!L179</f>
        <v>0.13885240565963236</v>
      </c>
      <c r="S33" s="360">
        <f>'SC-Retro'!M179</f>
        <v>0.11239738181063465</v>
      </c>
      <c r="T33" s="360">
        <f>'SC-Retro'!N179</f>
        <v>9.1687683855626631E-2</v>
      </c>
      <c r="U33" s="360">
        <f>'SC-Retro'!O179</f>
        <v>7.4200439225872772E-2</v>
      </c>
      <c r="V33" s="360">
        <f>'SC-Retro'!P179</f>
        <v>6.002209131908328E-2</v>
      </c>
      <c r="W33" s="360">
        <f>'SC-Retro'!Q179</f>
        <v>4.8566322268183415E-2</v>
      </c>
      <c r="X33" s="360">
        <f>'SC-Retro'!R179</f>
        <v>3.9279890127002483E-2</v>
      </c>
      <c r="Y33" s="360">
        <f>'SC-Retro'!S179</f>
        <v>3.1987350022394292E-2</v>
      </c>
      <c r="Z33" s="360">
        <f>'SC-Retro'!T179</f>
        <v>2.5890211945133908E-2</v>
      </c>
      <c r="AA33" s="360">
        <f>'SC-Retro'!U179</f>
        <v>1.7870702921048129E-4</v>
      </c>
      <c r="AB33" s="360">
        <f>'SC-Retro'!V179</f>
        <v>6.4581058403255089E-5</v>
      </c>
      <c r="AC33" s="360">
        <f>'SC-Retro'!W179</f>
        <v>2.2267652414070656E-5</v>
      </c>
      <c r="AD33" s="360">
        <f>'SC-Retro'!X179</f>
        <v>7.3979784657882771E-6</v>
      </c>
      <c r="AE33" s="360">
        <f>'SC-Retro'!Y179</f>
        <v>2.5846815784906196</v>
      </c>
      <c r="AF33" s="818">
        <f t="shared" si="2"/>
        <v>0</v>
      </c>
      <c r="AG33" s="818">
        <f t="shared" si="3"/>
        <v>1.4477978945852997E-2</v>
      </c>
      <c r="AH33" s="818">
        <f t="shared" si="4"/>
        <v>0.79714514849474649</v>
      </c>
      <c r="AI33" s="818">
        <f t="shared" si="5"/>
        <v>9.6020423499150951</v>
      </c>
      <c r="AJ33" s="818">
        <f t="shared" si="6"/>
        <v>38.033229185648651</v>
      </c>
      <c r="AK33" s="818">
        <f t="shared" si="7"/>
        <v>50.406580040128532</v>
      </c>
      <c r="AL33" s="818">
        <f t="shared" si="8"/>
        <v>48.799798423954421</v>
      </c>
      <c r="AM33" s="818">
        <f t="shared" si="9"/>
        <v>49.498118858612315</v>
      </c>
      <c r="AN33" s="818">
        <f t="shared" si="10"/>
        <v>23.269644831889984</v>
      </c>
      <c r="AO33" s="818">
        <f t="shared" si="11"/>
        <v>13.380689618656662</v>
      </c>
      <c r="AP33" s="818">
        <f t="shared" si="12"/>
        <v>3.7818354814554724</v>
      </c>
      <c r="AQ33" s="818">
        <f t="shared" si="13"/>
        <v>2.5914782807162865E-2</v>
      </c>
      <c r="AR33" s="818"/>
      <c r="AS33" s="818">
        <f t="shared" si="14"/>
        <v>0</v>
      </c>
      <c r="AT33" s="818">
        <f t="shared" si="15"/>
        <v>9.9011746166793608E-3</v>
      </c>
      <c r="AU33" s="818">
        <f t="shared" si="16"/>
        <v>0.29393071058129755</v>
      </c>
      <c r="AV33" s="818">
        <f t="shared" si="17"/>
        <v>6.3281764495590638</v>
      </c>
      <c r="AW33" s="818">
        <f t="shared" si="18"/>
        <v>24.661731141234263</v>
      </c>
      <c r="AX33" s="818">
        <f t="shared" si="19"/>
        <v>37.052631438265088</v>
      </c>
      <c r="AY33" s="818">
        <f t="shared" si="20"/>
        <v>42.02853020869788</v>
      </c>
      <c r="AZ33" s="818">
        <f t="shared" si="21"/>
        <v>35.99613068710881</v>
      </c>
      <c r="BA33" s="818">
        <f t="shared" si="22"/>
        <v>18.625070617289087</v>
      </c>
      <c r="BB33" s="818">
        <f t="shared" si="23"/>
        <v>8.7899425733898227</v>
      </c>
      <c r="BC33" s="818">
        <f t="shared" si="24"/>
        <v>1.866013878130615</v>
      </c>
      <c r="BD33" s="818">
        <f t="shared" si="25"/>
        <v>1.9150935641753963E-2</v>
      </c>
    </row>
    <row r="34" spans="1:56" ht="15">
      <c r="A34" s="815" t="str">
        <f>VLOOKUP(CONCATENATE($C34," - ",$B34),[2]ACHIEV!$B$17:$C$50,2,FALSE)</f>
        <v>Retro12Med</v>
      </c>
      <c r="B34" s="815" t="str">
        <f>'SC-Retro'!$C$7</f>
        <v>Retro</v>
      </c>
      <c r="C34" s="815" t="str">
        <f>'SC-Retro'!$C$8</f>
        <v>Irrigation Hardware</v>
      </c>
      <c r="D34" s="815" t="s">
        <v>1772</v>
      </c>
      <c r="E34" s="815" t="str">
        <f>'SC-Retro'!$A$9</f>
        <v>Irrigation</v>
      </c>
      <c r="F34" s="816">
        <f t="shared" si="1"/>
        <v>5.2773527786177817E-4</v>
      </c>
      <c r="G34" s="817">
        <f>'SC-Retro'!A180</f>
        <v>198.409703845281</v>
      </c>
      <c r="H34" s="817">
        <f>'SC-Retro'!B180</f>
        <v>26.119453513193985</v>
      </c>
      <c r="I34" s="365" t="str">
        <f>'SC-Retro'!C180</f>
        <v xml:space="preserve">Wheel/hand line systems: Cut and pipe press repair of leaking hand-lines, wheel-lines, and portable main-lines </v>
      </c>
      <c r="J34" s="365" t="str">
        <f>'SC-Retro'!D180</f>
        <v>Washington</v>
      </c>
      <c r="K34" s="360">
        <f>'SC-Retro'!E180</f>
        <v>0.10609323455209788</v>
      </c>
      <c r="L34" s="360">
        <f>'SC-Retro'!F180</f>
        <v>0.10722441358414557</v>
      </c>
      <c r="M34" s="360">
        <f>'SC-Retro'!G180</f>
        <v>0.10839651140973265</v>
      </c>
      <c r="N34" s="360">
        <f>'SC-Retro'!H180</f>
        <v>0.1096077081773028</v>
      </c>
      <c r="O34" s="360">
        <f>'SC-Retro'!I180</f>
        <v>0.11159318594413839</v>
      </c>
      <c r="P34" s="360">
        <f>'SC-Retro'!J180</f>
        <v>0.10167924622137955</v>
      </c>
      <c r="Q34" s="360">
        <f>'SC-Retro'!K180</f>
        <v>8.2314625989300769E-2</v>
      </c>
      <c r="R34" s="360">
        <f>'SC-Retro'!L180</f>
        <v>6.6660905249273025E-2</v>
      </c>
      <c r="S34" s="360">
        <f>'SC-Retro'!M180</f>
        <v>5.3960255017197221E-2</v>
      </c>
      <c r="T34" s="360">
        <f>'SC-Retro'!N180</f>
        <v>4.4017847418556633E-2</v>
      </c>
      <c r="U34" s="360">
        <f>'SC-Retro'!O180</f>
        <v>3.5622490119581296E-2</v>
      </c>
      <c r="V34" s="360">
        <f>'SC-Retro'!P180</f>
        <v>2.8815683266536624E-2</v>
      </c>
      <c r="W34" s="360">
        <f>'SC-Retro'!Q180</f>
        <v>2.3315944665453083E-2</v>
      </c>
      <c r="X34" s="360">
        <f>'SC-Retro'!R180</f>
        <v>1.8857671363480072E-2</v>
      </c>
      <c r="Y34" s="360">
        <f>'SC-Retro'!S180</f>
        <v>1.5356634974298242E-2</v>
      </c>
      <c r="Z34" s="360">
        <f>'SC-Retro'!T180</f>
        <v>1.2429492720412532E-2</v>
      </c>
      <c r="AA34" s="360">
        <f>'SC-Retro'!U180</f>
        <v>8.5794497293627242E-5</v>
      </c>
      <c r="AB34" s="360">
        <f>'SC-Retro'!V180</f>
        <v>3.1004373274382015E-5</v>
      </c>
      <c r="AC34" s="360">
        <f>'SC-Retro'!W180</f>
        <v>1.0690357582545321E-5</v>
      </c>
      <c r="AD34" s="360">
        <f>'SC-Retro'!X180</f>
        <v>3.551655725381837E-6</v>
      </c>
      <c r="AE34" s="360">
        <f>'SC-Retro'!Y180</f>
        <v>1.2408658891056974</v>
      </c>
      <c r="AF34" s="818">
        <f t="shared" si="2"/>
        <v>0</v>
      </c>
      <c r="AG34" s="818">
        <f t="shared" si="3"/>
        <v>6.9506551083908076E-3</v>
      </c>
      <c r="AH34" s="818">
        <f t="shared" si="4"/>
        <v>0.38269713053430049</v>
      </c>
      <c r="AI34" s="818">
        <f t="shared" si="5"/>
        <v>4.6097929110153224</v>
      </c>
      <c r="AJ34" s="818">
        <f t="shared" si="6"/>
        <v>18.25916861162089</v>
      </c>
      <c r="AK34" s="818">
        <f t="shared" si="7"/>
        <v>24.199424129759809</v>
      </c>
      <c r="AL34" s="818">
        <f t="shared" si="8"/>
        <v>23.428032978391411</v>
      </c>
      <c r="AM34" s="818">
        <f t="shared" si="9"/>
        <v>23.763285883137407</v>
      </c>
      <c r="AN34" s="818">
        <f t="shared" si="10"/>
        <v>11.171398737773666</v>
      </c>
      <c r="AO34" s="818">
        <f t="shared" si="11"/>
        <v>6.4238633720590927</v>
      </c>
      <c r="AP34" s="818">
        <f t="shared" si="12"/>
        <v>1.81560107295234</v>
      </c>
      <c r="AQ34" s="818">
        <f t="shared" si="13"/>
        <v>1.2441288813521786E-2</v>
      </c>
      <c r="AR34" s="818"/>
      <c r="AS34" s="818">
        <f t="shared" si="14"/>
        <v>0</v>
      </c>
      <c r="AT34" s="818">
        <f t="shared" si="15"/>
        <v>4.7534017134486977E-3</v>
      </c>
      <c r="AU34" s="818">
        <f t="shared" si="16"/>
        <v>0.14111161527832075</v>
      </c>
      <c r="AV34" s="818">
        <f t="shared" si="17"/>
        <v>3.038060224457293</v>
      </c>
      <c r="AW34" s="818">
        <f t="shared" si="18"/>
        <v>11.839717973044847</v>
      </c>
      <c r="AX34" s="818">
        <f t="shared" si="19"/>
        <v>17.788398708748478</v>
      </c>
      <c r="AY34" s="818">
        <f t="shared" si="20"/>
        <v>20.177251209286947</v>
      </c>
      <c r="AZ34" s="818">
        <f t="shared" si="21"/>
        <v>17.281188940692658</v>
      </c>
      <c r="BA34" s="818">
        <f t="shared" si="22"/>
        <v>8.9416100627277686</v>
      </c>
      <c r="BB34" s="818">
        <f t="shared" si="23"/>
        <v>4.2199162934750518</v>
      </c>
      <c r="BC34" s="818">
        <f t="shared" si="24"/>
        <v>0.89584457491366731</v>
      </c>
      <c r="BD34" s="818">
        <f t="shared" si="25"/>
        <v>9.194069776358435E-3</v>
      </c>
    </row>
    <row r="35" spans="1:56" ht="15">
      <c r="A35" s="815" t="str">
        <f>VLOOKUP(CONCATENATE($C35," - ",$B35),[2]ACHIEV!$B$17:$C$50,2,FALSE)</f>
        <v>Retro12Med</v>
      </c>
      <c r="B35" s="815" t="str">
        <f>'SC-Retro'!$C$7</f>
        <v>Retro</v>
      </c>
      <c r="C35" s="815" t="str">
        <f>'SC-Retro'!$C$8</f>
        <v>Irrigation Hardware</v>
      </c>
      <c r="D35" s="815" t="s">
        <v>1772</v>
      </c>
      <c r="E35" s="815" t="str">
        <f>'SC-Retro'!$A$9</f>
        <v>Irrigation</v>
      </c>
      <c r="F35" s="816">
        <f t="shared" ref="F35:F54" si="26">VLOOKUP(CONCATENATE($I35," - ",$J35),MeasureOutput,14,FALSE)</f>
        <v>9.133686683449805E-4</v>
      </c>
      <c r="G35" s="817">
        <f>'SC-Retro'!A181</f>
        <v>343.39414966181369</v>
      </c>
      <c r="H35" s="817">
        <f>'SC-Retro'!B181</f>
        <v>70.433406428063208</v>
      </c>
      <c r="I35" s="365" t="str">
        <f>'SC-Retro'!C181</f>
        <v xml:space="preserve">Thunderbird wheel line systems: Replace leaking hub with new hub </v>
      </c>
      <c r="J35" s="365" t="str">
        <f>'SC-Retro'!D181</f>
        <v>Washington</v>
      </c>
      <c r="K35" s="360">
        <f>'SC-Retro'!E181</f>
        <v>2.1450846041724907E-2</v>
      </c>
      <c r="L35" s="360">
        <f>'SC-Retro'!F181</f>
        <v>2.1679557583648593E-2</v>
      </c>
      <c r="M35" s="360">
        <f>'SC-Retro'!G181</f>
        <v>2.1916542440493191E-2</v>
      </c>
      <c r="N35" s="360">
        <f>'SC-Retro'!H181</f>
        <v>2.2161432658960648E-2</v>
      </c>
      <c r="O35" s="360">
        <f>'SC-Retro'!I181</f>
        <v>2.256287369406024E-2</v>
      </c>
      <c r="P35" s="360">
        <f>'SC-Retro'!J181</f>
        <v>2.0558387776012269E-2</v>
      </c>
      <c r="Q35" s="360">
        <f>'SC-Retro'!K181</f>
        <v>1.664308168690614E-2</v>
      </c>
      <c r="R35" s="360">
        <f>'SC-Retro'!L181</f>
        <v>1.3478077292496797E-2</v>
      </c>
      <c r="S35" s="360">
        <f>'SC-Retro'!M181</f>
        <v>1.0910150186605115E-2</v>
      </c>
      <c r="T35" s="360">
        <f>'SC-Retro'!N181</f>
        <v>8.8999083876543476E-3</v>
      </c>
      <c r="U35" s="360">
        <f>'SC-Retro'!O181</f>
        <v>7.202462573641032E-3</v>
      </c>
      <c r="V35" s="360">
        <f>'SC-Retro'!P181</f>
        <v>5.8262036023989106E-3</v>
      </c>
      <c r="W35" s="360">
        <f>'SC-Retro'!Q181</f>
        <v>4.7142189739762365E-3</v>
      </c>
      <c r="X35" s="360">
        <f>'SC-Retro'!R181</f>
        <v>3.8128067904727348E-3</v>
      </c>
      <c r="Y35" s="360">
        <f>'SC-Retro'!S181</f>
        <v>3.1049370296168965E-3</v>
      </c>
      <c r="Z35" s="360">
        <f>'SC-Retro'!T181</f>
        <v>2.5131021393393583E-3</v>
      </c>
      <c r="AA35" s="360">
        <f>'SC-Retro'!U181</f>
        <v>1.7346672108192309E-5</v>
      </c>
      <c r="AB35" s="360">
        <f>'SC-Retro'!V181</f>
        <v>6.2687318426732573E-6</v>
      </c>
      <c r="AC35" s="360">
        <f>'SC-Retro'!W181</f>
        <v>2.1614687835873084E-6</v>
      </c>
      <c r="AD35" s="360">
        <f>'SC-Retro'!X181</f>
        <v>7.1810441523455283E-7</v>
      </c>
      <c r="AE35" s="360">
        <f>'SC-Retro'!Y181</f>
        <v>0.2508889775866302</v>
      </c>
      <c r="AF35" s="818">
        <f t="shared" ref="AF35:AF54" si="27">VLOOKUP(CONCATENATE($I35," - ",$J35),MeasureOutput,15,FALSE)</f>
        <v>0</v>
      </c>
      <c r="AG35" s="818">
        <f t="shared" ref="AG35:AG54" si="28">VLOOKUP(CONCATENATE($I35," - ",$J35),MeasureOutput,16,FALSE)</f>
        <v>1.2029725634788659E-2</v>
      </c>
      <c r="AH35" s="818">
        <f t="shared" ref="AH35:AH54" si="29">VLOOKUP(CONCATENATE($I35," - ",$J35),MeasureOutput,17,FALSE)</f>
        <v>0.66234641336050681</v>
      </c>
      <c r="AI35" s="818">
        <f t="shared" ref="AI35:AI54" si="30">VLOOKUP(CONCATENATE($I35," - ",$J35),MeasureOutput,18,FALSE)</f>
        <v>7.9783190343833219</v>
      </c>
      <c r="AJ35" s="818">
        <f t="shared" ref="AJ35:AJ54" si="31">VLOOKUP(CONCATENATE($I35," - ",$J35),MeasureOutput,19,FALSE)</f>
        <v>31.6017390147844</v>
      </c>
      <c r="AK35" s="818">
        <f t="shared" ref="AK35:AK54" si="32">VLOOKUP(CONCATENATE($I35," - ",$J35),MeasureOutput,20,FALSE)</f>
        <v>41.88273310374224</v>
      </c>
      <c r="AL35" s="818">
        <f t="shared" ref="AL35:AL54" si="33">VLOOKUP(CONCATENATE($I35," - ",$J35),MeasureOutput,21,FALSE)</f>
        <v>40.547661263267344</v>
      </c>
      <c r="AM35" s="818">
        <f t="shared" ref="AM35:AM54" si="34">VLOOKUP(CONCATENATE($I35," - ",$J35),MeasureOutput,22,FALSE)</f>
        <v>41.127894406685961</v>
      </c>
      <c r="AN35" s="818">
        <f t="shared" ref="AN35:AN54" si="35">VLOOKUP(CONCATENATE($I35," - ",$J35),MeasureOutput,23,FALSE)</f>
        <v>19.334704380599714</v>
      </c>
      <c r="AO35" s="818">
        <f t="shared" ref="AO35:AO54" si="36">VLOOKUP(CONCATENATE($I35," - ",$J35),MeasureOutput,24,FALSE)</f>
        <v>11.117989984562788</v>
      </c>
      <c r="AP35" s="818">
        <f t="shared" ref="AP35:AP54" si="37">VLOOKUP(CONCATENATE($I35," - ",$J35),MeasureOutput,25,FALSE)</f>
        <v>3.1423200301620424</v>
      </c>
      <c r="AQ35" s="818">
        <f t="shared" ref="AQ35:AQ54" si="38">VLOOKUP(CONCATENATE($I35," - ",$J35),MeasureOutput,26,FALSE)</f>
        <v>2.1532544578302695E-2</v>
      </c>
      <c r="AR35" s="818"/>
      <c r="AS35" s="818">
        <f t="shared" ref="AS35:AS54" si="39">VLOOKUP(CONCATENATE($I35," - ",$J35),MeasureOutput,28,FALSE)</f>
        <v>0</v>
      </c>
      <c r="AT35" s="818">
        <f t="shared" ref="AT35:AT54" si="40">VLOOKUP(CONCATENATE($I35," - ",$J35),MeasureOutput,29,FALSE)</f>
        <v>8.226867475512066E-3</v>
      </c>
      <c r="AU35" s="818">
        <f t="shared" ref="AU35:AU54" si="41">VLOOKUP(CONCATENATE($I35," - ",$J35),MeasureOutput,30,FALSE)</f>
        <v>0.24422647782232679</v>
      </c>
      <c r="AV35" s="818">
        <f t="shared" ref="AV35:AV54" si="42">VLOOKUP(CONCATENATE($I35," - ",$J35),MeasureOutput,31,FALSE)</f>
        <v>5.2580699793414043</v>
      </c>
      <c r="AW35" s="818">
        <f t="shared" ref="AW35:AW54" si="43">VLOOKUP(CONCATENATE($I35," - ",$J35),MeasureOutput,32,FALSE)</f>
        <v>20.49138629207286</v>
      </c>
      <c r="AX35" s="818">
        <f t="shared" ref="AX35:AX54" si="44">VLOOKUP(CONCATENATE($I35," - ",$J35),MeasureOutput,33,FALSE)</f>
        <v>30.786962180031857</v>
      </c>
      <c r="AY35" s="818">
        <f t="shared" ref="AY35:AY54" si="45">VLOOKUP(CONCATENATE($I35," - ",$J35),MeasureOutput,34,FALSE)</f>
        <v>34.921427164312995</v>
      </c>
      <c r="AZ35" s="818">
        <f t="shared" ref="AZ35:AZ54" si="46">VLOOKUP(CONCATENATE($I35," - ",$J35),MeasureOutput,35,FALSE)</f>
        <v>29.909117681370077</v>
      </c>
      <c r="BA35" s="818">
        <f t="shared" ref="BA35:BA54" si="47">VLOOKUP(CONCATENATE($I35," - ",$J35),MeasureOutput,36,FALSE)</f>
        <v>15.475536350239592</v>
      </c>
      <c r="BB35" s="818">
        <f t="shared" ref="BB35:BB54" si="48">VLOOKUP(CONCATENATE($I35," - ",$J35),MeasureOutput,37,FALSE)</f>
        <v>7.3035468485548245</v>
      </c>
      <c r="BC35" s="818">
        <f t="shared" ref="BC35:BC54" si="49">VLOOKUP(CONCATENATE($I35," - ",$J35),MeasureOutput,38,FALSE)</f>
        <v>1.5504674422149962</v>
      </c>
      <c r="BD35" s="818">
        <f t="shared" ref="BD35:BD54" si="50">VLOOKUP(CONCATENATE($I35," - ",$J35),MeasureOutput,39,FALSE)</f>
        <v>1.591247661579067E-2</v>
      </c>
    </row>
    <row r="36" spans="1:56" ht="15">
      <c r="A36" s="815" t="str">
        <f>VLOOKUP(CONCATENATE($C36," - ",$B36),[2]ACHIEV!$B$17:$C$50,2,FALSE)</f>
        <v>Retro12Med</v>
      </c>
      <c r="B36" s="815" t="str">
        <f>'SC-Retro'!$C$7</f>
        <v>Retro</v>
      </c>
      <c r="C36" s="815" t="str">
        <f>'SC-Retro'!$C$8</f>
        <v>Irrigation Hardware</v>
      </c>
      <c r="D36" s="815" t="s">
        <v>1772</v>
      </c>
      <c r="E36" s="815" t="str">
        <f>'SC-Retro'!$A$9</f>
        <v>Irrigation</v>
      </c>
      <c r="F36" s="816">
        <f t="shared" si="26"/>
        <v>2.6300588075606906E-4</v>
      </c>
      <c r="G36" s="817">
        <f>'SC-Retro'!A182</f>
        <v>98.880861483826095</v>
      </c>
      <c r="H36" s="817">
        <f>'SC-Retro'!B182</f>
        <v>14.043642949696046</v>
      </c>
      <c r="I36" s="365" t="str">
        <f>'SC-Retro'!C182</f>
        <v xml:space="preserve">Wheel line systems: Rebuild or replace leaking or malfunctioning leveler with new or rebuilt leveler. </v>
      </c>
      <c r="J36" s="365" t="str">
        <f>'SC-Retro'!D182</f>
        <v>Washington</v>
      </c>
      <c r="K36" s="360">
        <f>'SC-Retro'!E182</f>
        <v>6.1768033562936055E-3</v>
      </c>
      <c r="L36" s="360">
        <f>'SC-Retro'!F182</f>
        <v>6.2426611885222005E-3</v>
      </c>
      <c r="M36" s="360">
        <f>'SC-Retro'!G182</f>
        <v>6.3109013342162752E-3</v>
      </c>
      <c r="N36" s="360">
        <f>'SC-Retro'!H182</f>
        <v>6.3814178406706576E-3</v>
      </c>
      <c r="O36" s="360">
        <f>'SC-Retro'!I182</f>
        <v>6.4970133900552323E-3</v>
      </c>
      <c r="P36" s="360">
        <f>'SC-Retro'!J182</f>
        <v>5.9198186574018642E-3</v>
      </c>
      <c r="Q36" s="360">
        <f>'SC-Retro'!K182</f>
        <v>4.7924003847115426E-3</v>
      </c>
      <c r="R36" s="360">
        <f>'SC-Retro'!L182</f>
        <v>3.8810326126411583E-3</v>
      </c>
      <c r="S36" s="360">
        <f>'SC-Retro'!M182</f>
        <v>3.1415941431497418E-3</v>
      </c>
      <c r="T36" s="360">
        <f>'SC-Retro'!N182</f>
        <v>2.5627419959398717E-3</v>
      </c>
      <c r="U36" s="360">
        <f>'SC-Retro'!O182</f>
        <v>2.0739599226953205E-3</v>
      </c>
      <c r="V36" s="360">
        <f>'SC-Retro'!P182</f>
        <v>1.6776640835399739E-3</v>
      </c>
      <c r="W36" s="360">
        <f>'SC-Retro'!Q182</f>
        <v>1.3574664385786583E-3</v>
      </c>
      <c r="X36" s="360">
        <f>'SC-Retro'!R182</f>
        <v>1.0979034456021512E-3</v>
      </c>
      <c r="Y36" s="360">
        <f>'SC-Retro'!S182</f>
        <v>8.9407128410286967E-4</v>
      </c>
      <c r="Z36" s="360">
        <f>'SC-Retro'!T182</f>
        <v>7.236515379759707E-4</v>
      </c>
      <c r="AA36" s="360">
        <f>'SC-Retro'!U182</f>
        <v>4.9950003039502977E-6</v>
      </c>
      <c r="AB36" s="360">
        <f>'SC-Retro'!V182</f>
        <v>1.8050907554047768E-6</v>
      </c>
      <c r="AC36" s="360">
        <f>'SC-Retro'!W182</f>
        <v>6.2239818471571885E-7</v>
      </c>
      <c r="AD36" s="360">
        <f>'SC-Retro'!X182</f>
        <v>2.0677924560934329E-7</v>
      </c>
      <c r="AE36" s="360">
        <f>'SC-Retro'!Y182</f>
        <v>7.2243858158312274E-2</v>
      </c>
      <c r="AF36" s="818">
        <f t="shared" si="27"/>
        <v>0</v>
      </c>
      <c r="AG36" s="818">
        <f t="shared" si="28"/>
        <v>3.463977576069479E-3</v>
      </c>
      <c r="AH36" s="818">
        <f t="shared" si="29"/>
        <v>0.19072364517074453</v>
      </c>
      <c r="AI36" s="818">
        <f t="shared" si="30"/>
        <v>2.297368956604442</v>
      </c>
      <c r="AJ36" s="818">
        <f t="shared" si="31"/>
        <v>9.0997682437115959</v>
      </c>
      <c r="AK36" s="818">
        <f t="shared" si="32"/>
        <v>12.060195942982103</v>
      </c>
      <c r="AL36" s="818">
        <f t="shared" si="33"/>
        <v>11.675760000031513</v>
      </c>
      <c r="AM36" s="818">
        <f t="shared" si="34"/>
        <v>11.842839005714065</v>
      </c>
      <c r="AN36" s="818">
        <f t="shared" si="35"/>
        <v>5.567457184613203</v>
      </c>
      <c r="AO36" s="818">
        <f t="shared" si="36"/>
        <v>3.2014419253350783</v>
      </c>
      <c r="AP36" s="818">
        <f t="shared" si="37"/>
        <v>0.90483577529293446</v>
      </c>
      <c r="AQ36" s="818">
        <f t="shared" si="38"/>
        <v>6.2003285726863009E-3</v>
      </c>
      <c r="AR36" s="818"/>
      <c r="AS36" s="818">
        <f t="shared" si="39"/>
        <v>0</v>
      </c>
      <c r="AT36" s="818">
        <f t="shared" si="40"/>
        <v>2.3689388537721022E-3</v>
      </c>
      <c r="AU36" s="818">
        <f t="shared" si="41"/>
        <v>7.0325381338078419E-2</v>
      </c>
      <c r="AV36" s="818">
        <f t="shared" si="42"/>
        <v>1.5140691529298307</v>
      </c>
      <c r="AW36" s="818">
        <f t="shared" si="43"/>
        <v>5.9005254794046618</v>
      </c>
      <c r="AX36" s="818">
        <f t="shared" si="44"/>
        <v>8.8651520296126058</v>
      </c>
      <c r="AY36" s="818">
        <f t="shared" si="45"/>
        <v>10.055677435543522</v>
      </c>
      <c r="AZ36" s="818">
        <f t="shared" si="46"/>
        <v>8.6123753869062583</v>
      </c>
      <c r="BA36" s="818">
        <f t="shared" si="47"/>
        <v>4.4562039503089492</v>
      </c>
      <c r="BB36" s="818">
        <f t="shared" si="48"/>
        <v>2.1030672915767865</v>
      </c>
      <c r="BC36" s="818">
        <f t="shared" si="49"/>
        <v>0.44645943019072876</v>
      </c>
      <c r="BD36" s="818">
        <f t="shared" si="50"/>
        <v>4.5820215564539935E-3</v>
      </c>
    </row>
    <row r="37" spans="1:56" ht="15">
      <c r="A37" s="815" t="str">
        <f>VLOOKUP(CONCATENATE($C37," - ",$B37),[2]ACHIEV!$B$17:$C$50,2,FALSE)</f>
        <v>Retro12Med</v>
      </c>
      <c r="B37" s="815" t="str">
        <f>'SC-Retro'!$C$7</f>
        <v>Retro</v>
      </c>
      <c r="C37" s="815" t="str">
        <f>'SC-Retro'!$C$8</f>
        <v>Irrigation Hardware</v>
      </c>
      <c r="D37" s="815" t="s">
        <v>1772</v>
      </c>
      <c r="E37" s="815" t="str">
        <f>'SC-Retro'!$A$9</f>
        <v>Irrigation</v>
      </c>
      <c r="F37" s="816">
        <f t="shared" si="26"/>
        <v>3.4857866639111573E-4</v>
      </c>
      <c r="G37" s="817">
        <f>'SC-Retro'!A183</f>
        <v>131.05318682818603</v>
      </c>
      <c r="H37" s="817">
        <f>'SC-Retro'!B183</f>
        <v>49.801879993743583</v>
      </c>
      <c r="I37" s="365" t="str">
        <f>'SC-Retro'!C183</f>
        <v xml:space="preserve">Center pivot/linear move systems: Install new sprinkler package on an existing system. </v>
      </c>
      <c r="J37" s="365" t="str">
        <f>'SC-Retro'!D183</f>
        <v>Washington</v>
      </c>
      <c r="K37" s="360">
        <f>'SC-Retro'!E183</f>
        <v>0.4131119642471458</v>
      </c>
      <c r="L37" s="360">
        <f>'SC-Retro'!F183</f>
        <v>0.41751661449480049</v>
      </c>
      <c r="M37" s="360">
        <f>'SC-Retro'!G183</f>
        <v>0.42208059670405551</v>
      </c>
      <c r="N37" s="360">
        <f>'SC-Retro'!H183</f>
        <v>0.42679682463181279</v>
      </c>
      <c r="O37" s="360">
        <f>'SC-Retro'!I183</f>
        <v>0.43452799263408259</v>
      </c>
      <c r="P37" s="360">
        <f>'SC-Retro'!J183</f>
        <v>0.39592452154954755</v>
      </c>
      <c r="Q37" s="360">
        <f>'SC-Retro'!K183</f>
        <v>0.32052144486188416</v>
      </c>
      <c r="R37" s="360">
        <f>'SC-Retro'!L183</f>
        <v>0.25956808294403633</v>
      </c>
      <c r="S37" s="360">
        <f>'SC-Retro'!M183</f>
        <v>0.21011355752835276</v>
      </c>
      <c r="T37" s="360">
        <f>'SC-Retro'!N183</f>
        <v>0.17139923658451139</v>
      </c>
      <c r="U37" s="360">
        <f>'SC-Retro'!O183</f>
        <v>0.13870890944934219</v>
      </c>
      <c r="V37" s="360">
        <f>'SC-Retro'!P183</f>
        <v>0.11220417178926664</v>
      </c>
      <c r="W37" s="360">
        <f>'SC-Retro'!Q183</f>
        <v>9.0788971980048067E-2</v>
      </c>
      <c r="X37" s="360">
        <f>'SC-Retro'!R183</f>
        <v>7.3429089903644135E-2</v>
      </c>
      <c r="Y37" s="360">
        <f>'SC-Retro'!S183</f>
        <v>5.9796552204688311E-2</v>
      </c>
      <c r="Z37" s="360">
        <f>'SC-Retro'!T183</f>
        <v>4.8398676635726001E-2</v>
      </c>
      <c r="AA37" s="360">
        <f>'SC-Retro'!U183</f>
        <v>3.3407156873101413E-4</v>
      </c>
      <c r="AB37" s="360">
        <f>'SC-Retro'!V183</f>
        <v>1.2072661935235899E-4</v>
      </c>
      <c r="AC37" s="360">
        <f>'SC-Retro'!W183</f>
        <v>4.1626731789961592E-5</v>
      </c>
      <c r="AD37" s="360">
        <f>'SC-Retro'!X183</f>
        <v>1.3829642193834857E-5</v>
      </c>
      <c r="AE37" s="360">
        <f>'SC-Retro'!Y183</f>
        <v>4.831755266769731</v>
      </c>
      <c r="AF37" s="818">
        <f t="shared" si="27"/>
        <v>0</v>
      </c>
      <c r="AG37" s="818">
        <f t="shared" si="28"/>
        <v>4.591033023306895E-3</v>
      </c>
      <c r="AH37" s="818">
        <f t="shared" si="29"/>
        <v>0.25277835496207379</v>
      </c>
      <c r="AI37" s="818">
        <f t="shared" si="30"/>
        <v>3.0448513348804496</v>
      </c>
      <c r="AJ37" s="818">
        <f t="shared" si="31"/>
        <v>12.060510091039159</v>
      </c>
      <c r="AK37" s="818">
        <f t="shared" si="32"/>
        <v>15.984155966912677</v>
      </c>
      <c r="AL37" s="818">
        <f t="shared" si="33"/>
        <v>15.474638202818213</v>
      </c>
      <c r="AM37" s="818">
        <f t="shared" si="34"/>
        <v>15.696078791201078</v>
      </c>
      <c r="AN37" s="818">
        <f t="shared" si="35"/>
        <v>7.3789102928920824</v>
      </c>
      <c r="AO37" s="818">
        <f t="shared" si="36"/>
        <v>4.2430775831089695</v>
      </c>
      <c r="AP37" s="818">
        <f t="shared" si="37"/>
        <v>1.1992372449919224</v>
      </c>
      <c r="AQ37" s="818">
        <f t="shared" si="38"/>
        <v>8.2176955847548926E-3</v>
      </c>
      <c r="AR37" s="818"/>
      <c r="AS37" s="818">
        <f t="shared" si="39"/>
        <v>0</v>
      </c>
      <c r="AT37" s="818">
        <f t="shared" si="40"/>
        <v>3.1397075382350458E-3</v>
      </c>
      <c r="AU37" s="818">
        <f t="shared" si="41"/>
        <v>9.3206766212995992E-2</v>
      </c>
      <c r="AV37" s="818">
        <f t="shared" si="42"/>
        <v>2.0066935561859212</v>
      </c>
      <c r="AW37" s="818">
        <f t="shared" si="43"/>
        <v>7.8203471979598067</v>
      </c>
      <c r="AX37" s="818">
        <f t="shared" si="44"/>
        <v>11.749558081946219</v>
      </c>
      <c r="AY37" s="818">
        <f t="shared" si="45"/>
        <v>13.327438230903931</v>
      </c>
      <c r="AZ37" s="818">
        <f t="shared" si="46"/>
        <v>11.414536884868408</v>
      </c>
      <c r="BA37" s="818">
        <f t="shared" si="47"/>
        <v>5.9060946686823117</v>
      </c>
      <c r="BB37" s="818">
        <f t="shared" si="48"/>
        <v>2.7873307993007508</v>
      </c>
      <c r="BC37" s="818">
        <f t="shared" si="49"/>
        <v>0.59172149431122734</v>
      </c>
      <c r="BD37" s="818">
        <f t="shared" si="50"/>
        <v>6.0728488615257731E-3</v>
      </c>
    </row>
    <row r="38" spans="1:56" ht="15">
      <c r="A38" s="815" t="str">
        <f>VLOOKUP(CONCATENATE($C38," - ",$B38),[2]ACHIEV!$B$17:$C$50,2,FALSE)</f>
        <v>Retro12Med</v>
      </c>
      <c r="B38" s="815" t="str">
        <f>'SC-Retro'!$C$7</f>
        <v>Retro</v>
      </c>
      <c r="C38" s="815" t="str">
        <f>'SC-Retro'!$C$8</f>
        <v>Irrigation Hardware</v>
      </c>
      <c r="D38" s="815" t="s">
        <v>1772</v>
      </c>
      <c r="E38" s="815" t="str">
        <f>'SC-Retro'!$A$9</f>
        <v>Irrigation</v>
      </c>
      <c r="F38" s="816">
        <f t="shared" si="26"/>
        <v>2.6608798092117926E-5</v>
      </c>
      <c r="G38" s="817">
        <f>'SC-Retro'!A184</f>
        <v>10.003962157933968</v>
      </c>
      <c r="H38" s="817">
        <f>'SC-Retro'!B184</f>
        <v>44.368055175717714</v>
      </c>
      <c r="I38" s="365" t="str">
        <f>'SC-Retro'!C184</f>
        <v xml:space="preserve">Center pivot/linear move systems: New gooseneck elbows </v>
      </c>
      <c r="J38" s="365" t="str">
        <f>'SC-Retro'!D184</f>
        <v>Washington</v>
      </c>
      <c r="K38" s="360">
        <f>'SC-Retro'!E184</f>
        <v>3.1534955824739787E-2</v>
      </c>
      <c r="L38" s="360">
        <f>'SC-Retro'!F184</f>
        <v>3.1871185377510915E-2</v>
      </c>
      <c r="M38" s="360">
        <f>'SC-Retro'!G184</f>
        <v>3.2219577556411E-2</v>
      </c>
      <c r="N38" s="360">
        <f>'SC-Retro'!H184</f>
        <v>3.2579591432146282E-2</v>
      </c>
      <c r="O38" s="360">
        <f>'SC-Retro'!I184</f>
        <v>3.3169751152815521E-2</v>
      </c>
      <c r="P38" s="360">
        <f>'SC-Retro'!J184</f>
        <v>3.0222950138347346E-2</v>
      </c>
      <c r="Q38" s="360">
        <f>'SC-Retro'!K184</f>
        <v>2.4467046416874919E-2</v>
      </c>
      <c r="R38" s="360">
        <f>'SC-Retro'!L184</f>
        <v>1.9814163562340191E-2</v>
      </c>
      <c r="S38" s="360">
        <f>'SC-Retro'!M184</f>
        <v>1.6039045896215059E-2</v>
      </c>
      <c r="T38" s="360">
        <f>'SC-Retro'!N184</f>
        <v>1.3083783143237866E-2</v>
      </c>
      <c r="U38" s="360">
        <f>'SC-Retro'!O184</f>
        <v>1.0588362745567853E-2</v>
      </c>
      <c r="V38" s="360">
        <f>'SC-Retro'!P184</f>
        <v>8.565120129537581E-3</v>
      </c>
      <c r="W38" s="360">
        <f>'SC-Retro'!Q184</f>
        <v>6.9303880510503384E-3</v>
      </c>
      <c r="X38" s="360">
        <f>'SC-Retro'!R184</f>
        <v>5.6052191821221566E-3</v>
      </c>
      <c r="Y38" s="360">
        <f>'SC-Retro'!S184</f>
        <v>4.564577633773095E-3</v>
      </c>
      <c r="Z38" s="360">
        <f>'SC-Retro'!T184</f>
        <v>3.6945193114048865E-3</v>
      </c>
      <c r="AA38" s="360">
        <f>'SC-Retro'!U184</f>
        <v>2.5501396894744712E-5</v>
      </c>
      <c r="AB38" s="360">
        <f>'SC-Retro'!V184</f>
        <v>9.2156822789794572E-6</v>
      </c>
      <c r="AC38" s="360">
        <f>'SC-Retro'!W184</f>
        <v>3.1775820158512867E-6</v>
      </c>
      <c r="AD38" s="360">
        <f>'SC-Retro'!X184</f>
        <v>1.0556875457463899E-6</v>
      </c>
      <c r="AE38" s="360">
        <f>'SC-Retro'!Y184</f>
        <v>0.36883267026946198</v>
      </c>
      <c r="AF38" s="818">
        <f t="shared" si="27"/>
        <v>0</v>
      </c>
      <c r="AG38" s="818">
        <f t="shared" si="28"/>
        <v>3.5045710632890432E-4</v>
      </c>
      <c r="AH38" s="818">
        <f t="shared" si="29"/>
        <v>1.929586878875892E-2</v>
      </c>
      <c r="AI38" s="818">
        <f t="shared" si="30"/>
        <v>0.232429124906465</v>
      </c>
      <c r="AJ38" s="818">
        <f t="shared" si="31"/>
        <v>0.920640615281759</v>
      </c>
      <c r="AK38" s="818">
        <f t="shared" si="32"/>
        <v>1.2201526364188924</v>
      </c>
      <c r="AL38" s="818">
        <f t="shared" si="33"/>
        <v>1.1812585312531882</v>
      </c>
      <c r="AM38" s="818">
        <f t="shared" si="34"/>
        <v>1.1981622275312276</v>
      </c>
      <c r="AN38" s="818">
        <f t="shared" si="35"/>
        <v>0.56327008234953879</v>
      </c>
      <c r="AO38" s="818">
        <f t="shared" si="36"/>
        <v>0.32389588228975985</v>
      </c>
      <c r="AP38" s="818">
        <f t="shared" si="37"/>
        <v>9.1543931953464858E-2</v>
      </c>
      <c r="AQ38" s="818">
        <f t="shared" si="38"/>
        <v>6.2729886731474681E-4</v>
      </c>
      <c r="AR38" s="818"/>
      <c r="AS38" s="818">
        <f t="shared" si="39"/>
        <v>0</v>
      </c>
      <c r="AT38" s="818">
        <f t="shared" si="40"/>
        <v>2.3966998559647439E-4</v>
      </c>
      <c r="AU38" s="818">
        <f t="shared" si="41"/>
        <v>7.1149506900634023E-3</v>
      </c>
      <c r="AV38" s="818">
        <f t="shared" si="42"/>
        <v>0.1531812150815727</v>
      </c>
      <c r="AW38" s="818">
        <f t="shared" si="43"/>
        <v>0.59696722623664356</v>
      </c>
      <c r="AX38" s="818">
        <f t="shared" si="44"/>
        <v>0.89690405299596276</v>
      </c>
      <c r="AY38" s="818">
        <f t="shared" si="45"/>
        <v>1.0173517405491297</v>
      </c>
      <c r="AZ38" s="818">
        <f t="shared" si="46"/>
        <v>0.87133016609715663</v>
      </c>
      <c r="BA38" s="818">
        <f t="shared" si="47"/>
        <v>0.45084250903516326</v>
      </c>
      <c r="BB38" s="818">
        <f t="shared" si="48"/>
        <v>0.2127712611399952</v>
      </c>
      <c r="BC38" s="818">
        <f t="shared" si="49"/>
        <v>4.5169137663827637E-2</v>
      </c>
      <c r="BD38" s="818">
        <f t="shared" si="50"/>
        <v>4.6357171215686882E-4</v>
      </c>
    </row>
    <row r="39" spans="1:56" ht="15">
      <c r="A39" s="815" t="str">
        <f>VLOOKUP(CONCATENATE($C39," - ",$B39),[2]ACHIEV!$B$17:$C$50,2,FALSE)</f>
        <v>Retro12Med</v>
      </c>
      <c r="B39" s="815" t="str">
        <f>'SC-Retro'!$C$7</f>
        <v>Retro</v>
      </c>
      <c r="C39" s="815" t="str">
        <f>'SC-Retro'!$C$8</f>
        <v>Irrigation Hardware</v>
      </c>
      <c r="D39" s="815" t="s">
        <v>1772</v>
      </c>
      <c r="E39" s="815" t="str">
        <f>'SC-Retro'!$A$9</f>
        <v>Irrigation</v>
      </c>
      <c r="F39" s="816">
        <f t="shared" si="26"/>
        <v>2.6608798092117926E-5</v>
      </c>
      <c r="G39" s="817">
        <f>'SC-Retro'!A185</f>
        <v>10.003962157933968</v>
      </c>
      <c r="H39" s="817">
        <f>'SC-Retro'!B185</f>
        <v>93.356537564067438</v>
      </c>
      <c r="I39" s="365" t="str">
        <f>'SC-Retro'!C185</f>
        <v xml:space="preserve">Center pivot/linear move systems: New drop tubes (3 feet minimum) </v>
      </c>
      <c r="J39" s="365" t="str">
        <f>'SC-Retro'!D185</f>
        <v>Washington</v>
      </c>
      <c r="K39" s="360">
        <f>'SC-Retro'!E185</f>
        <v>3.1534955824739787E-2</v>
      </c>
      <c r="L39" s="360">
        <f>'SC-Retro'!F185</f>
        <v>3.1871185377510915E-2</v>
      </c>
      <c r="M39" s="360">
        <f>'SC-Retro'!G185</f>
        <v>3.2219577556411E-2</v>
      </c>
      <c r="N39" s="360">
        <f>'SC-Retro'!H185</f>
        <v>3.2579591432146282E-2</v>
      </c>
      <c r="O39" s="360">
        <f>'SC-Retro'!I185</f>
        <v>3.3169751152815521E-2</v>
      </c>
      <c r="P39" s="360">
        <f>'SC-Retro'!J185</f>
        <v>3.0222950138347346E-2</v>
      </c>
      <c r="Q39" s="360">
        <f>'SC-Retro'!K185</f>
        <v>2.4467046416874919E-2</v>
      </c>
      <c r="R39" s="360">
        <f>'SC-Retro'!L185</f>
        <v>1.9814163562340191E-2</v>
      </c>
      <c r="S39" s="360">
        <f>'SC-Retro'!M185</f>
        <v>1.6039045896215059E-2</v>
      </c>
      <c r="T39" s="360">
        <f>'SC-Retro'!N185</f>
        <v>1.3083783143237866E-2</v>
      </c>
      <c r="U39" s="360">
        <f>'SC-Retro'!O185</f>
        <v>1.0588362745567853E-2</v>
      </c>
      <c r="V39" s="360">
        <f>'SC-Retro'!P185</f>
        <v>8.565120129537581E-3</v>
      </c>
      <c r="W39" s="360">
        <f>'SC-Retro'!Q185</f>
        <v>6.9303880510503384E-3</v>
      </c>
      <c r="X39" s="360">
        <f>'SC-Retro'!R185</f>
        <v>5.6052191821221566E-3</v>
      </c>
      <c r="Y39" s="360">
        <f>'SC-Retro'!S185</f>
        <v>4.564577633773095E-3</v>
      </c>
      <c r="Z39" s="360">
        <f>'SC-Retro'!T185</f>
        <v>3.6945193114048865E-3</v>
      </c>
      <c r="AA39" s="360">
        <f>'SC-Retro'!U185</f>
        <v>2.5501396894744712E-5</v>
      </c>
      <c r="AB39" s="360">
        <f>'SC-Retro'!V185</f>
        <v>9.2156822789794572E-6</v>
      </c>
      <c r="AC39" s="360">
        <f>'SC-Retro'!W185</f>
        <v>3.1775820158512867E-6</v>
      </c>
      <c r="AD39" s="360">
        <f>'SC-Retro'!X185</f>
        <v>1.0556875457463899E-6</v>
      </c>
      <c r="AE39" s="360">
        <f>'SC-Retro'!Y185</f>
        <v>0.36883267026946198</v>
      </c>
      <c r="AF39" s="818">
        <f t="shared" si="27"/>
        <v>0</v>
      </c>
      <c r="AG39" s="818">
        <f t="shared" si="28"/>
        <v>3.5045710632890432E-4</v>
      </c>
      <c r="AH39" s="818">
        <f t="shared" si="29"/>
        <v>1.929586878875892E-2</v>
      </c>
      <c r="AI39" s="818">
        <f t="shared" si="30"/>
        <v>0.232429124906465</v>
      </c>
      <c r="AJ39" s="818">
        <f t="shared" si="31"/>
        <v>0.920640615281759</v>
      </c>
      <c r="AK39" s="818">
        <f t="shared" si="32"/>
        <v>1.2201526364188924</v>
      </c>
      <c r="AL39" s="818">
        <f t="shared" si="33"/>
        <v>1.1812585312531882</v>
      </c>
      <c r="AM39" s="818">
        <f t="shared" si="34"/>
        <v>1.1981622275312276</v>
      </c>
      <c r="AN39" s="818">
        <f t="shared" si="35"/>
        <v>0.56327008234953879</v>
      </c>
      <c r="AO39" s="818">
        <f t="shared" si="36"/>
        <v>0.32389588228975985</v>
      </c>
      <c r="AP39" s="818">
        <f t="shared" si="37"/>
        <v>9.1543931953464858E-2</v>
      </c>
      <c r="AQ39" s="818">
        <f t="shared" si="38"/>
        <v>6.2729886731474681E-4</v>
      </c>
      <c r="AR39" s="818"/>
      <c r="AS39" s="818">
        <f t="shared" si="39"/>
        <v>0</v>
      </c>
      <c r="AT39" s="818">
        <f t="shared" si="40"/>
        <v>2.3966998559647439E-4</v>
      </c>
      <c r="AU39" s="818">
        <f t="shared" si="41"/>
        <v>7.1149506900634023E-3</v>
      </c>
      <c r="AV39" s="818">
        <f t="shared" si="42"/>
        <v>0.1531812150815727</v>
      </c>
      <c r="AW39" s="818">
        <f t="shared" si="43"/>
        <v>0.59696722623664356</v>
      </c>
      <c r="AX39" s="818">
        <f t="shared" si="44"/>
        <v>0.89690405299596276</v>
      </c>
      <c r="AY39" s="818">
        <f t="shared" si="45"/>
        <v>1.0173517405491297</v>
      </c>
      <c r="AZ39" s="818">
        <f t="shared" si="46"/>
        <v>0.87133016609715663</v>
      </c>
      <c r="BA39" s="818">
        <f t="shared" si="47"/>
        <v>0.45084250903516326</v>
      </c>
      <c r="BB39" s="818">
        <f t="shared" si="48"/>
        <v>0.2127712611399952</v>
      </c>
      <c r="BC39" s="818">
        <f t="shared" si="49"/>
        <v>4.5169137663827637E-2</v>
      </c>
      <c r="BD39" s="818">
        <f t="shared" si="50"/>
        <v>4.6357171215686882E-4</v>
      </c>
    </row>
    <row r="40" spans="1:56" ht="15">
      <c r="A40" s="815" t="str">
        <f>VLOOKUP(CONCATENATE($C40," - ",$B40),[2]ACHIEV!$B$17:$C$50,2,FALSE)</f>
        <v>Retro12Med</v>
      </c>
      <c r="B40" s="815" t="str">
        <f>'SC-Retro'!$C$7</f>
        <v>Retro</v>
      </c>
      <c r="C40" s="815" t="str">
        <f>'SC-Retro'!$C$8</f>
        <v>Irrigation Hardware</v>
      </c>
      <c r="D40" s="815" t="s">
        <v>1772</v>
      </c>
      <c r="E40" s="815" t="str">
        <f>'SC-Retro'!$A$9</f>
        <v>Irrigation</v>
      </c>
      <c r="F40" s="816">
        <f t="shared" si="26"/>
        <v>4.4281308103173689E-5</v>
      </c>
      <c r="G40" s="817">
        <f>'SC-Retro'!A186</f>
        <v>16.648197676361288</v>
      </c>
      <c r="H40" s="817">
        <f>'SC-Retro'!B186</f>
        <v>22.406388933458576</v>
      </c>
      <c r="I40" s="365" t="str">
        <f>'SC-Retro'!C186</f>
        <v xml:space="preserve">Center pivot/linear move systems: Replace leaking pivot boot gasket with new pivot boot gasket </v>
      </c>
      <c r="J40" s="365" t="str">
        <f>'SC-Retro'!D186</f>
        <v>Washington</v>
      </c>
      <c r="K40" s="360">
        <f>'SC-Retro'!E186</f>
        <v>5.247922473089528E-2</v>
      </c>
      <c r="L40" s="360">
        <f>'SC-Retro'!F186</f>
        <v>5.3038764638263777E-2</v>
      </c>
      <c r="M40" s="360">
        <f>'SC-Retro'!G186</f>
        <v>5.3618545106408268E-2</v>
      </c>
      <c r="N40" s="360">
        <f>'SC-Retro'!H186</f>
        <v>5.4217665942218371E-2</v>
      </c>
      <c r="O40" s="360">
        <f>'SC-Retro'!I186</f>
        <v>5.519978637962282E-2</v>
      </c>
      <c r="P40" s="360">
        <f>'SC-Retro'!J186</f>
        <v>5.0295836821710863E-2</v>
      </c>
      <c r="Q40" s="360">
        <f>'SC-Retro'!K186</f>
        <v>4.071708977645349E-2</v>
      </c>
      <c r="R40" s="360">
        <f>'SC-Retro'!L186</f>
        <v>3.2973946379433301E-2</v>
      </c>
      <c r="S40" s="360">
        <f>'SC-Retro'!M186</f>
        <v>2.6691545050342848E-2</v>
      </c>
      <c r="T40" s="360">
        <f>'SC-Retro'!N186</f>
        <v>2.1773513802280559E-2</v>
      </c>
      <c r="U40" s="360">
        <f>'SC-Retro'!O186</f>
        <v>1.7620733992624194E-2</v>
      </c>
      <c r="V40" s="360">
        <f>'SC-Retro'!P186</f>
        <v>1.42537337494059E-2</v>
      </c>
      <c r="W40" s="360">
        <f>'SC-Retro'!Q186</f>
        <v>1.1533277358138909E-2</v>
      </c>
      <c r="X40" s="360">
        <f>'SC-Retro'!R186</f>
        <v>9.3279838018273473E-3</v>
      </c>
      <c r="Y40" s="360">
        <f>'SC-Retro'!S186</f>
        <v>7.5961893454269055E-3</v>
      </c>
      <c r="Z40" s="360">
        <f>'SC-Retro'!T186</f>
        <v>6.1482727387790577E-3</v>
      </c>
      <c r="AA40" s="360">
        <f>'SC-Retro'!U186</f>
        <v>4.243841488248243E-5</v>
      </c>
      <c r="AB40" s="360">
        <f>'SC-Retro'!V186</f>
        <v>1.5336373516898143E-5</v>
      </c>
      <c r="AC40" s="360">
        <f>'SC-Retro'!W186</f>
        <v>5.2880061617174291E-6</v>
      </c>
      <c r="AD40" s="360">
        <f>'SC-Retro'!X186</f>
        <v>1.7568334094626638E-6</v>
      </c>
      <c r="AE40" s="360">
        <f>'SC-Retro'!Y186</f>
        <v>0.6137967244584529</v>
      </c>
      <c r="AF40" s="818">
        <f t="shared" si="27"/>
        <v>0</v>
      </c>
      <c r="AG40" s="818">
        <f t="shared" si="28"/>
        <v>5.8321683860248737E-4</v>
      </c>
      <c r="AH40" s="818">
        <f t="shared" si="29"/>
        <v>3.2111420741192789E-2</v>
      </c>
      <c r="AI40" s="818">
        <f t="shared" si="30"/>
        <v>0.38679934570900443</v>
      </c>
      <c r="AJ40" s="818">
        <f t="shared" si="31"/>
        <v>1.5320936555064861</v>
      </c>
      <c r="AK40" s="818">
        <f t="shared" si="32"/>
        <v>2.0305297007071292</v>
      </c>
      <c r="AL40" s="818">
        <f t="shared" si="33"/>
        <v>1.9658036710579374</v>
      </c>
      <c r="AM40" s="818">
        <f t="shared" si="34"/>
        <v>1.993934133034424</v>
      </c>
      <c r="AN40" s="818">
        <f t="shared" si="35"/>
        <v>0.93737176611552331</v>
      </c>
      <c r="AO40" s="818">
        <f t="shared" si="36"/>
        <v>0.53901470135438734</v>
      </c>
      <c r="AP40" s="818">
        <f t="shared" si="37"/>
        <v>0.15234378650902422</v>
      </c>
      <c r="AQ40" s="818">
        <f t="shared" si="38"/>
        <v>1.0439259345789271E-3</v>
      </c>
      <c r="AR40" s="818"/>
      <c r="AS40" s="818">
        <f t="shared" si="39"/>
        <v>0</v>
      </c>
      <c r="AT40" s="818">
        <f t="shared" si="40"/>
        <v>3.9884929933849377E-4</v>
      </c>
      <c r="AU40" s="818">
        <f t="shared" si="41"/>
        <v>1.1840419193488971E-2</v>
      </c>
      <c r="AV40" s="818">
        <f t="shared" si="42"/>
        <v>0.25491811231620121</v>
      </c>
      <c r="AW40" s="818">
        <f t="shared" si="43"/>
        <v>0.99344921859932656</v>
      </c>
      <c r="AX40" s="818">
        <f t="shared" si="44"/>
        <v>1.4925922084945347</v>
      </c>
      <c r="AY40" s="818">
        <f t="shared" si="45"/>
        <v>1.6930364805128377</v>
      </c>
      <c r="AZ40" s="818">
        <f t="shared" si="46"/>
        <v>1.4500331586178246</v>
      </c>
      <c r="BA40" s="818">
        <f t="shared" si="47"/>
        <v>0.75027425062493336</v>
      </c>
      <c r="BB40" s="818">
        <f t="shared" si="48"/>
        <v>0.35408550726054339</v>
      </c>
      <c r="BC40" s="818">
        <f t="shared" si="49"/>
        <v>7.5168690247572806E-2</v>
      </c>
      <c r="BD40" s="818">
        <f t="shared" si="50"/>
        <v>7.7145768639639331E-4</v>
      </c>
    </row>
    <row r="41" spans="1:56" ht="15">
      <c r="A41" s="815" t="str">
        <f>VLOOKUP(CONCATENATE($C41," - ",$B41),[2]ACHIEV!$B$17:$C$50,2,FALSE)</f>
        <v>Retro12Med</v>
      </c>
      <c r="B41" s="815" t="str">
        <f>'SC-Retro'!$C$7</f>
        <v>Retro</v>
      </c>
      <c r="C41" s="815" t="str">
        <f>'SC-Retro'!$C$8</f>
        <v>Irrigation Hardware</v>
      </c>
      <c r="D41" s="815" t="s">
        <v>1772</v>
      </c>
      <c r="E41" s="815" t="str">
        <f>'SC-Retro'!$A$9</f>
        <v>Irrigation</v>
      </c>
      <c r="F41" s="816">
        <f t="shared" si="26"/>
        <v>1.1070327025793422E-5</v>
      </c>
      <c r="G41" s="817">
        <f>'SC-Retro'!A187</f>
        <v>4.1620494190903221</v>
      </c>
      <c r="H41" s="817">
        <f>'SC-Retro'!B187</f>
        <v>216.40006240395863</v>
      </c>
      <c r="I41" s="365" t="str">
        <f>'SC-Retro'!C187</f>
        <v xml:space="preserve">Center pivot/linear move systems: Replace leaking tower gasket with new tower gasket </v>
      </c>
      <c r="J41" s="365" t="str">
        <f>'SC-Retro'!D187</f>
        <v>Washington</v>
      </c>
      <c r="K41" s="360">
        <f>'SC-Retro'!E187</f>
        <v>1.311980618272382E-2</v>
      </c>
      <c r="L41" s="360">
        <f>'SC-Retro'!F187</f>
        <v>1.3259691159565944E-2</v>
      </c>
      <c r="M41" s="360">
        <f>'SC-Retro'!G187</f>
        <v>1.3404636276602067E-2</v>
      </c>
      <c r="N41" s="360">
        <f>'SC-Retro'!H187</f>
        <v>1.3554416485554593E-2</v>
      </c>
      <c r="O41" s="360">
        <f>'SC-Retro'!I187</f>
        <v>1.3799946594905705E-2</v>
      </c>
      <c r="P41" s="360">
        <f>'SC-Retro'!J187</f>
        <v>1.2573959205427716E-2</v>
      </c>
      <c r="Q41" s="360">
        <f>'SC-Retro'!K187</f>
        <v>1.0179272444113372E-2</v>
      </c>
      <c r="R41" s="360">
        <f>'SC-Retro'!L187</f>
        <v>8.2434865948583253E-3</v>
      </c>
      <c r="S41" s="360">
        <f>'SC-Retro'!M187</f>
        <v>6.6728862625857121E-3</v>
      </c>
      <c r="T41" s="360">
        <f>'SC-Retro'!N187</f>
        <v>5.4433784505701398E-3</v>
      </c>
      <c r="U41" s="360">
        <f>'SC-Retro'!O187</f>
        <v>4.4051834981560485E-3</v>
      </c>
      <c r="V41" s="360">
        <f>'SC-Retro'!P187</f>
        <v>3.5634334373514749E-3</v>
      </c>
      <c r="W41" s="360">
        <f>'SC-Retro'!Q187</f>
        <v>2.8833193395347272E-3</v>
      </c>
      <c r="X41" s="360">
        <f>'SC-Retro'!R187</f>
        <v>2.3319959504568368E-3</v>
      </c>
      <c r="Y41" s="360">
        <f>'SC-Retro'!S187</f>
        <v>1.8990473363567264E-3</v>
      </c>
      <c r="Z41" s="360">
        <f>'SC-Retro'!T187</f>
        <v>1.5370681846947644E-3</v>
      </c>
      <c r="AA41" s="360">
        <f>'SC-Retro'!U187</f>
        <v>1.0609603720620607E-5</v>
      </c>
      <c r="AB41" s="360">
        <f>'SC-Retro'!V187</f>
        <v>3.8340933792245358E-6</v>
      </c>
      <c r="AC41" s="360">
        <f>'SC-Retro'!W187</f>
        <v>1.3220015404293573E-6</v>
      </c>
      <c r="AD41" s="360">
        <f>'SC-Retro'!X187</f>
        <v>4.3920835236566595E-7</v>
      </c>
      <c r="AE41" s="360">
        <f>'SC-Retro'!Y187</f>
        <v>0.15344918111461323</v>
      </c>
      <c r="AF41" s="818">
        <f t="shared" si="27"/>
        <v>0</v>
      </c>
      <c r="AG41" s="818">
        <f t="shared" si="28"/>
        <v>1.4580420965062184E-4</v>
      </c>
      <c r="AH41" s="818">
        <f t="shared" si="29"/>
        <v>8.0278551852981973E-3</v>
      </c>
      <c r="AI41" s="818">
        <f t="shared" si="30"/>
        <v>9.6699836427251107E-2</v>
      </c>
      <c r="AJ41" s="818">
        <f t="shared" si="31"/>
        <v>0.38302341387662153</v>
      </c>
      <c r="AK41" s="818">
        <f t="shared" si="32"/>
        <v>0.50763242517678231</v>
      </c>
      <c r="AL41" s="818">
        <f t="shared" si="33"/>
        <v>0.49145091776448435</v>
      </c>
      <c r="AM41" s="818">
        <f t="shared" si="34"/>
        <v>0.498483533258606</v>
      </c>
      <c r="AN41" s="818">
        <f t="shared" si="35"/>
        <v>0.23434294152888083</v>
      </c>
      <c r="AO41" s="818">
        <f t="shared" si="36"/>
        <v>0.13475367533859683</v>
      </c>
      <c r="AP41" s="818">
        <f t="shared" si="37"/>
        <v>3.8085946627256055E-2</v>
      </c>
      <c r="AQ41" s="818">
        <f t="shared" si="38"/>
        <v>2.6098148364473177E-4</v>
      </c>
      <c r="AR41" s="818"/>
      <c r="AS41" s="818">
        <f t="shared" si="39"/>
        <v>0</v>
      </c>
      <c r="AT41" s="818">
        <f t="shared" si="40"/>
        <v>9.9712324834623443E-5</v>
      </c>
      <c r="AU41" s="818">
        <f t="shared" si="41"/>
        <v>2.9601047983722427E-3</v>
      </c>
      <c r="AV41" s="818">
        <f t="shared" si="42"/>
        <v>6.3729528079050302E-2</v>
      </c>
      <c r="AW41" s="818">
        <f t="shared" si="43"/>
        <v>0.24836230464983164</v>
      </c>
      <c r="AX41" s="818">
        <f t="shared" si="44"/>
        <v>0.37314805212363367</v>
      </c>
      <c r="AY41" s="818">
        <f t="shared" si="45"/>
        <v>0.42325912012820943</v>
      </c>
      <c r="AZ41" s="818">
        <f t="shared" si="46"/>
        <v>0.36250828965445614</v>
      </c>
      <c r="BA41" s="818">
        <f t="shared" si="47"/>
        <v>0.18756856265623334</v>
      </c>
      <c r="BB41" s="818">
        <f t="shared" si="48"/>
        <v>8.8521376815135847E-2</v>
      </c>
      <c r="BC41" s="818">
        <f t="shared" si="49"/>
        <v>1.8792172561893201E-2</v>
      </c>
      <c r="BD41" s="818">
        <f t="shared" si="50"/>
        <v>1.9286442159909833E-4</v>
      </c>
    </row>
    <row r="42" spans="1:56" ht="15">
      <c r="A42" s="815" t="str">
        <f>VLOOKUP(CONCATENATE($C42," - ",$B42),[2]ACHIEV!$B$17:$C$50,2,FALSE)</f>
        <v>Retro12Med</v>
      </c>
      <c r="B42" s="815" t="str">
        <f>'SC-Retro'!$C$7</f>
        <v>Retro</v>
      </c>
      <c r="C42" s="815" t="str">
        <f>'SC-Retro'!$C$8</f>
        <v>Irrigation Hardware</v>
      </c>
      <c r="D42" s="815" t="s">
        <v>1772</v>
      </c>
      <c r="E42" s="815" t="str">
        <f>'SC-Retro'!$A$9</f>
        <v>Irrigation</v>
      </c>
      <c r="F42" s="816">
        <f t="shared" si="26"/>
        <v>2.0163507212368184E-4</v>
      </c>
      <c r="G42" s="817">
        <f>'SC-Retro'!A188</f>
        <v>75.807619128618981</v>
      </c>
      <c r="H42" s="817">
        <f>'SC-Retro'!B188</f>
        <v>39.241001346540749</v>
      </c>
      <c r="I42" s="365" t="str">
        <f>'SC-Retro'!C188</f>
        <v xml:space="preserve">Wheel/hand line systems: Replace worn nozzle with new flow controlling type nozzle for impact sprinklers </v>
      </c>
      <c r="J42" s="365" t="str">
        <f>'SC-Retro'!D188</f>
        <v>Oregon</v>
      </c>
      <c r="K42" s="360">
        <f>'SC-Retro'!E188</f>
        <v>4.5062524822312232E-2</v>
      </c>
      <c r="L42" s="360">
        <f>'SC-Retro'!F188</f>
        <v>4.5518144921595324E-2</v>
      </c>
      <c r="M42" s="360">
        <f>'SC-Retro'!G188</f>
        <v>4.5976021841789824E-2</v>
      </c>
      <c r="N42" s="360">
        <f>'SC-Retro'!H188</f>
        <v>4.6489889679483656E-2</v>
      </c>
      <c r="O42" s="360">
        <f>'SC-Retro'!I188</f>
        <v>4.7410533735568292E-2</v>
      </c>
      <c r="P42" s="360">
        <f>'SC-Retro'!J188</f>
        <v>4.3184877682874018E-2</v>
      </c>
      <c r="Q42" s="360">
        <f>'SC-Retro'!K188</f>
        <v>3.4965065211784004E-2</v>
      </c>
      <c r="R42" s="360">
        <f>'SC-Retro'!L188</f>
        <v>2.8330738047850877E-2</v>
      </c>
      <c r="S42" s="360">
        <f>'SC-Retro'!M188</f>
        <v>2.293803070165705E-2</v>
      </c>
      <c r="T42" s="360">
        <f>'SC-Retro'!N188</f>
        <v>1.8742386517940305E-2</v>
      </c>
      <c r="U42" s="360">
        <f>'SC-Retro'!O188</f>
        <v>1.5171801146741611E-2</v>
      </c>
      <c r="V42" s="360">
        <f>'SC-Retro'!P188</f>
        <v>1.2280806016327108E-2</v>
      </c>
      <c r="W42" s="360">
        <f>'SC-Retro'!Q188</f>
        <v>9.9333099359134504E-3</v>
      </c>
      <c r="X42" s="360">
        <f>'SC-Retro'!R188</f>
        <v>8.0395379155571243E-3</v>
      </c>
      <c r="Y42" s="360">
        <f>'SC-Retro'!S188</f>
        <v>6.5578395303898781E-3</v>
      </c>
      <c r="Z42" s="360">
        <f>'SC-Retro'!T188</f>
        <v>5.3095109968073822E-3</v>
      </c>
      <c r="AA42" s="360">
        <f>'SC-Retro'!U188</f>
        <v>3.6671814088400724E-5</v>
      </c>
      <c r="AB42" s="360">
        <f>'SC-Retro'!V188</f>
        <v>1.3260743829737249E-5</v>
      </c>
      <c r="AC42" s="360">
        <f>'SC-Retro'!W188</f>
        <v>4.5738418865078647E-6</v>
      </c>
      <c r="AD42" s="360">
        <f>'SC-Retro'!X188</f>
        <v>1.5227106115700664E-6</v>
      </c>
      <c r="AE42" s="360">
        <f>'SC-Retro'!Y188</f>
        <v>0.53199966521908137</v>
      </c>
      <c r="AF42" s="818">
        <f t="shared" si="27"/>
        <v>0</v>
      </c>
      <c r="AG42" s="818">
        <f t="shared" si="28"/>
        <v>2.6556796615258517E-3</v>
      </c>
      <c r="AH42" s="818">
        <f t="shared" si="29"/>
        <v>0.14621945273292966</v>
      </c>
      <c r="AI42" s="818">
        <f t="shared" si="30"/>
        <v>1.7612920058212611</v>
      </c>
      <c r="AJ42" s="818">
        <f t="shared" si="31"/>
        <v>6.9763931546129001</v>
      </c>
      <c r="AK42" s="818">
        <f t="shared" si="32"/>
        <v>9.2460232136190239</v>
      </c>
      <c r="AL42" s="818">
        <f t="shared" si="33"/>
        <v>8.9512930392938657</v>
      </c>
      <c r="AM42" s="818">
        <f t="shared" si="34"/>
        <v>9.0793851840942317</v>
      </c>
      <c r="AN42" s="818">
        <f t="shared" si="35"/>
        <v>4.2683252090707819</v>
      </c>
      <c r="AO42" s="818">
        <f t="shared" si="36"/>
        <v>2.4544050941333233</v>
      </c>
      <c r="AP42" s="818">
        <f t="shared" si="37"/>
        <v>0.69369789864315923</v>
      </c>
      <c r="AQ42" s="818">
        <f t="shared" si="38"/>
        <v>4.753519941645936E-3</v>
      </c>
      <c r="AR42" s="818"/>
      <c r="AS42" s="818">
        <f t="shared" si="39"/>
        <v>0</v>
      </c>
      <c r="AT42" s="818">
        <f t="shared" si="40"/>
        <v>1.8161615065936413E-3</v>
      </c>
      <c r="AU42" s="818">
        <f t="shared" si="41"/>
        <v>5.3915385076048927E-2</v>
      </c>
      <c r="AV42" s="818">
        <f t="shared" si="42"/>
        <v>1.1607704054891308</v>
      </c>
      <c r="AW42" s="818">
        <f t="shared" si="43"/>
        <v>4.5236740607745016</v>
      </c>
      <c r="AX42" s="818">
        <f t="shared" si="44"/>
        <v>6.7965231946133722</v>
      </c>
      <c r="AY42" s="818">
        <f t="shared" si="45"/>
        <v>7.7092468014006954</v>
      </c>
      <c r="AZ42" s="818">
        <f t="shared" si="46"/>
        <v>6.6027304306008112</v>
      </c>
      <c r="BA42" s="818">
        <f t="shared" si="47"/>
        <v>3.4163760990262446</v>
      </c>
      <c r="BB42" s="818">
        <f t="shared" si="48"/>
        <v>1.6123294422125054</v>
      </c>
      <c r="BC42" s="818">
        <f t="shared" si="49"/>
        <v>0.34228086135571384</v>
      </c>
      <c r="BD42" s="818">
        <f t="shared" si="50"/>
        <v>3.512834938716655E-3</v>
      </c>
    </row>
    <row r="43" spans="1:56" ht="15">
      <c r="A43" s="815" t="str">
        <f>VLOOKUP(CONCATENATE($C43," - ",$B43),[2]ACHIEV!$B$17:$C$50,2,FALSE)</f>
        <v>Retro12Med</v>
      </c>
      <c r="B43" s="815" t="str">
        <f>'SC-Retro'!$C$7</f>
        <v>Retro</v>
      </c>
      <c r="C43" s="815" t="str">
        <f>'SC-Retro'!$C$8</f>
        <v>Irrigation Hardware</v>
      </c>
      <c r="D43" s="815" t="s">
        <v>1772</v>
      </c>
      <c r="E43" s="815" t="str">
        <f>'SC-Retro'!$A$9</f>
        <v>Irrigation</v>
      </c>
      <c r="F43" s="816">
        <f t="shared" si="26"/>
        <v>2.0163507212368184E-4</v>
      </c>
      <c r="G43" s="817">
        <f>'SC-Retro'!A189</f>
        <v>75.807619128618981</v>
      </c>
      <c r="H43" s="817">
        <f>'SC-Retro'!B189</f>
        <v>14.563061720172616</v>
      </c>
      <c r="I43" s="365" t="str">
        <f>'SC-Retro'!C189</f>
        <v xml:space="preserve">Wheel/hand line systems: Replace worn nozzle with new nozzle </v>
      </c>
      <c r="J43" s="365" t="str">
        <f>'SC-Retro'!D189</f>
        <v>Oregon</v>
      </c>
      <c r="K43" s="360">
        <f>'SC-Retro'!E189</f>
        <v>4.5062524822312232E-2</v>
      </c>
      <c r="L43" s="360">
        <f>'SC-Retro'!F189</f>
        <v>4.5518144921595324E-2</v>
      </c>
      <c r="M43" s="360">
        <f>'SC-Retro'!G189</f>
        <v>4.5976021841789824E-2</v>
      </c>
      <c r="N43" s="360">
        <f>'SC-Retro'!H189</f>
        <v>4.6489889679483656E-2</v>
      </c>
      <c r="O43" s="360">
        <f>'SC-Retro'!I189</f>
        <v>4.7410533735568292E-2</v>
      </c>
      <c r="P43" s="360">
        <f>'SC-Retro'!J189</f>
        <v>4.3184877682874018E-2</v>
      </c>
      <c r="Q43" s="360">
        <f>'SC-Retro'!K189</f>
        <v>3.4965065211784004E-2</v>
      </c>
      <c r="R43" s="360">
        <f>'SC-Retro'!L189</f>
        <v>2.8330738047850877E-2</v>
      </c>
      <c r="S43" s="360">
        <f>'SC-Retro'!M189</f>
        <v>2.293803070165705E-2</v>
      </c>
      <c r="T43" s="360">
        <f>'SC-Retro'!N189</f>
        <v>1.8742386517940305E-2</v>
      </c>
      <c r="U43" s="360">
        <f>'SC-Retro'!O189</f>
        <v>1.5171801146741611E-2</v>
      </c>
      <c r="V43" s="360">
        <f>'SC-Retro'!P189</f>
        <v>1.2280806016327108E-2</v>
      </c>
      <c r="W43" s="360">
        <f>'SC-Retro'!Q189</f>
        <v>9.9333099359134504E-3</v>
      </c>
      <c r="X43" s="360">
        <f>'SC-Retro'!R189</f>
        <v>8.0395379155571243E-3</v>
      </c>
      <c r="Y43" s="360">
        <f>'SC-Retro'!S189</f>
        <v>6.5578395303898781E-3</v>
      </c>
      <c r="Z43" s="360">
        <f>'SC-Retro'!T189</f>
        <v>5.3095109968073822E-3</v>
      </c>
      <c r="AA43" s="360">
        <f>'SC-Retro'!U189</f>
        <v>3.6671814088400724E-5</v>
      </c>
      <c r="AB43" s="360">
        <f>'SC-Retro'!V189</f>
        <v>1.3260743829737249E-5</v>
      </c>
      <c r="AC43" s="360">
        <f>'SC-Retro'!W189</f>
        <v>4.5738418865078647E-6</v>
      </c>
      <c r="AD43" s="360">
        <f>'SC-Retro'!X189</f>
        <v>1.5227106115700664E-6</v>
      </c>
      <c r="AE43" s="360">
        <f>'SC-Retro'!Y189</f>
        <v>0.53199966521908137</v>
      </c>
      <c r="AF43" s="818">
        <f t="shared" si="27"/>
        <v>0</v>
      </c>
      <c r="AG43" s="818">
        <f t="shared" si="28"/>
        <v>2.6556796615258517E-3</v>
      </c>
      <c r="AH43" s="818">
        <f t="shared" si="29"/>
        <v>0.14621945273292966</v>
      </c>
      <c r="AI43" s="818">
        <f t="shared" si="30"/>
        <v>1.7612920058212611</v>
      </c>
      <c r="AJ43" s="818">
        <f t="shared" si="31"/>
        <v>6.9763931546129001</v>
      </c>
      <c r="AK43" s="818">
        <f t="shared" si="32"/>
        <v>9.2460232136190239</v>
      </c>
      <c r="AL43" s="818">
        <f t="shared" si="33"/>
        <v>8.9512930392938657</v>
      </c>
      <c r="AM43" s="818">
        <f t="shared" si="34"/>
        <v>9.0793851840942317</v>
      </c>
      <c r="AN43" s="818">
        <f t="shared" si="35"/>
        <v>4.2683252090707819</v>
      </c>
      <c r="AO43" s="818">
        <f t="shared" si="36"/>
        <v>2.4544050941333233</v>
      </c>
      <c r="AP43" s="818">
        <f t="shared" si="37"/>
        <v>0.69369789864315923</v>
      </c>
      <c r="AQ43" s="818">
        <f t="shared" si="38"/>
        <v>4.753519941645936E-3</v>
      </c>
      <c r="AR43" s="818"/>
      <c r="AS43" s="818">
        <f t="shared" si="39"/>
        <v>0</v>
      </c>
      <c r="AT43" s="818">
        <f t="shared" si="40"/>
        <v>1.8161615065936413E-3</v>
      </c>
      <c r="AU43" s="818">
        <f t="shared" si="41"/>
        <v>5.3915385076048927E-2</v>
      </c>
      <c r="AV43" s="818">
        <f t="shared" si="42"/>
        <v>1.1607704054891308</v>
      </c>
      <c r="AW43" s="818">
        <f t="shared" si="43"/>
        <v>4.5236740607745016</v>
      </c>
      <c r="AX43" s="818">
        <f t="shared" si="44"/>
        <v>6.7965231946133722</v>
      </c>
      <c r="AY43" s="818">
        <f t="shared" si="45"/>
        <v>7.7092468014006954</v>
      </c>
      <c r="AZ43" s="818">
        <f t="shared" si="46"/>
        <v>6.6027304306008112</v>
      </c>
      <c r="BA43" s="818">
        <f t="shared" si="47"/>
        <v>3.4163760990262446</v>
      </c>
      <c r="BB43" s="818">
        <f t="shared" si="48"/>
        <v>1.6123294422125054</v>
      </c>
      <c r="BC43" s="818">
        <f t="shared" si="49"/>
        <v>0.34228086135571384</v>
      </c>
      <c r="BD43" s="818">
        <f t="shared" si="50"/>
        <v>3.512834938716655E-3</v>
      </c>
    </row>
    <row r="44" spans="1:56" ht="15">
      <c r="A44" s="815" t="str">
        <f>VLOOKUP(CONCATENATE($C44," - ",$B44),[2]ACHIEV!$B$17:$C$50,2,FALSE)</f>
        <v>Retro12Med</v>
      </c>
      <c r="B44" s="815" t="str">
        <f>'SC-Retro'!$C$7</f>
        <v>Retro</v>
      </c>
      <c r="C44" s="815" t="str">
        <f>'SC-Retro'!$C$8</f>
        <v>Irrigation Hardware</v>
      </c>
      <c r="D44" s="815" t="s">
        <v>1772</v>
      </c>
      <c r="E44" s="815" t="str">
        <f>'SC-Retro'!$A$9</f>
        <v>Irrigation</v>
      </c>
      <c r="F44" s="816">
        <f t="shared" si="26"/>
        <v>1.7725588785829057E-4</v>
      </c>
      <c r="G44" s="817">
        <f>'SC-Retro'!A190</f>
        <v>66.641912508276818</v>
      </c>
      <c r="H44" s="817">
        <f>'SC-Retro'!B190</f>
        <v>79.774754914869376</v>
      </c>
      <c r="I44" s="365" t="str">
        <f>'SC-Retro'!C190</f>
        <v xml:space="preserve">Wheel/hand line systems: Rebuild or replace leaking impact sprinkler with new or rebuilt impact sprinkler </v>
      </c>
      <c r="J44" s="365" t="str">
        <f>'SC-Retro'!D190</f>
        <v>Oregon</v>
      </c>
      <c r="K44" s="360">
        <f>'SC-Retro'!E190</f>
        <v>7.9228258877658608E-2</v>
      </c>
      <c r="L44" s="360">
        <f>'SC-Retro'!F190</f>
        <v>8.002932333905316E-2</v>
      </c>
      <c r="M44" s="360">
        <f>'SC-Retro'!G190</f>
        <v>8.0834355709305819E-2</v>
      </c>
      <c r="N44" s="360">
        <f>'SC-Retro'!H190</f>
        <v>8.1737830475405712E-2</v>
      </c>
      <c r="O44" s="360">
        <f>'SC-Retro'!I190</f>
        <v>8.3356493120192443E-2</v>
      </c>
      <c r="P44" s="360">
        <f>'SC-Retro'!J190</f>
        <v>7.592700768876276E-2</v>
      </c>
      <c r="Q44" s="360">
        <f>'SC-Retro'!K190</f>
        <v>6.1475056029301582E-2</v>
      </c>
      <c r="R44" s="360">
        <f>'SC-Retro'!L190</f>
        <v>4.981068098383324E-2</v>
      </c>
      <c r="S44" s="360">
        <f>'SC-Retro'!M190</f>
        <v>4.0329303378818425E-2</v>
      </c>
      <c r="T44" s="360">
        <f>'SC-Retro'!N190</f>
        <v>3.2952584367693195E-2</v>
      </c>
      <c r="U44" s="360">
        <f>'SC-Retro'!O190</f>
        <v>2.6674834435802115E-2</v>
      </c>
      <c r="V44" s="360">
        <f>'SC-Retro'!P190</f>
        <v>2.1591929926796007E-2</v>
      </c>
      <c r="W44" s="360">
        <f>'SC-Retro'!Q190</f>
        <v>1.7464597339314977E-2</v>
      </c>
      <c r="X44" s="360">
        <f>'SC-Retro'!R190</f>
        <v>1.4134995625347832E-2</v>
      </c>
      <c r="Y44" s="360">
        <f>'SC-Retro'!S190</f>
        <v>1.1529895629252771E-2</v>
      </c>
      <c r="Z44" s="360">
        <f>'SC-Retro'!T190</f>
        <v>9.3351030246876746E-3</v>
      </c>
      <c r="AA44" s="360">
        <f>'SC-Retro'!U190</f>
        <v>6.4475836442049082E-5</v>
      </c>
      <c r="AB44" s="360">
        <f>'SC-Retro'!V190</f>
        <v>2.3314841971138962E-5</v>
      </c>
      <c r="AC44" s="360">
        <f>'SC-Retro'!W190</f>
        <v>8.0416605700330431E-6</v>
      </c>
      <c r="AD44" s="360">
        <f>'SC-Retro'!X190</f>
        <v>2.6772070807159167E-6</v>
      </c>
      <c r="AE44" s="360">
        <f>'SC-Retro'!Y190</f>
        <v>0.93535387475526566</v>
      </c>
      <c r="AF44" s="818">
        <f t="shared" si="27"/>
        <v>0</v>
      </c>
      <c r="AG44" s="818">
        <f t="shared" si="28"/>
        <v>2.33458818107905E-3</v>
      </c>
      <c r="AH44" s="818">
        <f t="shared" si="29"/>
        <v>0.12854043021062667</v>
      </c>
      <c r="AI44" s="818">
        <f t="shared" si="30"/>
        <v>1.5483386644068335</v>
      </c>
      <c r="AJ44" s="818">
        <f t="shared" si="31"/>
        <v>6.1328951835863279</v>
      </c>
      <c r="AK44" s="818">
        <f t="shared" si="32"/>
        <v>8.1281100387293002</v>
      </c>
      <c r="AL44" s="818">
        <f t="shared" si="33"/>
        <v>7.869014940944977</v>
      </c>
      <c r="AM44" s="818">
        <f t="shared" si="34"/>
        <v>7.98161978996814</v>
      </c>
      <c r="AN44" s="818">
        <f t="shared" si="35"/>
        <v>3.7522528528056851</v>
      </c>
      <c r="AO44" s="818">
        <f t="shared" si="36"/>
        <v>2.1576492102408231</v>
      </c>
      <c r="AP44" s="818">
        <f t="shared" si="37"/>
        <v>0.60982464823381233</v>
      </c>
      <c r="AQ44" s="818">
        <f t="shared" si="38"/>
        <v>4.1787839230255554E-3</v>
      </c>
      <c r="AR44" s="818"/>
      <c r="AS44" s="818">
        <f t="shared" si="39"/>
        <v>0</v>
      </c>
      <c r="AT44" s="818">
        <f t="shared" si="40"/>
        <v>1.59657403325072E-3</v>
      </c>
      <c r="AU44" s="818">
        <f t="shared" si="41"/>
        <v>4.7396612852225337E-2</v>
      </c>
      <c r="AV44" s="818">
        <f t="shared" si="42"/>
        <v>1.0204246049933012</v>
      </c>
      <c r="AW44" s="818">
        <f t="shared" si="43"/>
        <v>3.9767281236284822</v>
      </c>
      <c r="AX44" s="818">
        <f t="shared" si="44"/>
        <v>5.9747728434450522</v>
      </c>
      <c r="AY44" s="818">
        <f t="shared" si="45"/>
        <v>6.7771413579417255</v>
      </c>
      <c r="AZ44" s="818">
        <f t="shared" si="46"/>
        <v>5.8044110701495413</v>
      </c>
      <c r="BA44" s="818">
        <f t="shared" si="47"/>
        <v>3.0033107450636627</v>
      </c>
      <c r="BB44" s="818">
        <f t="shared" si="48"/>
        <v>1.4173867858868077</v>
      </c>
      <c r="BC44" s="818">
        <f t="shared" si="49"/>
        <v>0.30089655206060617</v>
      </c>
      <c r="BD44" s="818">
        <f t="shared" si="50"/>
        <v>3.0881069915252722E-3</v>
      </c>
    </row>
    <row r="45" spans="1:56" ht="15">
      <c r="A45" s="815" t="str">
        <f>VLOOKUP(CONCATENATE($C45," - ",$B45),[2]ACHIEV!$B$17:$C$50,2,FALSE)</f>
        <v>Retro12Med</v>
      </c>
      <c r="B45" s="815" t="str">
        <f>'SC-Retro'!$C$7</f>
        <v>Retro</v>
      </c>
      <c r="C45" s="815" t="str">
        <f>'SC-Retro'!$C$8</f>
        <v>Irrigation Hardware</v>
      </c>
      <c r="D45" s="815" t="s">
        <v>1772</v>
      </c>
      <c r="E45" s="815" t="str">
        <f>'SC-Retro'!$A$9</f>
        <v>Irrigation</v>
      </c>
      <c r="F45" s="816">
        <f t="shared" si="26"/>
        <v>1.0606173555314377E-3</v>
      </c>
      <c r="G45" s="817">
        <f>'SC-Retro'!A191</f>
        <v>398.75442145308739</v>
      </c>
      <c r="H45" s="817">
        <f>'SC-Retro'!B191</f>
        <v>4.0909288497475105</v>
      </c>
      <c r="I45" s="365" t="str">
        <f>'SC-Retro'!C191</f>
        <v xml:space="preserve">Wheel/hand line systems: Replace leaking gasket with new gasket </v>
      </c>
      <c r="J45" s="365" t="str">
        <f>'SC-Retro'!D191</f>
        <v>Oregon</v>
      </c>
      <c r="K45" s="360">
        <f>'SC-Retro'!E191</f>
        <v>0.47406530428688454</v>
      </c>
      <c r="L45" s="360">
        <f>'SC-Retro'!F191</f>
        <v>0.47885850399900787</v>
      </c>
      <c r="M45" s="360">
        <f>'SC-Retro'!G191</f>
        <v>0.48367544584489558</v>
      </c>
      <c r="N45" s="360">
        <f>'SC-Retro'!H191</f>
        <v>0.48908142151537004</v>
      </c>
      <c r="O45" s="360">
        <f>'SC-Retro'!I191</f>
        <v>0.4987667510948518</v>
      </c>
      <c r="P45" s="360">
        <f>'SC-Retro'!J191</f>
        <v>0.45431214207480097</v>
      </c>
      <c r="Q45" s="360">
        <f>'SC-Retro'!K191</f>
        <v>0.36783833893896356</v>
      </c>
      <c r="R45" s="360">
        <f>'SC-Retro'!L191</f>
        <v>0.29804410663373243</v>
      </c>
      <c r="S45" s="360">
        <f>'SC-Retro'!M191</f>
        <v>0.24131192264972115</v>
      </c>
      <c r="T45" s="360">
        <f>'SC-Retro'!N191</f>
        <v>0.19717304351509399</v>
      </c>
      <c r="U45" s="360">
        <f>'SC-Retro'!O191</f>
        <v>0.15960988771869508</v>
      </c>
      <c r="V45" s="360">
        <f>'SC-Retro'!P191</f>
        <v>0.12919613501406957</v>
      </c>
      <c r="W45" s="360">
        <f>'SC-Retro'!Q191</f>
        <v>0.10450008329344905</v>
      </c>
      <c r="X45" s="360">
        <f>'SC-Retro'!R191</f>
        <v>8.4577284634912986E-2</v>
      </c>
      <c r="Y45" s="360">
        <f>'SC-Retro'!S191</f>
        <v>6.8989569596853276E-2</v>
      </c>
      <c r="Z45" s="360">
        <f>'SC-Retro'!T191</f>
        <v>5.5856944461970273E-2</v>
      </c>
      <c r="AA45" s="360">
        <f>'SC-Retro'!U191</f>
        <v>3.8579362281897331E-4</v>
      </c>
      <c r="AB45" s="360">
        <f>'SC-Retro'!V191</f>
        <v>1.3950524484598211E-4</v>
      </c>
      <c r="AC45" s="360">
        <f>'SC-Retro'!W191</f>
        <v>4.8117582275679293E-5</v>
      </c>
      <c r="AD45" s="360">
        <f>'SC-Retro'!X191</f>
        <v>1.6019170524981505E-5</v>
      </c>
      <c r="AE45" s="360">
        <f>'SC-Retro'!Y191</f>
        <v>5.5967255311830453</v>
      </c>
      <c r="AF45" s="818">
        <f t="shared" si="27"/>
        <v>0</v>
      </c>
      <c r="AG45" s="818">
        <f t="shared" si="28"/>
        <v>1.3969097290864402E-2</v>
      </c>
      <c r="AH45" s="818">
        <f t="shared" si="29"/>
        <v>0.76912655943965402</v>
      </c>
      <c r="AI45" s="818">
        <f t="shared" si="30"/>
        <v>9.2645433646927842</v>
      </c>
      <c r="AJ45" s="818">
        <f t="shared" si="31"/>
        <v>36.696411893336091</v>
      </c>
      <c r="AK45" s="818">
        <f t="shared" si="32"/>
        <v>48.634855963924991</v>
      </c>
      <c r="AL45" s="818">
        <f t="shared" si="33"/>
        <v>47.084550579074467</v>
      </c>
      <c r="AM45" s="818">
        <f t="shared" si="34"/>
        <v>47.758325981595618</v>
      </c>
      <c r="AN45" s="818">
        <f t="shared" si="35"/>
        <v>22.451747843827242</v>
      </c>
      <c r="AO45" s="818">
        <f t="shared" si="36"/>
        <v>12.910376220391836</v>
      </c>
      <c r="AP45" s="818">
        <f t="shared" si="37"/>
        <v>3.6489090069872319</v>
      </c>
      <c r="AQ45" s="818">
        <f t="shared" si="38"/>
        <v>2.5003912746300094E-2</v>
      </c>
      <c r="AR45" s="818"/>
      <c r="AS45" s="818">
        <f t="shared" si="39"/>
        <v>0</v>
      </c>
      <c r="AT45" s="818">
        <f t="shared" si="40"/>
        <v>9.5531615311436856E-3</v>
      </c>
      <c r="AU45" s="818">
        <f t="shared" si="41"/>
        <v>0.28359943803200099</v>
      </c>
      <c r="AV45" s="818">
        <f t="shared" si="42"/>
        <v>6.1057494853567249</v>
      </c>
      <c r="AW45" s="818">
        <f t="shared" si="43"/>
        <v>23.794904175607975</v>
      </c>
      <c r="AX45" s="818">
        <f t="shared" si="44"/>
        <v>35.7502808492426</v>
      </c>
      <c r="AY45" s="818">
        <f t="shared" si="45"/>
        <v>40.551283412765329</v>
      </c>
      <c r="AZ45" s="818">
        <f t="shared" si="46"/>
        <v>34.730914690749835</v>
      </c>
      <c r="BA45" s="818">
        <f t="shared" si="47"/>
        <v>17.970424219787567</v>
      </c>
      <c r="BB45" s="818">
        <f t="shared" si="48"/>
        <v>8.4809878124573554</v>
      </c>
      <c r="BC45" s="818">
        <f t="shared" si="49"/>
        <v>1.8004259784599372</v>
      </c>
      <c r="BD45" s="818">
        <f t="shared" si="50"/>
        <v>1.847780578983169E-2</v>
      </c>
    </row>
    <row r="46" spans="1:56" ht="15">
      <c r="A46" s="815" t="str">
        <f>VLOOKUP(CONCATENATE($C46," - ",$B46),[2]ACHIEV!$B$17:$C$50,2,FALSE)</f>
        <v>Retro12Med</v>
      </c>
      <c r="B46" s="815" t="str">
        <f>'SC-Retro'!$C$7</f>
        <v>Retro</v>
      </c>
      <c r="C46" s="815" t="str">
        <f>'SC-Retro'!$C$8</f>
        <v>Irrigation Hardware</v>
      </c>
      <c r="D46" s="815" t="s">
        <v>1772</v>
      </c>
      <c r="E46" s="815" t="str">
        <f>'SC-Retro'!$A$9</f>
        <v>Irrigation</v>
      </c>
      <c r="F46" s="816">
        <f t="shared" si="26"/>
        <v>1.0992546922149928E-3</v>
      </c>
      <c r="G46" s="817">
        <f>'SC-Retro'!A192</f>
        <v>413.28068651502326</v>
      </c>
      <c r="H46" s="817">
        <f>'SC-Retro'!B192</f>
        <v>14.130402124270704</v>
      </c>
      <c r="I46" s="365" t="str">
        <f>'SC-Retro'!C192</f>
        <v xml:space="preserve">Wheel/hand line systems: Replace leaking drain with new drain </v>
      </c>
      <c r="J46" s="365" t="str">
        <f>'SC-Retro'!D192</f>
        <v>Oregon</v>
      </c>
      <c r="K46" s="360">
        <f>'SC-Retro'!E192</f>
        <v>0.49133507710004631</v>
      </c>
      <c r="L46" s="360">
        <f>'SC-Retro'!F192</f>
        <v>0.4963028887682186</v>
      </c>
      <c r="M46" s="360">
        <f>'SC-Retro'!G192</f>
        <v>0.50129530747474227</v>
      </c>
      <c r="N46" s="360">
        <f>'SC-Retro'!H192</f>
        <v>0.50689821797849466</v>
      </c>
      <c r="O46" s="360">
        <f>'SC-Retro'!I192</f>
        <v>0.51693637540668347</v>
      </c>
      <c r="P46" s="360">
        <f>'SC-Retro'!J192</f>
        <v>0.47086232494822361</v>
      </c>
      <c r="Q46" s="360">
        <f>'SC-Retro'!K192</f>
        <v>0.38123835891090069</v>
      </c>
      <c r="R46" s="360">
        <f>'SC-Retro'!L192</f>
        <v>0.30890158547329644</v>
      </c>
      <c r="S46" s="360">
        <f>'SC-Retro'!M192</f>
        <v>0.2501026990334449</v>
      </c>
      <c r="T46" s="360">
        <f>'SC-Retro'!N192</f>
        <v>0.20435588021626855</v>
      </c>
      <c r="U46" s="360">
        <f>'SC-Retro'!O192</f>
        <v>0.1654243324264395</v>
      </c>
      <c r="V46" s="360">
        <f>'SC-Retro'!P192</f>
        <v>0.13390263405514122</v>
      </c>
      <c r="W46" s="360">
        <f>'SC-Retro'!Q192</f>
        <v>0.10830692737403214</v>
      </c>
      <c r="X46" s="360">
        <f>'SC-Retro'!R192</f>
        <v>8.7658359072529182E-2</v>
      </c>
      <c r="Y46" s="360">
        <f>'SC-Retro'!S192</f>
        <v>7.1502797590215258E-2</v>
      </c>
      <c r="Z46" s="360">
        <f>'SC-Retro'!T192</f>
        <v>5.7891762728931782E-2</v>
      </c>
      <c r="AA46" s="360">
        <f>'SC-Retro'!U192</f>
        <v>3.9984773763944626E-4</v>
      </c>
      <c r="AB46" s="360">
        <f>'SC-Retro'!V192</f>
        <v>1.4458729548952941E-4</v>
      </c>
      <c r="AC46" s="360">
        <f>'SC-Retro'!W192</f>
        <v>4.9870462536489777E-5</v>
      </c>
      <c r="AD46" s="360">
        <f>'SC-Retro'!X192</f>
        <v>1.6602734504711842E-5</v>
      </c>
      <c r="AE46" s="360">
        <f>'SC-Retro'!Y192</f>
        <v>5.8006092103874227</v>
      </c>
      <c r="AF46" s="818">
        <f t="shared" si="27"/>
        <v>0</v>
      </c>
      <c r="AG46" s="818">
        <f t="shared" si="28"/>
        <v>1.4477978945852997E-2</v>
      </c>
      <c r="AH46" s="818">
        <f t="shared" si="29"/>
        <v>0.79714514849474649</v>
      </c>
      <c r="AI46" s="818">
        <f t="shared" si="30"/>
        <v>9.6020423499150951</v>
      </c>
      <c r="AJ46" s="818">
        <f t="shared" si="31"/>
        <v>38.033229185648651</v>
      </c>
      <c r="AK46" s="818">
        <f t="shared" si="32"/>
        <v>50.406580040128532</v>
      </c>
      <c r="AL46" s="818">
        <f t="shared" si="33"/>
        <v>48.799798423954421</v>
      </c>
      <c r="AM46" s="818">
        <f t="shared" si="34"/>
        <v>49.498118858612315</v>
      </c>
      <c r="AN46" s="818">
        <f t="shared" si="35"/>
        <v>23.269644831889984</v>
      </c>
      <c r="AO46" s="818">
        <f t="shared" si="36"/>
        <v>13.380689618656662</v>
      </c>
      <c r="AP46" s="818">
        <f t="shared" si="37"/>
        <v>3.7818354814554724</v>
      </c>
      <c r="AQ46" s="818">
        <f t="shared" si="38"/>
        <v>2.5914782807162865E-2</v>
      </c>
      <c r="AR46" s="818"/>
      <c r="AS46" s="818">
        <f t="shared" si="39"/>
        <v>0</v>
      </c>
      <c r="AT46" s="818">
        <f t="shared" si="40"/>
        <v>9.9011746166793608E-3</v>
      </c>
      <c r="AU46" s="818">
        <f t="shared" si="41"/>
        <v>0.29393071058129755</v>
      </c>
      <c r="AV46" s="818">
        <f t="shared" si="42"/>
        <v>6.3281764495590638</v>
      </c>
      <c r="AW46" s="818">
        <f t="shared" si="43"/>
        <v>24.661731141234263</v>
      </c>
      <c r="AX46" s="818">
        <f t="shared" si="44"/>
        <v>37.052631438265088</v>
      </c>
      <c r="AY46" s="818">
        <f t="shared" si="45"/>
        <v>42.02853020869788</v>
      </c>
      <c r="AZ46" s="818">
        <f t="shared" si="46"/>
        <v>35.99613068710881</v>
      </c>
      <c r="BA46" s="818">
        <f t="shared" si="47"/>
        <v>18.625070617289087</v>
      </c>
      <c r="BB46" s="818">
        <f t="shared" si="48"/>
        <v>8.7899425733898227</v>
      </c>
      <c r="BC46" s="818">
        <f t="shared" si="49"/>
        <v>1.866013878130615</v>
      </c>
      <c r="BD46" s="818">
        <f t="shared" si="50"/>
        <v>1.9150935641753963E-2</v>
      </c>
    </row>
    <row r="47" spans="1:56" ht="15">
      <c r="A47" s="815" t="str">
        <f>VLOOKUP(CONCATENATE($C47," - ",$B47),[2]ACHIEV!$B$17:$C$50,2,FALSE)</f>
        <v>Retro12Med</v>
      </c>
      <c r="B47" s="815" t="str">
        <f>'SC-Retro'!$C$7</f>
        <v>Retro</v>
      </c>
      <c r="C47" s="815" t="str">
        <f>'SC-Retro'!$C$8</f>
        <v>Irrigation Hardware</v>
      </c>
      <c r="D47" s="815" t="s">
        <v>1772</v>
      </c>
      <c r="E47" s="815" t="str">
        <f>'SC-Retro'!$A$9</f>
        <v>Irrigation</v>
      </c>
      <c r="F47" s="816">
        <f t="shared" si="26"/>
        <v>5.2773527786177817E-4</v>
      </c>
      <c r="G47" s="817">
        <f>'SC-Retro'!A193</f>
        <v>198.409703845281</v>
      </c>
      <c r="H47" s="817">
        <f>'SC-Retro'!B193</f>
        <v>26.119453513193985</v>
      </c>
      <c r="I47" s="365" t="str">
        <f>'SC-Retro'!C193</f>
        <v xml:space="preserve">Wheel/hand line systems: Cut and pipe press repair of leaking hand-lines, wheel-lines, and portable main-lines </v>
      </c>
      <c r="J47" s="365" t="str">
        <f>'SC-Retro'!D193</f>
        <v>Oregon</v>
      </c>
      <c r="K47" s="360">
        <f>'SC-Retro'!E193</f>
        <v>0.23588241676199107</v>
      </c>
      <c r="L47" s="360">
        <f>'SC-Retro'!F193</f>
        <v>0.23826738676906487</v>
      </c>
      <c r="M47" s="360">
        <f>'SC-Retro'!G193</f>
        <v>0.24066417023694414</v>
      </c>
      <c r="N47" s="360">
        <f>'SC-Retro'!H193</f>
        <v>0.24335404143101141</v>
      </c>
      <c r="O47" s="360">
        <f>'SC-Retro'!I193</f>
        <v>0.24817320648630092</v>
      </c>
      <c r="P47" s="360">
        <f>'SC-Retro'!J193</f>
        <v>0.22605376320067025</v>
      </c>
      <c r="Q47" s="360">
        <f>'SC-Retro'!K193</f>
        <v>0.18302667497921679</v>
      </c>
      <c r="R47" s="360">
        <f>'SC-Retro'!L193</f>
        <v>0.14829890215270577</v>
      </c>
      <c r="S47" s="360">
        <f>'SC-Retro'!M193</f>
        <v>0.12007046074321548</v>
      </c>
      <c r="T47" s="360">
        <f>'SC-Retro'!N193</f>
        <v>9.8108116337726953E-2</v>
      </c>
      <c r="U47" s="360">
        <f>'SC-Retro'!O193</f>
        <v>7.941767877493125E-2</v>
      </c>
      <c r="V47" s="360">
        <f>'SC-Retro'!P193</f>
        <v>6.4284595999425778E-2</v>
      </c>
      <c r="W47" s="360">
        <f>'SC-Retro'!Q193</f>
        <v>5.1996490728566672E-2</v>
      </c>
      <c r="X47" s="360">
        <f>'SC-Retro'!R193</f>
        <v>4.2083430536770522E-2</v>
      </c>
      <c r="Y47" s="360">
        <f>'SC-Retro'!S193</f>
        <v>3.4327393843670388E-2</v>
      </c>
      <c r="Z47" s="360">
        <f>'SC-Retro'!T193</f>
        <v>2.7792945261939043E-2</v>
      </c>
      <c r="AA47" s="360">
        <f>'SC-Retro'!U193</f>
        <v>1.9196075160740489E-4</v>
      </c>
      <c r="AB47" s="360">
        <f>'SC-Retro'!V193</f>
        <v>6.9414137688780783E-5</v>
      </c>
      <c r="AC47" s="360">
        <f>'SC-Retro'!W193</f>
        <v>2.394204235849872E-5</v>
      </c>
      <c r="AD47" s="360">
        <f>'SC-Retro'!X193</f>
        <v>7.9707175863442137E-6</v>
      </c>
      <c r="AE47" s="360">
        <f>'SC-Retro'!Y193</f>
        <v>2.7847833037156482</v>
      </c>
      <c r="AF47" s="818">
        <f t="shared" si="27"/>
        <v>0</v>
      </c>
      <c r="AG47" s="818">
        <f t="shared" si="28"/>
        <v>6.9506551083908076E-3</v>
      </c>
      <c r="AH47" s="818">
        <f t="shared" si="29"/>
        <v>0.38269713053430049</v>
      </c>
      <c r="AI47" s="818">
        <f t="shared" si="30"/>
        <v>4.6097929110153224</v>
      </c>
      <c r="AJ47" s="818">
        <f t="shared" si="31"/>
        <v>18.25916861162089</v>
      </c>
      <c r="AK47" s="818">
        <f t="shared" si="32"/>
        <v>24.199424129759809</v>
      </c>
      <c r="AL47" s="818">
        <f t="shared" si="33"/>
        <v>23.428032978391411</v>
      </c>
      <c r="AM47" s="818">
        <f t="shared" si="34"/>
        <v>23.763285883137407</v>
      </c>
      <c r="AN47" s="818">
        <f t="shared" si="35"/>
        <v>11.171398737773666</v>
      </c>
      <c r="AO47" s="818">
        <f t="shared" si="36"/>
        <v>6.4238633720590927</v>
      </c>
      <c r="AP47" s="818">
        <f t="shared" si="37"/>
        <v>1.81560107295234</v>
      </c>
      <c r="AQ47" s="818">
        <f t="shared" si="38"/>
        <v>1.2441288813521786E-2</v>
      </c>
      <c r="AR47" s="818"/>
      <c r="AS47" s="818">
        <f t="shared" si="39"/>
        <v>0</v>
      </c>
      <c r="AT47" s="818">
        <f t="shared" si="40"/>
        <v>4.7534017134486977E-3</v>
      </c>
      <c r="AU47" s="818">
        <f t="shared" si="41"/>
        <v>0.14111161527832075</v>
      </c>
      <c r="AV47" s="818">
        <f t="shared" si="42"/>
        <v>3.038060224457293</v>
      </c>
      <c r="AW47" s="818">
        <f t="shared" si="43"/>
        <v>11.839717973044847</v>
      </c>
      <c r="AX47" s="818">
        <f t="shared" si="44"/>
        <v>17.788398708748478</v>
      </c>
      <c r="AY47" s="818">
        <f t="shared" si="45"/>
        <v>20.177251209286947</v>
      </c>
      <c r="AZ47" s="818">
        <f t="shared" si="46"/>
        <v>17.281188940692658</v>
      </c>
      <c r="BA47" s="818">
        <f t="shared" si="47"/>
        <v>8.9416100627277686</v>
      </c>
      <c r="BB47" s="818">
        <f t="shared" si="48"/>
        <v>4.2199162934750518</v>
      </c>
      <c r="BC47" s="818">
        <f t="shared" si="49"/>
        <v>0.89584457491366731</v>
      </c>
      <c r="BD47" s="818">
        <f t="shared" si="50"/>
        <v>9.194069776358435E-3</v>
      </c>
    </row>
    <row r="48" spans="1:56" ht="15">
      <c r="A48" s="815" t="str">
        <f>VLOOKUP(CONCATENATE($C48," - ",$B48),[2]ACHIEV!$B$17:$C$50,2,FALSE)</f>
        <v>Retro12Med</v>
      </c>
      <c r="B48" s="815" t="str">
        <f>'SC-Retro'!$C$7</f>
        <v>Retro</v>
      </c>
      <c r="C48" s="815" t="str">
        <f>'SC-Retro'!$C$8</f>
        <v>Irrigation Hardware</v>
      </c>
      <c r="D48" s="815" t="s">
        <v>1772</v>
      </c>
      <c r="E48" s="815" t="str">
        <f>'SC-Retro'!$A$9</f>
        <v>Irrigation</v>
      </c>
      <c r="F48" s="816">
        <f t="shared" si="26"/>
        <v>9.133686683449805E-4</v>
      </c>
      <c r="G48" s="817">
        <f>'SC-Retro'!A194</f>
        <v>343.39414966181369</v>
      </c>
      <c r="H48" s="817">
        <f>'SC-Retro'!B194</f>
        <v>70.433406428063208</v>
      </c>
      <c r="I48" s="365" t="str">
        <f>'SC-Retro'!C194</f>
        <v xml:space="preserve">Thunderbird wheel line systems: Replace leaking hub with new hub </v>
      </c>
      <c r="J48" s="365" t="str">
        <f>'SC-Retro'!D194</f>
        <v>Oregon</v>
      </c>
      <c r="K48" s="360">
        <f>'SC-Retro'!E194</f>
        <v>6.5821953878491657E-2</v>
      </c>
      <c r="L48" s="360">
        <f>'SC-Retro'!F194</f>
        <v>6.6487469299107316E-2</v>
      </c>
      <c r="M48" s="360">
        <f>'SC-Retro'!G194</f>
        <v>6.7156281214149988E-2</v>
      </c>
      <c r="N48" s="360">
        <f>'SC-Retro'!H194</f>
        <v>6.7906877973778867E-2</v>
      </c>
      <c r="O48" s="360">
        <f>'SC-Retro'!I194</f>
        <v>6.9251644846852645E-2</v>
      </c>
      <c r="P48" s="360">
        <f>'SC-Retro'!J194</f>
        <v>6.3079311208123809E-2</v>
      </c>
      <c r="Q48" s="360">
        <f>'SC-Retro'!K194</f>
        <v>5.107279094554755E-2</v>
      </c>
      <c r="R48" s="360">
        <f>'SC-Retro'!L194</f>
        <v>4.1382158245290797E-2</v>
      </c>
      <c r="S48" s="360">
        <f>'SC-Retro'!M194</f>
        <v>3.3505135472576129E-2</v>
      </c>
      <c r="T48" s="360">
        <f>'SC-Retro'!N194</f>
        <v>2.7376639587356116E-2</v>
      </c>
      <c r="U48" s="360">
        <f>'SC-Retro'!O194</f>
        <v>2.2161154956856936E-2</v>
      </c>
      <c r="V48" s="360">
        <f>'SC-Retro'!P194</f>
        <v>1.793833457811804E-2</v>
      </c>
      <c r="W48" s="360">
        <f>'SC-Retro'!Q194</f>
        <v>1.4509392694719165E-2</v>
      </c>
      <c r="X48" s="360">
        <f>'SC-Retro'!R194</f>
        <v>1.1743196724302699E-2</v>
      </c>
      <c r="Y48" s="360">
        <f>'SC-Retro'!S194</f>
        <v>9.57890870105319E-3</v>
      </c>
      <c r="Z48" s="360">
        <f>'SC-Retro'!T194</f>
        <v>7.7554994827133458E-3</v>
      </c>
      <c r="AA48" s="360">
        <f>'SC-Retro'!U194</f>
        <v>5.3565805846106525E-5</v>
      </c>
      <c r="AB48" s="360">
        <f>'SC-Retro'!V194</f>
        <v>1.936971068969657E-5</v>
      </c>
      <c r="AC48" s="360">
        <f>'SC-Retro'!W194</f>
        <v>6.6809219165670845E-6</v>
      </c>
      <c r="AD48" s="360">
        <f>'SC-Retro'!X194</f>
        <v>2.2241937849746945E-6</v>
      </c>
      <c r="AE48" s="360">
        <f>'SC-Retro'!Y194</f>
        <v>0.77708156756642621</v>
      </c>
      <c r="AF48" s="818">
        <f t="shared" si="27"/>
        <v>0</v>
      </c>
      <c r="AG48" s="818">
        <f t="shared" si="28"/>
        <v>1.2029725634788659E-2</v>
      </c>
      <c r="AH48" s="818">
        <f t="shared" si="29"/>
        <v>0.66234641336050681</v>
      </c>
      <c r="AI48" s="818">
        <f t="shared" si="30"/>
        <v>7.9783190343833219</v>
      </c>
      <c r="AJ48" s="818">
        <f t="shared" si="31"/>
        <v>31.6017390147844</v>
      </c>
      <c r="AK48" s="818">
        <f t="shared" si="32"/>
        <v>41.88273310374224</v>
      </c>
      <c r="AL48" s="818">
        <f t="shared" si="33"/>
        <v>40.547661263267344</v>
      </c>
      <c r="AM48" s="818">
        <f t="shared" si="34"/>
        <v>41.127894406685961</v>
      </c>
      <c r="AN48" s="818">
        <f t="shared" si="35"/>
        <v>19.334704380599714</v>
      </c>
      <c r="AO48" s="818">
        <f t="shared" si="36"/>
        <v>11.117989984562788</v>
      </c>
      <c r="AP48" s="818">
        <f t="shared" si="37"/>
        <v>3.1423200301620424</v>
      </c>
      <c r="AQ48" s="818">
        <f t="shared" si="38"/>
        <v>2.1532544578302695E-2</v>
      </c>
      <c r="AR48" s="818"/>
      <c r="AS48" s="818">
        <f t="shared" si="39"/>
        <v>0</v>
      </c>
      <c r="AT48" s="818">
        <f t="shared" si="40"/>
        <v>8.226867475512066E-3</v>
      </c>
      <c r="AU48" s="818">
        <f t="shared" si="41"/>
        <v>0.24422647782232679</v>
      </c>
      <c r="AV48" s="818">
        <f t="shared" si="42"/>
        <v>5.2580699793414043</v>
      </c>
      <c r="AW48" s="818">
        <f t="shared" si="43"/>
        <v>20.49138629207286</v>
      </c>
      <c r="AX48" s="818">
        <f t="shared" si="44"/>
        <v>30.786962180031857</v>
      </c>
      <c r="AY48" s="818">
        <f t="shared" si="45"/>
        <v>34.921427164312995</v>
      </c>
      <c r="AZ48" s="818">
        <f t="shared" si="46"/>
        <v>29.909117681370077</v>
      </c>
      <c r="BA48" s="818">
        <f t="shared" si="47"/>
        <v>15.475536350239592</v>
      </c>
      <c r="BB48" s="818">
        <f t="shared" si="48"/>
        <v>7.3035468485548245</v>
      </c>
      <c r="BC48" s="818">
        <f t="shared" si="49"/>
        <v>1.5504674422149962</v>
      </c>
      <c r="BD48" s="818">
        <f t="shared" si="50"/>
        <v>1.591247661579067E-2</v>
      </c>
    </row>
    <row r="49" spans="1:56" ht="15">
      <c r="A49" s="815" t="str">
        <f>VLOOKUP(CONCATENATE($C49," - ",$B49),[2]ACHIEV!$B$17:$C$50,2,FALSE)</f>
        <v>Retro12Med</v>
      </c>
      <c r="B49" s="815" t="str">
        <f>'SC-Retro'!$C$7</f>
        <v>Retro</v>
      </c>
      <c r="C49" s="815" t="str">
        <f>'SC-Retro'!$C$8</f>
        <v>Irrigation Hardware</v>
      </c>
      <c r="D49" s="815" t="s">
        <v>1772</v>
      </c>
      <c r="E49" s="815" t="str">
        <f>'SC-Retro'!$A$9</f>
        <v>Irrigation</v>
      </c>
      <c r="F49" s="816">
        <f t="shared" si="26"/>
        <v>2.6300588075606906E-4</v>
      </c>
      <c r="G49" s="817">
        <f>'SC-Retro'!A195</f>
        <v>98.880861483826095</v>
      </c>
      <c r="H49" s="817">
        <f>'SC-Retro'!B195</f>
        <v>14.043642949696046</v>
      </c>
      <c r="I49" s="365" t="str">
        <f>'SC-Retro'!C195</f>
        <v xml:space="preserve">Wheel line systems: Rebuild or replace leaking or malfunctioning leveler with new or rebuilt leveler. </v>
      </c>
      <c r="J49" s="365" t="str">
        <f>'SC-Retro'!D195</f>
        <v>Oregon</v>
      </c>
      <c r="K49" s="360">
        <f>'SC-Retro'!E195</f>
        <v>1.8953530543440379E-2</v>
      </c>
      <c r="L49" s="360">
        <f>'SC-Retro'!F195</f>
        <v>1.9145166709012965E-2</v>
      </c>
      <c r="M49" s="360">
        <f>'SC-Retro'!G195</f>
        <v>1.9337752105110115E-2</v>
      </c>
      <c r="N49" s="360">
        <f>'SC-Retro'!H195</f>
        <v>1.9553887570120707E-2</v>
      </c>
      <c r="O49" s="360">
        <f>'SC-Retro'!I195</f>
        <v>1.9941115212278857E-2</v>
      </c>
      <c r="P49" s="360">
        <f>'SC-Retro'!J195</f>
        <v>1.8163782464577199E-2</v>
      </c>
      <c r="Q49" s="360">
        <f>'SC-Retro'!K195</f>
        <v>1.4706486910311746E-2</v>
      </c>
      <c r="R49" s="360">
        <f>'SC-Retro'!L195</f>
        <v>1.1916054660174666E-2</v>
      </c>
      <c r="S49" s="360">
        <f>'SC-Retro'!M195</f>
        <v>9.6478541143563482E-3</v>
      </c>
      <c r="T49" s="360">
        <f>'SC-Retro'!N195</f>
        <v>7.883144513661523E-3</v>
      </c>
      <c r="U49" s="360">
        <f>'SC-Retro'!O195</f>
        <v>6.3813378759325331E-3</v>
      </c>
      <c r="V49" s="360">
        <f>'SC-Retro'!P195</f>
        <v>5.1653704013777616E-3</v>
      </c>
      <c r="W49" s="360">
        <f>'SC-Retro'!Q195</f>
        <v>4.1780014326799307E-3</v>
      </c>
      <c r="X49" s="360">
        <f>'SC-Retro'!R195</f>
        <v>3.3814711456693794E-3</v>
      </c>
      <c r="Y49" s="360">
        <f>'SC-Retro'!S195</f>
        <v>2.7582611566558811E-3</v>
      </c>
      <c r="Z49" s="360">
        <f>'SC-Retro'!T195</f>
        <v>2.2332077318245038E-3</v>
      </c>
      <c r="AA49" s="360">
        <f>'SC-Retro'!U195</f>
        <v>1.54243542976917E-5</v>
      </c>
      <c r="AB49" s="360">
        <f>'SC-Retro'!V195</f>
        <v>5.577537303928791E-6</v>
      </c>
      <c r="AC49" s="360">
        <f>'SC-Retro'!W195</f>
        <v>1.9237815066649341E-6</v>
      </c>
      <c r="AD49" s="360">
        <f>'SC-Retro'!X195</f>
        <v>6.4045994313492061E-7</v>
      </c>
      <c r="AE49" s="360">
        <f>'SC-Retro'!Y195</f>
        <v>0.22376180526035</v>
      </c>
      <c r="AF49" s="818">
        <f t="shared" si="27"/>
        <v>0</v>
      </c>
      <c r="AG49" s="818">
        <f t="shared" si="28"/>
        <v>3.463977576069479E-3</v>
      </c>
      <c r="AH49" s="818">
        <f t="shared" si="29"/>
        <v>0.19072364517074453</v>
      </c>
      <c r="AI49" s="818">
        <f t="shared" si="30"/>
        <v>2.297368956604442</v>
      </c>
      <c r="AJ49" s="818">
        <f t="shared" si="31"/>
        <v>9.0997682437115959</v>
      </c>
      <c r="AK49" s="818">
        <f t="shared" si="32"/>
        <v>12.060195942982103</v>
      </c>
      <c r="AL49" s="818">
        <f t="shared" si="33"/>
        <v>11.675760000031513</v>
      </c>
      <c r="AM49" s="818">
        <f t="shared" si="34"/>
        <v>11.842839005714065</v>
      </c>
      <c r="AN49" s="818">
        <f t="shared" si="35"/>
        <v>5.567457184613203</v>
      </c>
      <c r="AO49" s="818">
        <f t="shared" si="36"/>
        <v>3.2014419253350783</v>
      </c>
      <c r="AP49" s="818">
        <f t="shared" si="37"/>
        <v>0.90483577529293446</v>
      </c>
      <c r="AQ49" s="818">
        <f t="shared" si="38"/>
        <v>6.2003285726863009E-3</v>
      </c>
      <c r="AR49" s="818"/>
      <c r="AS49" s="818">
        <f t="shared" si="39"/>
        <v>0</v>
      </c>
      <c r="AT49" s="818">
        <f t="shared" si="40"/>
        <v>2.3689388537721022E-3</v>
      </c>
      <c r="AU49" s="818">
        <f t="shared" si="41"/>
        <v>7.0325381338078419E-2</v>
      </c>
      <c r="AV49" s="818">
        <f t="shared" si="42"/>
        <v>1.5140691529298307</v>
      </c>
      <c r="AW49" s="818">
        <f t="shared" si="43"/>
        <v>5.9005254794046618</v>
      </c>
      <c r="AX49" s="818">
        <f t="shared" si="44"/>
        <v>8.8651520296126058</v>
      </c>
      <c r="AY49" s="818">
        <f t="shared" si="45"/>
        <v>10.055677435543522</v>
      </c>
      <c r="AZ49" s="818">
        <f t="shared" si="46"/>
        <v>8.6123753869062583</v>
      </c>
      <c r="BA49" s="818">
        <f t="shared" si="47"/>
        <v>4.4562039503089492</v>
      </c>
      <c r="BB49" s="818">
        <f t="shared" si="48"/>
        <v>2.1030672915767865</v>
      </c>
      <c r="BC49" s="818">
        <f t="shared" si="49"/>
        <v>0.44645943019072876</v>
      </c>
      <c r="BD49" s="818">
        <f t="shared" si="50"/>
        <v>4.5820215564539935E-3</v>
      </c>
    </row>
    <row r="50" spans="1:56" ht="15">
      <c r="A50" s="815" t="str">
        <f>VLOOKUP(CONCATENATE($C50," - ",$B50),[2]ACHIEV!$B$17:$C$50,2,FALSE)</f>
        <v>Retro12Med</v>
      </c>
      <c r="B50" s="815" t="str">
        <f>'SC-Retro'!$C$7</f>
        <v>Retro</v>
      </c>
      <c r="C50" s="815" t="str">
        <f>'SC-Retro'!$C$8</f>
        <v>Irrigation Hardware</v>
      </c>
      <c r="D50" s="815" t="s">
        <v>1772</v>
      </c>
      <c r="E50" s="815" t="str">
        <f>'SC-Retro'!$A$9</f>
        <v>Irrigation</v>
      </c>
      <c r="F50" s="816">
        <f t="shared" si="26"/>
        <v>3.4857866639111573E-4</v>
      </c>
      <c r="G50" s="817">
        <f>'SC-Retro'!A196</f>
        <v>131.05318682818603</v>
      </c>
      <c r="H50" s="817">
        <f>'SC-Retro'!B196</f>
        <v>49.801879993743583</v>
      </c>
      <c r="I50" s="365" t="str">
        <f>'SC-Retro'!C196</f>
        <v xml:space="preserve">Center pivot/linear move systems: Install new sprinkler package on an existing system. </v>
      </c>
      <c r="J50" s="365" t="str">
        <f>'SC-Retro'!D196</f>
        <v>Oregon</v>
      </c>
      <c r="K50" s="360">
        <f>'SC-Retro'!E196</f>
        <v>0.22662796769243837</v>
      </c>
      <c r="L50" s="360">
        <f>'SC-Retro'!F196</f>
        <v>0.22891936742087138</v>
      </c>
      <c r="M50" s="360">
        <f>'SC-Retro'!G196</f>
        <v>0.23122211712888535</v>
      </c>
      <c r="N50" s="360">
        <f>'SC-Retro'!H196</f>
        <v>0.23380645576011533</v>
      </c>
      <c r="O50" s="360">
        <f>'SC-Retro'!I196</f>
        <v>0.23843654899659716</v>
      </c>
      <c r="P50" s="360">
        <f>'SC-Retro'!J196</f>
        <v>0.21718492478855497</v>
      </c>
      <c r="Q50" s="360">
        <f>'SC-Retro'!K196</f>
        <v>0.17584593185636749</v>
      </c>
      <c r="R50" s="360">
        <f>'SC-Retro'!L196</f>
        <v>0.1424806446671231</v>
      </c>
      <c r="S50" s="360">
        <f>'SC-Retro'!M196</f>
        <v>0.11535969858061221</v>
      </c>
      <c r="T50" s="360">
        <f>'SC-Retro'!N196</f>
        <v>9.4259009742921465E-2</v>
      </c>
      <c r="U50" s="360">
        <f>'SC-Retro'!O196</f>
        <v>7.6301859997365093E-2</v>
      </c>
      <c r="V50" s="360">
        <f>'SC-Retro'!P196</f>
        <v>6.1762498219523274E-2</v>
      </c>
      <c r="W50" s="360">
        <f>'SC-Retro'!Q196</f>
        <v>4.9956496048808398E-2</v>
      </c>
      <c r="X50" s="360">
        <f>'SC-Retro'!R196</f>
        <v>4.0432358066338908E-2</v>
      </c>
      <c r="Y50" s="360">
        <f>'SC-Retro'!S196</f>
        <v>3.2980616401003818E-2</v>
      </c>
      <c r="Z50" s="360">
        <f>'SC-Retro'!T196</f>
        <v>2.6702535896331231E-2</v>
      </c>
      <c r="AA50" s="360">
        <f>'SC-Retro'!U196</f>
        <v>1.8442949504538525E-4</v>
      </c>
      <c r="AB50" s="360">
        <f>'SC-Retro'!V196</f>
        <v>6.669079098593635E-5</v>
      </c>
      <c r="AC50" s="360">
        <f>'SC-Retro'!W196</f>
        <v>2.3002716678062918E-5</v>
      </c>
      <c r="AD50" s="360">
        <f>'SC-Retro'!X196</f>
        <v>7.6579999155521554E-6</v>
      </c>
      <c r="AE50" s="360">
        <f>'SC-Retro'!Y196</f>
        <v>2.6755270242194906</v>
      </c>
      <c r="AF50" s="818">
        <f t="shared" si="27"/>
        <v>0</v>
      </c>
      <c r="AG50" s="818">
        <f t="shared" si="28"/>
        <v>4.591033023306895E-3</v>
      </c>
      <c r="AH50" s="818">
        <f t="shared" si="29"/>
        <v>0.25277835496207379</v>
      </c>
      <c r="AI50" s="818">
        <f t="shared" si="30"/>
        <v>3.0448513348804496</v>
      </c>
      <c r="AJ50" s="818">
        <f t="shared" si="31"/>
        <v>12.060510091039159</v>
      </c>
      <c r="AK50" s="818">
        <f t="shared" si="32"/>
        <v>15.984155966912677</v>
      </c>
      <c r="AL50" s="818">
        <f t="shared" si="33"/>
        <v>15.474638202818213</v>
      </c>
      <c r="AM50" s="818">
        <f t="shared" si="34"/>
        <v>15.696078791201078</v>
      </c>
      <c r="AN50" s="818">
        <f t="shared" si="35"/>
        <v>7.3789102928920824</v>
      </c>
      <c r="AO50" s="818">
        <f t="shared" si="36"/>
        <v>4.2430775831089695</v>
      </c>
      <c r="AP50" s="818">
        <f t="shared" si="37"/>
        <v>1.1992372449919224</v>
      </c>
      <c r="AQ50" s="818">
        <f t="shared" si="38"/>
        <v>8.2176955847548926E-3</v>
      </c>
      <c r="AR50" s="818"/>
      <c r="AS50" s="818">
        <f t="shared" si="39"/>
        <v>0</v>
      </c>
      <c r="AT50" s="818">
        <f t="shared" si="40"/>
        <v>3.1397075382350458E-3</v>
      </c>
      <c r="AU50" s="818">
        <f t="shared" si="41"/>
        <v>9.3206766212995992E-2</v>
      </c>
      <c r="AV50" s="818">
        <f t="shared" si="42"/>
        <v>2.0066935561859212</v>
      </c>
      <c r="AW50" s="818">
        <f t="shared" si="43"/>
        <v>7.8203471979598067</v>
      </c>
      <c r="AX50" s="818">
        <f t="shared" si="44"/>
        <v>11.749558081946219</v>
      </c>
      <c r="AY50" s="818">
        <f t="shared" si="45"/>
        <v>13.327438230903931</v>
      </c>
      <c r="AZ50" s="818">
        <f t="shared" si="46"/>
        <v>11.414536884868408</v>
      </c>
      <c r="BA50" s="818">
        <f t="shared" si="47"/>
        <v>5.9060946686823117</v>
      </c>
      <c r="BB50" s="818">
        <f t="shared" si="48"/>
        <v>2.7873307993007508</v>
      </c>
      <c r="BC50" s="818">
        <f t="shared" si="49"/>
        <v>0.59172149431122734</v>
      </c>
      <c r="BD50" s="818">
        <f t="shared" si="50"/>
        <v>6.0728488615257731E-3</v>
      </c>
    </row>
    <row r="51" spans="1:56" ht="15">
      <c r="A51" s="815" t="str">
        <f>VLOOKUP(CONCATENATE($C51," - ",$B51),[2]ACHIEV!$B$17:$C$50,2,FALSE)</f>
        <v>Retro12Med</v>
      </c>
      <c r="B51" s="815" t="str">
        <f>'SC-Retro'!$C$7</f>
        <v>Retro</v>
      </c>
      <c r="C51" s="815" t="str">
        <f>'SC-Retro'!$C$8</f>
        <v>Irrigation Hardware</v>
      </c>
      <c r="D51" s="815" t="s">
        <v>1772</v>
      </c>
      <c r="E51" s="815" t="str">
        <f>'SC-Retro'!$A$9</f>
        <v>Irrigation</v>
      </c>
      <c r="F51" s="816">
        <f t="shared" si="26"/>
        <v>2.6608798092117926E-5</v>
      </c>
      <c r="G51" s="817">
        <f>'SC-Retro'!A197</f>
        <v>10.003962157933968</v>
      </c>
      <c r="H51" s="817">
        <f>'SC-Retro'!B197</f>
        <v>44.368055175717714</v>
      </c>
      <c r="I51" s="365" t="str">
        <f>'SC-Retro'!C197</f>
        <v xml:space="preserve">Center pivot/linear move systems: New gooseneck elbows </v>
      </c>
      <c r="J51" s="365" t="str">
        <f>'SC-Retro'!D197</f>
        <v>Oregon</v>
      </c>
      <c r="K51" s="360">
        <f>'SC-Retro'!E197</f>
        <v>1.7299675556130972E-2</v>
      </c>
      <c r="L51" s="360">
        <f>'SC-Retro'!F197</f>
        <v>1.7474589854109827E-2</v>
      </c>
      <c r="M51" s="360">
        <f>'SC-Retro'!G197</f>
        <v>1.7650370554264539E-2</v>
      </c>
      <c r="N51" s="360">
        <f>'SC-Retro'!H197</f>
        <v>1.7847646381704028E-2</v>
      </c>
      <c r="O51" s="360">
        <f>'SC-Retro'!I197</f>
        <v>1.8201085154514608E-2</v>
      </c>
      <c r="P51" s="360">
        <f>'SC-Retro'!J197</f>
        <v>1.6578839640938418E-2</v>
      </c>
      <c r="Q51" s="360">
        <f>'SC-Retro'!K197</f>
        <v>1.3423222208430787E-2</v>
      </c>
      <c r="R51" s="360">
        <f>'SC-Retro'!L197</f>
        <v>1.0876278646749981E-2</v>
      </c>
      <c r="S51" s="360">
        <f>'SC-Retro'!M197</f>
        <v>8.8059976798893613E-3</v>
      </c>
      <c r="T51" s="360">
        <f>'SC-Retro'!N197</f>
        <v>7.1952738375508866E-3</v>
      </c>
      <c r="U51" s="360">
        <f>'SC-Retro'!O197</f>
        <v>5.8245124629769498E-3</v>
      </c>
      <c r="V51" s="360">
        <f>'SC-Retro'!P197</f>
        <v>4.7146483799559748E-3</v>
      </c>
      <c r="W51" s="360">
        <f>'SC-Retro'!Q197</f>
        <v>3.8134356600611203E-3</v>
      </c>
      <c r="X51" s="360">
        <f>'SC-Retro'!R197</f>
        <v>3.0864093414376785E-3</v>
      </c>
      <c r="Y51" s="360">
        <f>'SC-Retro'!S197</f>
        <v>2.5175796667465545E-3</v>
      </c>
      <c r="Z51" s="360">
        <f>'SC-Retro'!T197</f>
        <v>2.0383415702663272E-3</v>
      </c>
      <c r="AA51" s="360">
        <f>'SC-Retro'!U197</f>
        <v>1.4078449627171436E-5</v>
      </c>
      <c r="AB51" s="360">
        <f>'SC-Retro'!V197</f>
        <v>5.0908502528875569E-6</v>
      </c>
      <c r="AC51" s="360">
        <f>'SC-Retro'!W197</f>
        <v>1.7559153863134116E-6</v>
      </c>
      <c r="AD51" s="360">
        <f>'SC-Retro'!X197</f>
        <v>5.8457442519946764E-7</v>
      </c>
      <c r="AE51" s="360">
        <f>'SC-Retro'!Y197</f>
        <v>0.20423670534553412</v>
      </c>
      <c r="AF51" s="818">
        <f t="shared" si="27"/>
        <v>0</v>
      </c>
      <c r="AG51" s="818">
        <f t="shared" si="28"/>
        <v>3.5045710632890432E-4</v>
      </c>
      <c r="AH51" s="818">
        <f t="shared" si="29"/>
        <v>1.929586878875892E-2</v>
      </c>
      <c r="AI51" s="818">
        <f t="shared" si="30"/>
        <v>0.232429124906465</v>
      </c>
      <c r="AJ51" s="818">
        <f t="shared" si="31"/>
        <v>0.920640615281759</v>
      </c>
      <c r="AK51" s="818">
        <f t="shared" si="32"/>
        <v>1.2201526364188924</v>
      </c>
      <c r="AL51" s="818">
        <f t="shared" si="33"/>
        <v>1.1812585312531882</v>
      </c>
      <c r="AM51" s="818">
        <f t="shared" si="34"/>
        <v>1.1981622275312276</v>
      </c>
      <c r="AN51" s="818">
        <f t="shared" si="35"/>
        <v>0.56327008234953879</v>
      </c>
      <c r="AO51" s="818">
        <f t="shared" si="36"/>
        <v>0.32389588228975985</v>
      </c>
      <c r="AP51" s="818">
        <f t="shared" si="37"/>
        <v>9.1543931953464858E-2</v>
      </c>
      <c r="AQ51" s="818">
        <f t="shared" si="38"/>
        <v>6.2729886731474681E-4</v>
      </c>
      <c r="AR51" s="818"/>
      <c r="AS51" s="818">
        <f t="shared" si="39"/>
        <v>0</v>
      </c>
      <c r="AT51" s="818">
        <f t="shared" si="40"/>
        <v>2.3966998559647439E-4</v>
      </c>
      <c r="AU51" s="818">
        <f t="shared" si="41"/>
        <v>7.1149506900634023E-3</v>
      </c>
      <c r="AV51" s="818">
        <f t="shared" si="42"/>
        <v>0.1531812150815727</v>
      </c>
      <c r="AW51" s="818">
        <f t="shared" si="43"/>
        <v>0.59696722623664356</v>
      </c>
      <c r="AX51" s="818">
        <f t="shared" si="44"/>
        <v>0.89690405299596276</v>
      </c>
      <c r="AY51" s="818">
        <f t="shared" si="45"/>
        <v>1.0173517405491297</v>
      </c>
      <c r="AZ51" s="818">
        <f t="shared" si="46"/>
        <v>0.87133016609715663</v>
      </c>
      <c r="BA51" s="818">
        <f t="shared" si="47"/>
        <v>0.45084250903516326</v>
      </c>
      <c r="BB51" s="818">
        <f t="shared" si="48"/>
        <v>0.2127712611399952</v>
      </c>
      <c r="BC51" s="818">
        <f t="shared" si="49"/>
        <v>4.5169137663827637E-2</v>
      </c>
      <c r="BD51" s="818">
        <f t="shared" si="50"/>
        <v>4.6357171215686882E-4</v>
      </c>
    </row>
    <row r="52" spans="1:56" ht="15">
      <c r="A52" s="815" t="str">
        <f>VLOOKUP(CONCATENATE($C52," - ",$B52),[2]ACHIEV!$B$17:$C$50,2,FALSE)</f>
        <v>Retro12Med</v>
      </c>
      <c r="B52" s="815" t="str">
        <f>'SC-Retro'!$C$7</f>
        <v>Retro</v>
      </c>
      <c r="C52" s="815" t="str">
        <f>'SC-Retro'!$C$8</f>
        <v>Irrigation Hardware</v>
      </c>
      <c r="D52" s="815" t="s">
        <v>1772</v>
      </c>
      <c r="E52" s="815" t="str">
        <f>'SC-Retro'!$A$9</f>
        <v>Irrigation</v>
      </c>
      <c r="F52" s="816">
        <f t="shared" si="26"/>
        <v>2.6608798092117926E-5</v>
      </c>
      <c r="G52" s="817">
        <f>'SC-Retro'!A198</f>
        <v>10.003962157933968</v>
      </c>
      <c r="H52" s="817">
        <f>'SC-Retro'!B198</f>
        <v>93.356537564067438</v>
      </c>
      <c r="I52" s="365" t="str">
        <f>'SC-Retro'!C198</f>
        <v xml:space="preserve">Center pivot/linear move systems: New drop tubes (3 feet minimum) </v>
      </c>
      <c r="J52" s="365" t="str">
        <f>'SC-Retro'!D198</f>
        <v>Oregon</v>
      </c>
      <c r="K52" s="360">
        <f>'SC-Retro'!E198</f>
        <v>1.7299675556130972E-2</v>
      </c>
      <c r="L52" s="360">
        <f>'SC-Retro'!F198</f>
        <v>1.7474589854109827E-2</v>
      </c>
      <c r="M52" s="360">
        <f>'SC-Retro'!G198</f>
        <v>1.7650370554264539E-2</v>
      </c>
      <c r="N52" s="360">
        <f>'SC-Retro'!H198</f>
        <v>1.7847646381704028E-2</v>
      </c>
      <c r="O52" s="360">
        <f>'SC-Retro'!I198</f>
        <v>1.8201085154514608E-2</v>
      </c>
      <c r="P52" s="360">
        <f>'SC-Retro'!J198</f>
        <v>1.6578839640938418E-2</v>
      </c>
      <c r="Q52" s="360">
        <f>'SC-Retro'!K198</f>
        <v>1.3423222208430787E-2</v>
      </c>
      <c r="R52" s="360">
        <f>'SC-Retro'!L198</f>
        <v>1.0876278646749981E-2</v>
      </c>
      <c r="S52" s="360">
        <f>'SC-Retro'!M198</f>
        <v>8.8059976798893613E-3</v>
      </c>
      <c r="T52" s="360">
        <f>'SC-Retro'!N198</f>
        <v>7.1952738375508866E-3</v>
      </c>
      <c r="U52" s="360">
        <f>'SC-Retro'!O198</f>
        <v>5.8245124629769498E-3</v>
      </c>
      <c r="V52" s="360">
        <f>'SC-Retro'!P198</f>
        <v>4.7146483799559748E-3</v>
      </c>
      <c r="W52" s="360">
        <f>'SC-Retro'!Q198</f>
        <v>3.8134356600611203E-3</v>
      </c>
      <c r="X52" s="360">
        <f>'SC-Retro'!R198</f>
        <v>3.0864093414376785E-3</v>
      </c>
      <c r="Y52" s="360">
        <f>'SC-Retro'!S198</f>
        <v>2.5175796667465545E-3</v>
      </c>
      <c r="Z52" s="360">
        <f>'SC-Retro'!T198</f>
        <v>2.0383415702663272E-3</v>
      </c>
      <c r="AA52" s="360">
        <f>'SC-Retro'!U198</f>
        <v>1.4078449627171436E-5</v>
      </c>
      <c r="AB52" s="360">
        <f>'SC-Retro'!V198</f>
        <v>5.0908502528875569E-6</v>
      </c>
      <c r="AC52" s="360">
        <f>'SC-Retro'!W198</f>
        <v>1.7559153863134116E-6</v>
      </c>
      <c r="AD52" s="360">
        <f>'SC-Retro'!X198</f>
        <v>5.8457442519946764E-7</v>
      </c>
      <c r="AE52" s="360">
        <f>'SC-Retro'!Y198</f>
        <v>0.20423670534553412</v>
      </c>
      <c r="AF52" s="818">
        <f t="shared" si="27"/>
        <v>0</v>
      </c>
      <c r="AG52" s="818">
        <f t="shared" si="28"/>
        <v>3.5045710632890432E-4</v>
      </c>
      <c r="AH52" s="818">
        <f t="shared" si="29"/>
        <v>1.929586878875892E-2</v>
      </c>
      <c r="AI52" s="818">
        <f t="shared" si="30"/>
        <v>0.232429124906465</v>
      </c>
      <c r="AJ52" s="818">
        <f t="shared" si="31"/>
        <v>0.920640615281759</v>
      </c>
      <c r="AK52" s="818">
        <f t="shared" si="32"/>
        <v>1.2201526364188924</v>
      </c>
      <c r="AL52" s="818">
        <f t="shared" si="33"/>
        <v>1.1812585312531882</v>
      </c>
      <c r="AM52" s="818">
        <f t="shared" si="34"/>
        <v>1.1981622275312276</v>
      </c>
      <c r="AN52" s="818">
        <f t="shared" si="35"/>
        <v>0.56327008234953879</v>
      </c>
      <c r="AO52" s="818">
        <f t="shared" si="36"/>
        <v>0.32389588228975985</v>
      </c>
      <c r="AP52" s="818">
        <f t="shared" si="37"/>
        <v>9.1543931953464858E-2</v>
      </c>
      <c r="AQ52" s="818">
        <f t="shared" si="38"/>
        <v>6.2729886731474681E-4</v>
      </c>
      <c r="AR52" s="818"/>
      <c r="AS52" s="818">
        <f t="shared" si="39"/>
        <v>0</v>
      </c>
      <c r="AT52" s="818">
        <f t="shared" si="40"/>
        <v>2.3966998559647439E-4</v>
      </c>
      <c r="AU52" s="818">
        <f t="shared" si="41"/>
        <v>7.1149506900634023E-3</v>
      </c>
      <c r="AV52" s="818">
        <f t="shared" si="42"/>
        <v>0.1531812150815727</v>
      </c>
      <c r="AW52" s="818">
        <f t="shared" si="43"/>
        <v>0.59696722623664356</v>
      </c>
      <c r="AX52" s="818">
        <f t="shared" si="44"/>
        <v>0.89690405299596276</v>
      </c>
      <c r="AY52" s="818">
        <f t="shared" si="45"/>
        <v>1.0173517405491297</v>
      </c>
      <c r="AZ52" s="818">
        <f t="shared" si="46"/>
        <v>0.87133016609715663</v>
      </c>
      <c r="BA52" s="818">
        <f t="shared" si="47"/>
        <v>0.45084250903516326</v>
      </c>
      <c r="BB52" s="818">
        <f t="shared" si="48"/>
        <v>0.2127712611399952</v>
      </c>
      <c r="BC52" s="818">
        <f t="shared" si="49"/>
        <v>4.5169137663827637E-2</v>
      </c>
      <c r="BD52" s="818">
        <f t="shared" si="50"/>
        <v>4.6357171215686882E-4</v>
      </c>
    </row>
    <row r="53" spans="1:56" ht="15">
      <c r="A53" s="815" t="str">
        <f>VLOOKUP(CONCATENATE($C53," - ",$B53),[2]ACHIEV!$B$17:$C$50,2,FALSE)</f>
        <v>Retro12Med</v>
      </c>
      <c r="B53" s="815" t="str">
        <f>'SC-Retro'!$C$7</f>
        <v>Retro</v>
      </c>
      <c r="C53" s="815" t="str">
        <f>'SC-Retro'!$C$8</f>
        <v>Irrigation Hardware</v>
      </c>
      <c r="D53" s="815" t="s">
        <v>1772</v>
      </c>
      <c r="E53" s="815" t="str">
        <f>'SC-Retro'!$A$9</f>
        <v>Irrigation</v>
      </c>
      <c r="F53" s="816">
        <f t="shared" si="26"/>
        <v>4.4281308103173689E-5</v>
      </c>
      <c r="G53" s="817">
        <f>'SC-Retro'!A199</f>
        <v>16.648197676361288</v>
      </c>
      <c r="H53" s="817">
        <f>'SC-Retro'!B199</f>
        <v>22.406388933458576</v>
      </c>
      <c r="I53" s="365" t="str">
        <f>'SC-Retro'!C199</f>
        <v xml:space="preserve">Center pivot/linear move systems: Replace leaking pivot boot gasket with new pivot boot gasket </v>
      </c>
      <c r="J53" s="365" t="str">
        <f>'SC-Retro'!D199</f>
        <v>Oregon</v>
      </c>
      <c r="K53" s="360">
        <f>'SC-Retro'!E199</f>
        <v>2.8789435010704172E-2</v>
      </c>
      <c r="L53" s="360">
        <f>'SC-Retro'!F199</f>
        <v>2.9080520458969732E-2</v>
      </c>
      <c r="M53" s="360">
        <f>'SC-Retro'!G199</f>
        <v>2.9373047739427706E-2</v>
      </c>
      <c r="N53" s="360">
        <f>'SC-Retro'!H199</f>
        <v>2.9701346359527498E-2</v>
      </c>
      <c r="O53" s="360">
        <f>'SC-Retro'!I199</f>
        <v>3.0289525169417797E-2</v>
      </c>
      <c r="P53" s="360">
        <f>'SC-Retro'!J199</f>
        <v>2.7589848425020321E-2</v>
      </c>
      <c r="Q53" s="360">
        <f>'SC-Retro'!K199</f>
        <v>2.2338394853127923E-2</v>
      </c>
      <c r="R53" s="360">
        <f>'SC-Retro'!L199</f>
        <v>1.8099872234190448E-2</v>
      </c>
      <c r="S53" s="360">
        <f>'SC-Retro'!M199</f>
        <v>1.465459263019182E-2</v>
      </c>
      <c r="T53" s="360">
        <f>'SC-Retro'!N199</f>
        <v>1.1974089794821525E-2</v>
      </c>
      <c r="U53" s="360">
        <f>'SC-Retro'!O199</f>
        <v>9.692922996031814E-3</v>
      </c>
      <c r="V53" s="360">
        <f>'SC-Retro'!P199</f>
        <v>7.8459311385733511E-3</v>
      </c>
      <c r="W53" s="360">
        <f>'SC-Retro'!Q199</f>
        <v>6.3461686172445715E-3</v>
      </c>
      <c r="X53" s="360">
        <f>'SC-Retro'!R199</f>
        <v>5.136280207304807E-3</v>
      </c>
      <c r="Y53" s="360">
        <f>'SC-Retro'!S199</f>
        <v>4.1896563877687016E-3</v>
      </c>
      <c r="Z53" s="360">
        <f>'SC-Retro'!T199</f>
        <v>3.3921273249544887E-3</v>
      </c>
      <c r="AA53" s="360">
        <f>'SC-Retro'!U199</f>
        <v>2.3428798377047202E-5</v>
      </c>
      <c r="AB53" s="360">
        <f>'SC-Retro'!V199</f>
        <v>8.4719913982890643E-6</v>
      </c>
      <c r="AC53" s="360">
        <f>'SC-Retro'!W199</f>
        <v>2.9221248534137974E-6</v>
      </c>
      <c r="AD53" s="360">
        <f>'SC-Retro'!X199</f>
        <v>9.7282560985575555E-7</v>
      </c>
      <c r="AE53" s="360">
        <f>'SC-Retro'!Y199</f>
        <v>0.33988263746725472</v>
      </c>
      <c r="AF53" s="818">
        <f t="shared" si="27"/>
        <v>0</v>
      </c>
      <c r="AG53" s="818">
        <f t="shared" si="28"/>
        <v>5.8321683860248737E-4</v>
      </c>
      <c r="AH53" s="818">
        <f t="shared" si="29"/>
        <v>3.2111420741192789E-2</v>
      </c>
      <c r="AI53" s="818">
        <f t="shared" si="30"/>
        <v>0.38679934570900443</v>
      </c>
      <c r="AJ53" s="818">
        <f t="shared" si="31"/>
        <v>1.5320936555064861</v>
      </c>
      <c r="AK53" s="818">
        <f t="shared" si="32"/>
        <v>2.0305297007071292</v>
      </c>
      <c r="AL53" s="818">
        <f t="shared" si="33"/>
        <v>1.9658036710579374</v>
      </c>
      <c r="AM53" s="818">
        <f t="shared" si="34"/>
        <v>1.993934133034424</v>
      </c>
      <c r="AN53" s="818">
        <f t="shared" si="35"/>
        <v>0.93737176611552331</v>
      </c>
      <c r="AO53" s="818">
        <f t="shared" si="36"/>
        <v>0.53901470135438734</v>
      </c>
      <c r="AP53" s="818">
        <f t="shared" si="37"/>
        <v>0.15234378650902422</v>
      </c>
      <c r="AQ53" s="818">
        <f t="shared" si="38"/>
        <v>1.0439259345789271E-3</v>
      </c>
      <c r="AR53" s="818"/>
      <c r="AS53" s="818">
        <f t="shared" si="39"/>
        <v>0</v>
      </c>
      <c r="AT53" s="818">
        <f t="shared" si="40"/>
        <v>3.9884929933849377E-4</v>
      </c>
      <c r="AU53" s="818">
        <f t="shared" si="41"/>
        <v>1.1840419193488971E-2</v>
      </c>
      <c r="AV53" s="818">
        <f t="shared" si="42"/>
        <v>0.25491811231620121</v>
      </c>
      <c r="AW53" s="818">
        <f t="shared" si="43"/>
        <v>0.99344921859932656</v>
      </c>
      <c r="AX53" s="818">
        <f t="shared" si="44"/>
        <v>1.4925922084945347</v>
      </c>
      <c r="AY53" s="818">
        <f t="shared" si="45"/>
        <v>1.6930364805128377</v>
      </c>
      <c r="AZ53" s="818">
        <f t="shared" si="46"/>
        <v>1.4500331586178246</v>
      </c>
      <c r="BA53" s="818">
        <f t="shared" si="47"/>
        <v>0.75027425062493336</v>
      </c>
      <c r="BB53" s="818">
        <f t="shared" si="48"/>
        <v>0.35408550726054339</v>
      </c>
      <c r="BC53" s="818">
        <f t="shared" si="49"/>
        <v>7.5168690247572806E-2</v>
      </c>
      <c r="BD53" s="818">
        <f t="shared" si="50"/>
        <v>7.7145768639639331E-4</v>
      </c>
    </row>
    <row r="54" spans="1:56" ht="15">
      <c r="A54" s="815" t="str">
        <f>VLOOKUP(CONCATENATE($C54," - ",$B54),[2]ACHIEV!$B$17:$C$50,2,FALSE)</f>
        <v>Retro12Med</v>
      </c>
      <c r="B54" s="815" t="str">
        <f>'SC-Retro'!$C$7</f>
        <v>Retro</v>
      </c>
      <c r="C54" s="815" t="str">
        <f>'SC-Retro'!$C$8</f>
        <v>Irrigation Hardware</v>
      </c>
      <c r="D54" s="815" t="s">
        <v>1772</v>
      </c>
      <c r="E54" s="815" t="str">
        <f>'SC-Retro'!$A$9</f>
        <v>Irrigation</v>
      </c>
      <c r="F54" s="816">
        <f t="shared" si="26"/>
        <v>1.1070327025793422E-5</v>
      </c>
      <c r="G54" s="817">
        <f>'SC-Retro'!A200</f>
        <v>4.1620494190903221</v>
      </c>
      <c r="H54" s="817">
        <f>'SC-Retro'!B200</f>
        <v>216.40006240395863</v>
      </c>
      <c r="I54" s="365" t="str">
        <f>'SC-Retro'!C200</f>
        <v xml:space="preserve">Center pivot/linear move systems: Replace leaking tower gasket with new tower gasket </v>
      </c>
      <c r="J54" s="365" t="str">
        <f>'SC-Retro'!D200</f>
        <v>Oregon</v>
      </c>
      <c r="K54" s="360">
        <f>'SC-Retro'!E200</f>
        <v>7.1973587526760431E-3</v>
      </c>
      <c r="L54" s="360">
        <f>'SC-Retro'!F200</f>
        <v>7.2701301147424331E-3</v>
      </c>
      <c r="M54" s="360">
        <f>'SC-Retro'!G200</f>
        <v>7.3432619348569265E-3</v>
      </c>
      <c r="N54" s="360">
        <f>'SC-Retro'!H200</f>
        <v>7.4253365898818745E-3</v>
      </c>
      <c r="O54" s="360">
        <f>'SC-Retro'!I200</f>
        <v>7.5723812923544492E-3</v>
      </c>
      <c r="P54" s="360">
        <f>'SC-Retro'!J200</f>
        <v>6.8974621062550803E-3</v>
      </c>
      <c r="Q54" s="360">
        <f>'SC-Retro'!K200</f>
        <v>5.5845987132819809E-3</v>
      </c>
      <c r="R54" s="360">
        <f>'SC-Retro'!L200</f>
        <v>4.5249680585476119E-3</v>
      </c>
      <c r="S54" s="360">
        <f>'SC-Retro'!M200</f>
        <v>3.663648157547955E-3</v>
      </c>
      <c r="T54" s="360">
        <f>'SC-Retro'!N200</f>
        <v>2.9935224487053812E-3</v>
      </c>
      <c r="U54" s="360">
        <f>'SC-Retro'!O200</f>
        <v>2.4232307490079535E-3</v>
      </c>
      <c r="V54" s="360">
        <f>'SC-Retro'!P200</f>
        <v>1.9614827846433378E-3</v>
      </c>
      <c r="W54" s="360">
        <f>'SC-Retro'!Q200</f>
        <v>1.5865421543111429E-3</v>
      </c>
      <c r="X54" s="360">
        <f>'SC-Retro'!R200</f>
        <v>1.2840700518262018E-3</v>
      </c>
      <c r="Y54" s="360">
        <f>'SC-Retro'!S200</f>
        <v>1.0474140969421754E-3</v>
      </c>
      <c r="Z54" s="360">
        <f>'SC-Retro'!T200</f>
        <v>8.4803183123862216E-4</v>
      </c>
      <c r="AA54" s="360">
        <f>'SC-Retro'!U200</f>
        <v>5.8571995942618005E-6</v>
      </c>
      <c r="AB54" s="360">
        <f>'SC-Retro'!V200</f>
        <v>2.1179978495722661E-6</v>
      </c>
      <c r="AC54" s="360">
        <f>'SC-Retro'!W200</f>
        <v>7.3053121335344935E-7</v>
      </c>
      <c r="AD54" s="360">
        <f>'SC-Retro'!X200</f>
        <v>2.4320640246393889E-7</v>
      </c>
      <c r="AE54" s="360">
        <f>'SC-Retro'!Y200</f>
        <v>8.4970659366813681E-2</v>
      </c>
      <c r="AF54" s="818">
        <f t="shared" si="27"/>
        <v>0</v>
      </c>
      <c r="AG54" s="818">
        <f t="shared" si="28"/>
        <v>1.4580420965062184E-4</v>
      </c>
      <c r="AH54" s="818">
        <f t="shared" si="29"/>
        <v>8.0278551852981973E-3</v>
      </c>
      <c r="AI54" s="818">
        <f t="shared" si="30"/>
        <v>9.6699836427251107E-2</v>
      </c>
      <c r="AJ54" s="818">
        <f t="shared" si="31"/>
        <v>0.38302341387662153</v>
      </c>
      <c r="AK54" s="818">
        <f t="shared" si="32"/>
        <v>0.50763242517678231</v>
      </c>
      <c r="AL54" s="818">
        <f t="shared" si="33"/>
        <v>0.49145091776448435</v>
      </c>
      <c r="AM54" s="818">
        <f t="shared" si="34"/>
        <v>0.498483533258606</v>
      </c>
      <c r="AN54" s="818">
        <f t="shared" si="35"/>
        <v>0.23434294152888083</v>
      </c>
      <c r="AO54" s="818">
        <f t="shared" si="36"/>
        <v>0.13475367533859683</v>
      </c>
      <c r="AP54" s="818">
        <f t="shared" si="37"/>
        <v>3.8085946627256055E-2</v>
      </c>
      <c r="AQ54" s="818">
        <f t="shared" si="38"/>
        <v>2.6098148364473177E-4</v>
      </c>
      <c r="AR54" s="818"/>
      <c r="AS54" s="818">
        <f t="shared" si="39"/>
        <v>0</v>
      </c>
      <c r="AT54" s="818">
        <f t="shared" si="40"/>
        <v>9.9712324834623443E-5</v>
      </c>
      <c r="AU54" s="818">
        <f t="shared" si="41"/>
        <v>2.9601047983722427E-3</v>
      </c>
      <c r="AV54" s="818">
        <f t="shared" si="42"/>
        <v>6.3729528079050302E-2</v>
      </c>
      <c r="AW54" s="818">
        <f t="shared" si="43"/>
        <v>0.24836230464983164</v>
      </c>
      <c r="AX54" s="818">
        <f t="shared" si="44"/>
        <v>0.37314805212363367</v>
      </c>
      <c r="AY54" s="818">
        <f t="shared" si="45"/>
        <v>0.42325912012820943</v>
      </c>
      <c r="AZ54" s="818">
        <f t="shared" si="46"/>
        <v>0.36250828965445614</v>
      </c>
      <c r="BA54" s="818">
        <f t="shared" si="47"/>
        <v>0.18756856265623334</v>
      </c>
      <c r="BB54" s="818">
        <f t="shared" si="48"/>
        <v>8.8521376815135847E-2</v>
      </c>
      <c r="BC54" s="818">
        <f t="shared" si="49"/>
        <v>1.8792172561893201E-2</v>
      </c>
      <c r="BD54" s="818">
        <f t="shared" si="50"/>
        <v>1.9286442159909833E-4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2"/>
  <dimension ref="A1:CB291"/>
  <sheetViews>
    <sheetView tabSelected="1" topLeftCell="C4" workbookViewId="0">
      <selection activeCell="E16" sqref="E16"/>
    </sheetView>
  </sheetViews>
  <sheetFormatPr defaultRowHeight="12.75"/>
  <cols>
    <col min="1" max="1" width="35" style="7" customWidth="1"/>
    <col min="2" max="2" width="30.140625" style="7" customWidth="1"/>
    <col min="3" max="3" width="91.7109375" style="7" customWidth="1"/>
    <col min="4" max="4" width="16.7109375" style="7" bestFit="1" customWidth="1"/>
    <col min="5" max="5" width="15.140625" style="7" bestFit="1" customWidth="1"/>
    <col min="6" max="7" width="12.5703125" style="7" bestFit="1" customWidth="1"/>
    <col min="8" max="27" width="9.140625" style="7"/>
    <col min="28" max="28" width="21.7109375" style="7" customWidth="1"/>
    <col min="29" max="29" width="35.85546875" style="7" customWidth="1"/>
    <col min="30" max="30" width="35.28515625" style="7" customWidth="1"/>
    <col min="31" max="31" width="15" style="7" customWidth="1"/>
    <col min="32" max="32" width="17.7109375" style="7" customWidth="1"/>
    <col min="33" max="33" width="15.140625" style="7" customWidth="1"/>
    <col min="34" max="34" width="15.7109375" style="7" customWidth="1"/>
    <col min="35" max="35" width="21.28515625" style="7" customWidth="1"/>
    <col min="36" max="36" width="17.7109375" style="7" bestFit="1" customWidth="1"/>
    <col min="37" max="37" width="15.42578125" style="7" bestFit="1" customWidth="1"/>
    <col min="38" max="38" width="14.28515625" style="7" bestFit="1" customWidth="1"/>
    <col min="39" max="39" width="14.28515625" style="7" customWidth="1"/>
    <col min="40" max="40" width="12.5703125" style="7" customWidth="1"/>
    <col min="41" max="41" width="14" style="7" bestFit="1" customWidth="1"/>
    <col min="42" max="43" width="10.85546875" style="7" bestFit="1" customWidth="1"/>
    <col min="44" max="44" width="13.42578125" style="7" customWidth="1"/>
    <col min="45" max="45" width="11.85546875" style="7" bestFit="1" customWidth="1"/>
    <col min="46" max="46" width="11" style="7" bestFit="1" customWidth="1"/>
    <col min="47" max="47" width="14.28515625" style="7" bestFit="1" customWidth="1"/>
    <col min="48" max="48" width="10.7109375" style="7" customWidth="1"/>
    <col min="49" max="49" width="13.85546875" style="7" bestFit="1" customWidth="1"/>
    <col min="50" max="50" width="11.7109375" style="7" bestFit="1" customWidth="1"/>
    <col min="51" max="51" width="15.28515625" style="7" bestFit="1" customWidth="1"/>
    <col min="52" max="54" width="12.28515625" style="7" bestFit="1" customWidth="1"/>
    <col min="55" max="55" width="12.5703125" style="7" bestFit="1" customWidth="1"/>
    <col min="56" max="58" width="14.28515625" style="7" bestFit="1" customWidth="1"/>
    <col min="59" max="59" width="13.7109375" style="7" bestFit="1" customWidth="1"/>
    <col min="60" max="60" width="14" style="7" bestFit="1" customWidth="1"/>
    <col min="61" max="61" width="12.85546875" style="7" bestFit="1" customWidth="1"/>
    <col min="62" max="62" width="15.28515625" style="7" bestFit="1" customWidth="1"/>
    <col min="63" max="63" width="12.28515625" style="7" bestFit="1" customWidth="1"/>
    <col min="64" max="64" width="10.85546875" style="7" bestFit="1" customWidth="1"/>
    <col min="65" max="65" width="12.28515625" style="7" bestFit="1" customWidth="1"/>
    <col min="66" max="66" width="12.5703125" style="7" bestFit="1" customWidth="1"/>
    <col min="67" max="16384" width="9.140625" style="7"/>
  </cols>
  <sheetData>
    <row r="1" spans="1:68">
      <c r="A1" s="38" t="s">
        <v>24</v>
      </c>
      <c r="B1" s="823" t="s">
        <v>1774</v>
      </c>
      <c r="C1" s="823"/>
      <c r="D1" s="823"/>
      <c r="E1" s="823"/>
      <c r="F1" s="823"/>
      <c r="G1" s="823"/>
      <c r="H1" s="823"/>
      <c r="I1" s="823"/>
      <c r="J1" s="823"/>
      <c r="K1" s="823"/>
      <c r="L1" s="823"/>
      <c r="M1" s="823"/>
      <c r="N1" s="823"/>
      <c r="O1" s="823"/>
      <c r="P1" s="823"/>
      <c r="Q1" s="823"/>
      <c r="R1" s="823"/>
      <c r="S1" s="823"/>
    </row>
    <row r="2" spans="1:68">
      <c r="A2" s="39" t="s">
        <v>1267</v>
      </c>
      <c r="B2" s="823"/>
      <c r="C2" s="823"/>
      <c r="D2" s="823"/>
      <c r="E2" s="823"/>
      <c r="F2" s="823"/>
      <c r="G2" s="823"/>
      <c r="H2" s="823"/>
      <c r="I2" s="823"/>
      <c r="J2" s="823"/>
      <c r="K2" s="823"/>
      <c r="L2" s="823"/>
      <c r="M2" s="823"/>
      <c r="N2" s="823"/>
      <c r="O2" s="823"/>
      <c r="P2" s="823"/>
      <c r="Q2" s="823"/>
      <c r="R2" s="823"/>
      <c r="S2" s="823"/>
    </row>
    <row r="3" spans="1:68">
      <c r="B3" s="823"/>
      <c r="C3" s="823"/>
      <c r="D3" s="823"/>
      <c r="E3" s="823"/>
      <c r="F3" s="823"/>
      <c r="G3" s="823"/>
      <c r="H3" s="823"/>
      <c r="I3" s="823"/>
      <c r="J3" s="823"/>
      <c r="K3" s="823"/>
      <c r="L3" s="823"/>
      <c r="M3" s="823"/>
      <c r="N3" s="823"/>
      <c r="O3" s="823"/>
      <c r="P3" s="823"/>
      <c r="Q3" s="823"/>
      <c r="R3" s="823"/>
      <c r="S3" s="823"/>
    </row>
    <row r="4" spans="1:68">
      <c r="B4" s="823"/>
      <c r="C4" s="823"/>
      <c r="D4" s="823"/>
      <c r="E4" s="823"/>
      <c r="F4" s="823"/>
      <c r="G4" s="823"/>
      <c r="H4" s="823"/>
      <c r="I4" s="823"/>
      <c r="J4" s="823"/>
      <c r="K4" s="823"/>
      <c r="L4" s="823"/>
      <c r="M4" s="823"/>
      <c r="N4" s="823"/>
      <c r="O4" s="823"/>
      <c r="P4" s="823"/>
      <c r="Q4" s="823"/>
      <c r="R4" s="823"/>
      <c r="S4" s="823"/>
    </row>
    <row r="5" spans="1:68">
      <c r="B5" s="823"/>
      <c r="C5" s="823"/>
      <c r="D5" s="823"/>
      <c r="E5" s="823"/>
      <c r="F5" s="823"/>
      <c r="G5" s="823"/>
      <c r="H5" s="823"/>
      <c r="I5" s="823"/>
      <c r="J5" s="823"/>
      <c r="K5" s="823"/>
      <c r="L5" s="823"/>
      <c r="M5" s="823"/>
      <c r="N5" s="823"/>
      <c r="O5" s="823"/>
      <c r="P5" s="823"/>
      <c r="Q5" s="823"/>
      <c r="R5" s="823"/>
      <c r="S5" s="823"/>
    </row>
    <row r="6" spans="1:68">
      <c r="B6" s="823"/>
      <c r="C6" s="823"/>
      <c r="D6" s="823"/>
      <c r="E6" s="823"/>
      <c r="F6" s="823"/>
      <c r="G6" s="823"/>
      <c r="H6" s="823"/>
      <c r="I6" s="823"/>
      <c r="J6" s="823"/>
      <c r="K6" s="823"/>
      <c r="L6" s="823"/>
      <c r="M6" s="823"/>
      <c r="N6" s="823"/>
      <c r="O6" s="823"/>
      <c r="P6" s="823"/>
      <c r="Q6" s="823"/>
      <c r="R6" s="823"/>
      <c r="S6" s="823"/>
    </row>
    <row r="7" spans="1:68">
      <c r="A7" s="820"/>
      <c r="B7" s="820" t="s">
        <v>23</v>
      </c>
      <c r="C7" s="47" t="s">
        <v>25</v>
      </c>
      <c r="D7" s="47" t="s">
        <v>1777</v>
      </c>
    </row>
    <row r="8" spans="1:68">
      <c r="A8" s="820" t="s">
        <v>1773</v>
      </c>
      <c r="B8" s="820" t="s">
        <v>26</v>
      </c>
      <c r="C8" s="47" t="s">
        <v>1646</v>
      </c>
      <c r="D8" s="47" t="s">
        <v>106</v>
      </c>
    </row>
    <row r="9" spans="1:68">
      <c r="A9" s="820" t="str">
        <f>INDEX([2]ACHIEV!$A$19:$B$100,MATCH(CONCATENATE($C$8," - ",$C$7),[2]ACHIEV!$B$19:$B$100,0),1)</f>
        <v>Irrigation</v>
      </c>
      <c r="B9" s="821" t="s">
        <v>27</v>
      </c>
      <c r="C9" s="47">
        <f>[2]FILES!$H$4</f>
        <v>2035</v>
      </c>
      <c r="D9" s="47" t="str">
        <f>[3]!switch_ForecastScenario</f>
        <v>Base</v>
      </c>
    </row>
    <row r="10" spans="1:68">
      <c r="A10" s="820"/>
      <c r="B10" s="820" t="s">
        <v>1776</v>
      </c>
      <c r="C10" s="822">
        <f>MIN(SUM(E202:X202),Y202)</f>
        <v>53.088950817341505</v>
      </c>
      <c r="D10" s="48"/>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row>
    <row r="11" spans="1:68" ht="15">
      <c r="A11" s="49" t="str">
        <f>CONCATENATE("# OF EXISTING HOMES FOR MEASURE -",$C$8)</f>
        <v># OF EXISTING HOMES FOR MEASURE -Irrigation Hardware</v>
      </c>
      <c r="C11" s="7" t="s">
        <v>1269</v>
      </c>
      <c r="E11" s="51">
        <v>2016</v>
      </c>
      <c r="F11" s="52">
        <v>2017</v>
      </c>
      <c r="G11" s="52">
        <v>2018</v>
      </c>
      <c r="H11" s="52">
        <v>2019</v>
      </c>
      <c r="I11" s="52">
        <v>2020</v>
      </c>
      <c r="J11" s="52">
        <v>2021</v>
      </c>
      <c r="K11" s="52">
        <v>2022</v>
      </c>
      <c r="L11" s="52">
        <v>2023</v>
      </c>
      <c r="M11" s="52">
        <v>2024</v>
      </c>
      <c r="N11" s="52">
        <v>2025</v>
      </c>
      <c r="O11" s="52">
        <v>2026</v>
      </c>
      <c r="P11" s="52">
        <v>2027</v>
      </c>
      <c r="Q11" s="52">
        <v>2028</v>
      </c>
      <c r="R11" s="52">
        <v>2029</v>
      </c>
      <c r="S11" s="52">
        <v>2030</v>
      </c>
      <c r="T11" s="52">
        <v>2031</v>
      </c>
      <c r="U11" s="52">
        <v>2032</v>
      </c>
      <c r="V11" s="52">
        <v>2033</v>
      </c>
      <c r="W11" s="52">
        <v>2034</v>
      </c>
      <c r="X11" s="52">
        <v>2035</v>
      </c>
      <c r="Y11" s="53"/>
      <c r="AA11" s="40"/>
      <c r="AJ11"/>
      <c r="AK11"/>
      <c r="AL11"/>
      <c r="AM11"/>
      <c r="AN11"/>
      <c r="AO11"/>
      <c r="AP11"/>
      <c r="AQ11"/>
      <c r="AR11"/>
      <c r="AS11"/>
      <c r="AT11"/>
      <c r="AU11"/>
      <c r="AV11"/>
      <c r="AW11"/>
      <c r="AX11"/>
      <c r="AY11"/>
      <c r="AZ11"/>
      <c r="BA11"/>
      <c r="BB11"/>
      <c r="BC11"/>
      <c r="BD11"/>
      <c r="BE11"/>
      <c r="BF11"/>
      <c r="BG11"/>
      <c r="BH11"/>
      <c r="BI11"/>
      <c r="BJ11"/>
      <c r="BK11"/>
      <c r="BL11"/>
      <c r="BM11"/>
      <c r="BN11"/>
      <c r="BO11"/>
      <c r="BP11"/>
    </row>
    <row r="12" spans="1:68" ht="15">
      <c r="E12" s="54" t="str">
        <f>CONCATENATE("ACRES_",E11)</f>
        <v>ACRES_2016</v>
      </c>
      <c r="F12" s="54" t="str">
        <f t="shared" ref="F12:X12" si="0">CONCATENATE("ACRES_",F11)</f>
        <v>ACRES_2017</v>
      </c>
      <c r="G12" s="54" t="str">
        <f t="shared" si="0"/>
        <v>ACRES_2018</v>
      </c>
      <c r="H12" s="54" t="str">
        <f t="shared" si="0"/>
        <v>ACRES_2019</v>
      </c>
      <c r="I12" s="54" t="str">
        <f t="shared" si="0"/>
        <v>ACRES_2020</v>
      </c>
      <c r="J12" s="54" t="str">
        <f t="shared" si="0"/>
        <v>ACRES_2021</v>
      </c>
      <c r="K12" s="54" t="str">
        <f t="shared" si="0"/>
        <v>ACRES_2022</v>
      </c>
      <c r="L12" s="54" t="str">
        <f t="shared" si="0"/>
        <v>ACRES_2023</v>
      </c>
      <c r="M12" s="54" t="str">
        <f t="shared" si="0"/>
        <v>ACRES_2024</v>
      </c>
      <c r="N12" s="54" t="str">
        <f t="shared" si="0"/>
        <v>ACRES_2025</v>
      </c>
      <c r="O12" s="54" t="str">
        <f t="shared" si="0"/>
        <v>ACRES_2026</v>
      </c>
      <c r="P12" s="54" t="str">
        <f t="shared" si="0"/>
        <v>ACRES_2027</v>
      </c>
      <c r="Q12" s="54" t="str">
        <f t="shared" si="0"/>
        <v>ACRES_2028</v>
      </c>
      <c r="R12" s="54" t="str">
        <f t="shared" si="0"/>
        <v>ACRES_2029</v>
      </c>
      <c r="S12" s="54" t="str">
        <f t="shared" si="0"/>
        <v>ACRES_2030</v>
      </c>
      <c r="T12" s="54" t="str">
        <f t="shared" si="0"/>
        <v>ACRES_2031</v>
      </c>
      <c r="U12" s="54" t="str">
        <f t="shared" si="0"/>
        <v>ACRES_2032</v>
      </c>
      <c r="V12" s="54" t="str">
        <f t="shared" si="0"/>
        <v>ACRES_2033</v>
      </c>
      <c r="W12" s="54" t="str">
        <f t="shared" si="0"/>
        <v>ACRES_2034</v>
      </c>
      <c r="X12" s="54" t="str">
        <f t="shared" si="0"/>
        <v>ACRES_2035</v>
      </c>
      <c r="Y12" s="56"/>
      <c r="AA12" s="38"/>
    </row>
    <row r="13" spans="1:68">
      <c r="B13" s="7" t="str">
        <f>C13&amp;D13</f>
        <v>Wheel/hand lineIdaho</v>
      </c>
      <c r="C13" s="7" t="s">
        <v>1271</v>
      </c>
      <c r="D13" s="7" t="s">
        <v>431</v>
      </c>
      <c r="E13" s="32">
        <f>INDEX([2]SATS!$C$11:$F$21,MATCH($C13,[2]SATS!$B$11:$B$22,0),MATCH($D13,[2]SATS!$C$10:$F$10,0))</f>
        <v>589417</v>
      </c>
      <c r="F13" s="32">
        <f>E13*(1+INDEX([3]!tbl_Forecast,MATCH($D$8&amp;$D13&amp;$D$7,[3]!rng_ForecastRowLookup,0),MATCH(F$11,[3]!rng_ForecastColumnLookup,0)))</f>
        <v>589490.70129234286</v>
      </c>
      <c r="G13" s="32">
        <f>F13*(1+INDEX([3]!tbl_Forecast,MATCH($D$8&amp;$D13&amp;$D$7,[3]!rng_ForecastRowLookup,0),MATCH(G$11,[3]!rng_ForecastColumnLookup,0)))</f>
        <v>589593.13048635039</v>
      </c>
      <c r="H13" s="32">
        <f>G13*(1+INDEX([3]!tbl_Forecast,MATCH($D$8&amp;$D13&amp;$D$7,[3]!rng_ForecastRowLookup,0),MATCH(H$11,[3]!rng_ForecastColumnLookup,0)))</f>
        <v>589954.0259116434</v>
      </c>
      <c r="I13" s="32">
        <f>H13*(1+INDEX([3]!tbl_Forecast,MATCH($D$8&amp;$D13&amp;$D$7,[3]!rng_ForecastRowLookup,0),MATCH(I$11,[3]!rng_ForecastColumnLookup,0)))</f>
        <v>590473.9375718371</v>
      </c>
      <c r="J13" s="32">
        <f>I13*(1+INDEX([3]!tbl_Forecast,MATCH($D$8&amp;$D13&amp;$D$7,[3]!rng_ForecastRowLookup,0),MATCH(J$11,[3]!rng_ForecastColumnLookup,0)))</f>
        <v>591135.38483365346</v>
      </c>
      <c r="K13" s="32">
        <f>J13*(1+INDEX([3]!tbl_Forecast,MATCH($D$8&amp;$D13&amp;$D$7,[3]!rng_ForecastRowLookup,0),MATCH(K$11,[3]!rng_ForecastColumnLookup,0)))</f>
        <v>591887.18297531363</v>
      </c>
      <c r="L13" s="32">
        <f>K13*(1+INDEX([3]!tbl_Forecast,MATCH($D$8&amp;$D13&amp;$D$7,[3]!rng_ForecastRowLookup,0),MATCH(L$11,[3]!rng_ForecastColumnLookup,0)))</f>
        <v>592739.77530292678</v>
      </c>
      <c r="M13" s="32">
        <f>L13*(1+INDEX([3]!tbl_Forecast,MATCH($D$8&amp;$D13&amp;$D$7,[3]!rng_ForecastRowLookup,0),MATCH(M$11,[3]!rng_ForecastColumnLookup,0)))</f>
        <v>593680.71391757182</v>
      </c>
      <c r="N13" s="32">
        <f>M13*(1+INDEX([3]!tbl_Forecast,MATCH($D$8&amp;$D13&amp;$D$7,[3]!rng_ForecastRowLookup,0),MATCH(N$11,[3]!rng_ForecastColumnLookup,0)))</f>
        <v>594702.12000314554</v>
      </c>
      <c r="O13" s="32">
        <f>N13*(1+INDEX([3]!tbl_Forecast,MATCH($D$8&amp;$D13&amp;$D$7,[3]!rng_ForecastRowLookup,0),MATCH(O$11,[3]!rng_ForecastColumnLookup,0)))</f>
        <v>595789.77368635533</v>
      </c>
      <c r="P13" s="32">
        <f>O13*(1+INDEX([3]!tbl_Forecast,MATCH($D$8&amp;$D13&amp;$D$7,[3]!rng_ForecastRowLookup,0),MATCH(P$11,[3]!rng_ForecastColumnLookup,0)))</f>
        <v>596944.26768818626</v>
      </c>
      <c r="Q13" s="32">
        <f>P13*(1+INDEX([3]!tbl_Forecast,MATCH($D$8&amp;$D13&amp;$D$7,[3]!rng_ForecastRowLookup,0),MATCH(Q$11,[3]!rng_ForecastColumnLookup,0)))</f>
        <v>598157.02676834574</v>
      </c>
      <c r="R13" s="32">
        <f>Q13*(1+INDEX([3]!tbl_Forecast,MATCH($D$8&amp;$D13&amp;$D$7,[3]!rng_ForecastRowLookup,0),MATCH(R$11,[3]!rng_ForecastColumnLookup,0)))</f>
        <v>599429.95247851452</v>
      </c>
      <c r="S13" s="32">
        <f>R13*(1+INDEX([3]!tbl_Forecast,MATCH($D$8&amp;$D13&amp;$D$7,[3]!rng_ForecastRowLookup,0),MATCH(S$11,[3]!rng_ForecastColumnLookup,0)))</f>
        <v>600756.28552422335</v>
      </c>
      <c r="T13" s="32">
        <f>S13*(1+INDEX([3]!tbl_Forecast,MATCH($D$8&amp;$D13&amp;$D$7,[3]!rng_ForecastRowLookup,0),MATCH(T$11,[3]!rng_ForecastColumnLookup,0)))</f>
        <v>602112.68660771369</v>
      </c>
      <c r="U13" s="32">
        <f>T13*(1+INDEX([3]!tbl_Forecast,MATCH($D$8&amp;$D13&amp;$D$7,[3]!rng_ForecastRowLookup,0),MATCH(U$11,[3]!rng_ForecastColumnLookup,0)))</f>
        <v>603525.51634028915</v>
      </c>
      <c r="V13" s="32">
        <f>U13*(1+INDEX([3]!tbl_Forecast,MATCH($D$8&amp;$D13&amp;$D$7,[3]!rng_ForecastRowLookup,0),MATCH(V$11,[3]!rng_ForecastColumnLookup,0)))</f>
        <v>604982.70878860587</v>
      </c>
      <c r="W13" s="32">
        <f>V13*(1+INDEX([3]!tbl_Forecast,MATCH($D$8&amp;$D13&amp;$D$7,[3]!rng_ForecastRowLookup,0),MATCH(W$11,[3]!rng_ForecastColumnLookup,0)))</f>
        <v>606485.98881449248</v>
      </c>
      <c r="X13" s="32">
        <f>W13*(1+INDEX([3]!tbl_Forecast,MATCH($D$8&amp;$D13&amp;$D$7,[3]!rng_ForecastRowLookup,0),MATCH(X$11,[3]!rng_ForecastColumnLookup,0)))</f>
        <v>608023.07393980422</v>
      </c>
      <c r="Y13" s="32"/>
      <c r="AA13" s="41"/>
    </row>
    <row r="14" spans="1:68">
      <c r="B14" s="7" t="str">
        <f t="shared" ref="B14:B24" si="1">C14&amp;D14</f>
        <v>Wheel lineIdaho</v>
      </c>
      <c r="C14" s="7" t="s">
        <v>1273</v>
      </c>
      <c r="D14" s="7" t="s">
        <v>431</v>
      </c>
      <c r="E14" s="32">
        <f>INDEX([2]SATS!$C$11:$F$21,MATCH($C14,[2]SATS!$B$11:$B$22,0),MATCH($D14,[2]SATS!$C$10:$F$10,0))</f>
        <v>124792</v>
      </c>
      <c r="F14" s="32">
        <f>E14*(1+INDEX([3]!tbl_Forecast,MATCH($D$8&amp;$D14&amp;$D$7,[3]!rng_ForecastRowLookup,0),MATCH(F$11,[3]!rng_ForecastColumnLookup,0)))</f>
        <v>124807.60411673576</v>
      </c>
      <c r="G14" s="32">
        <f>F14*(1+INDEX([3]!tbl_Forecast,MATCH($D$8&amp;$D14&amp;$D$7,[3]!rng_ForecastRowLookup,0),MATCH(G$11,[3]!rng_ForecastColumnLookup,0)))</f>
        <v>124829.2905356524</v>
      </c>
      <c r="H14" s="32">
        <f>G14*(1+INDEX([3]!tbl_Forecast,MATCH($D$8&amp;$D14&amp;$D$7,[3]!rng_ForecastRowLookup,0),MATCH(H$11,[3]!rng_ForecastColumnLookup,0)))</f>
        <v>124905.69970252944</v>
      </c>
      <c r="I14" s="32">
        <f>H14*(1+INDEX([3]!tbl_Forecast,MATCH($D$8&amp;$D14&amp;$D$7,[3]!rng_ForecastRowLookup,0),MATCH(I$11,[3]!rng_ForecastColumnLookup,0)))</f>
        <v>125015.77595736922</v>
      </c>
      <c r="J14" s="32">
        <f>I14*(1+INDEX([3]!tbl_Forecast,MATCH($D$8&amp;$D14&amp;$D$7,[3]!rng_ForecastRowLookup,0),MATCH(J$11,[3]!rng_ForecastColumnLookup,0)))</f>
        <v>125155.818281728</v>
      </c>
      <c r="K14" s="32">
        <f>J14*(1+INDEX([3]!tbl_Forecast,MATCH($D$8&amp;$D14&amp;$D$7,[3]!rng_ForecastRowLookup,0),MATCH(K$11,[3]!rng_ForecastColumnLookup,0)))</f>
        <v>125314.9897913622</v>
      </c>
      <c r="L14" s="32">
        <f>K14*(1+INDEX([3]!tbl_Forecast,MATCH($D$8&amp;$D14&amp;$D$7,[3]!rng_ForecastRowLookup,0),MATCH(L$11,[3]!rng_ForecastColumnLookup,0)))</f>
        <v>125495.50155425246</v>
      </c>
      <c r="M14" s="32">
        <f>L14*(1+INDEX([3]!tbl_Forecast,MATCH($D$8&amp;$D14&amp;$D$7,[3]!rng_ForecastRowLookup,0),MATCH(M$11,[3]!rng_ForecastColumnLookup,0)))</f>
        <v>125694.718087876</v>
      </c>
      <c r="N14" s="32">
        <f>M14*(1+INDEX([3]!tbl_Forecast,MATCH($D$8&amp;$D14&amp;$D$7,[3]!rng_ForecastRowLookup,0),MATCH(N$11,[3]!rng_ForecastColumnLookup,0)))</f>
        <v>125910.97128082924</v>
      </c>
      <c r="O14" s="32">
        <f>N14*(1+INDEX([3]!tbl_Forecast,MATCH($D$8&amp;$D14&amp;$D$7,[3]!rng_ForecastRowLookup,0),MATCH(O$11,[3]!rng_ForecastColumnLookup,0)))</f>
        <v>126141.25048627313</v>
      </c>
      <c r="P14" s="32">
        <f>O14*(1+INDEX([3]!tbl_Forecast,MATCH($D$8&amp;$D14&amp;$D$7,[3]!rng_ForecastRowLookup,0),MATCH(P$11,[3]!rng_ForecastColumnLookup,0)))</f>
        <v>126385.68119573091</v>
      </c>
      <c r="Q14" s="32">
        <f>P14*(1+INDEX([3]!tbl_Forecast,MATCH($D$8&amp;$D14&amp;$D$7,[3]!rng_ForecastRowLookup,0),MATCH(Q$11,[3]!rng_ForecastColumnLookup,0)))</f>
        <v>126642.44785012204</v>
      </c>
      <c r="R14" s="32">
        <f>Q14*(1+INDEX([3]!tbl_Forecast,MATCH($D$8&amp;$D14&amp;$D$7,[3]!rng_ForecastRowLookup,0),MATCH(R$11,[3]!rng_ForecastColumnLookup,0)))</f>
        <v>126911.95304800976</v>
      </c>
      <c r="S14" s="32">
        <f>R14*(1+INDEX([3]!tbl_Forecast,MATCH($D$8&amp;$D14&amp;$D$7,[3]!rng_ForecastRowLookup,0),MATCH(S$11,[3]!rng_ForecastColumnLookup,0)))</f>
        <v>127192.76570431268</v>
      </c>
      <c r="T14" s="32">
        <f>S14*(1+INDEX([3]!tbl_Forecast,MATCH($D$8&amp;$D14&amp;$D$7,[3]!rng_ForecastRowLookup,0),MATCH(T$11,[3]!rng_ForecastColumnLookup,0)))</f>
        <v>127479.94439785379</v>
      </c>
      <c r="U14" s="32">
        <f>T14*(1+INDEX([3]!tbl_Forecast,MATCH($D$8&amp;$D14&amp;$D$7,[3]!rng_ForecastRowLookup,0),MATCH(U$11,[3]!rng_ForecastColumnLookup,0)))</f>
        <v>127779.07022555736</v>
      </c>
      <c r="V14" s="32">
        <f>U14*(1+INDEX([3]!tbl_Forecast,MATCH($D$8&amp;$D14&amp;$D$7,[3]!rng_ForecastRowLookup,0),MATCH(V$11,[3]!rng_ForecastColumnLookup,0)))</f>
        <v>128087.5885750626</v>
      </c>
      <c r="W14" s="32">
        <f>V14*(1+INDEX([3]!tbl_Forecast,MATCH($D$8&amp;$D14&amp;$D$7,[3]!rng_ForecastRowLookup,0),MATCH(W$11,[3]!rng_ForecastColumnLookup,0)))</f>
        <v>128405.86463596759</v>
      </c>
      <c r="X14" s="32">
        <f>W14*(1+INDEX([3]!tbl_Forecast,MATCH($D$8&amp;$D14&amp;$D$7,[3]!rng_ForecastRowLookup,0),MATCH(X$11,[3]!rng_ForecastColumnLookup,0)))</f>
        <v>128731.29794881385</v>
      </c>
      <c r="Y14" s="32"/>
      <c r="AA14" s="41"/>
    </row>
    <row r="15" spans="1:68">
      <c r="B15" s="7" t="str">
        <f t="shared" si="1"/>
        <v>CenterPivotIdaho</v>
      </c>
      <c r="C15" s="7" t="s">
        <v>1272</v>
      </c>
      <c r="D15" s="7" t="s">
        <v>431</v>
      </c>
      <c r="E15" s="32">
        <f>INDEX([2]SATS!$C$11:$F$21,MATCH($C15,[2]SATS!$B$11:$B$22,0),MATCH($D15,[2]SATS!$C$10:$F$10,0))</f>
        <v>2229589</v>
      </c>
      <c r="F15" s="32">
        <f>E15*(1+INDEX([3]!tbl_Forecast,MATCH($D$8&amp;$D15&amp;$D$7,[3]!rng_ForecastRowLookup,0),MATCH(F$11,[3]!rng_ForecastColumnLookup,0)))</f>
        <v>2229867.7900428614</v>
      </c>
      <c r="G15" s="32">
        <f>F15*(1+INDEX([3]!tbl_Forecast,MATCH($D$8&amp;$D15&amp;$D$7,[3]!rng_ForecastRowLookup,0),MATCH(G$11,[3]!rng_ForecastColumnLookup,0)))</f>
        <v>2230255.2491833987</v>
      </c>
      <c r="H15" s="32">
        <f>G15*(1+INDEX([3]!tbl_Forecast,MATCH($D$8&amp;$D15&amp;$D$7,[3]!rng_ForecastRowLookup,0),MATCH(H$11,[3]!rng_ForecastColumnLookup,0)))</f>
        <v>2231620.4091132674</v>
      </c>
      <c r="I15" s="32">
        <f>H15*(1+INDEX([3]!tbl_Forecast,MATCH($D$8&amp;$D15&amp;$D$7,[3]!rng_ForecastRowLookup,0),MATCH(I$11,[3]!rng_ForecastColumnLookup,0)))</f>
        <v>2233587.0801094207</v>
      </c>
      <c r="J15" s="32">
        <f>I15*(1+INDEX([3]!tbl_Forecast,MATCH($D$8&amp;$D15&amp;$D$7,[3]!rng_ForecastRowLookup,0),MATCH(J$11,[3]!rng_ForecastColumnLookup,0)))</f>
        <v>2236089.1381413843</v>
      </c>
      <c r="K15" s="32">
        <f>J15*(1+INDEX([3]!tbl_Forecast,MATCH($D$8&amp;$D15&amp;$D$7,[3]!rng_ForecastRowLookup,0),MATCH(K$11,[3]!rng_ForecastColumnLookup,0)))</f>
        <v>2238932.9666479696</v>
      </c>
      <c r="L15" s="32">
        <f>K15*(1+INDEX([3]!tbl_Forecast,MATCH($D$8&amp;$D15&amp;$D$7,[3]!rng_ForecastRowLookup,0),MATCH(L$11,[3]!rng_ForecastColumnLookup,0)))</f>
        <v>2242158.0695464788</v>
      </c>
      <c r="M15" s="32">
        <f>L15*(1+INDEX([3]!tbl_Forecast,MATCH($D$8&amp;$D15&amp;$D$7,[3]!rng_ForecastRowLookup,0),MATCH(M$11,[3]!rng_ForecastColumnLookup,0)))</f>
        <v>2245717.3601419111</v>
      </c>
      <c r="N15" s="32">
        <f>M15*(1+INDEX([3]!tbl_Forecast,MATCH($D$8&amp;$D15&amp;$D$7,[3]!rng_ForecastRowLookup,0),MATCH(N$11,[3]!rng_ForecastColumnLookup,0)))</f>
        <v>2249581.0352190267</v>
      </c>
      <c r="O15" s="32">
        <f>N15*(1+INDEX([3]!tbl_Forecast,MATCH($D$8&amp;$D15&amp;$D$7,[3]!rng_ForecastRowLookup,0),MATCH(O$11,[3]!rng_ForecastColumnLookup,0)))</f>
        <v>2253695.3052314189</v>
      </c>
      <c r="P15" s="32">
        <f>O15*(1+INDEX([3]!tbl_Forecast,MATCH($D$8&amp;$D15&amp;$D$7,[3]!rng_ForecastRowLookup,0),MATCH(P$11,[3]!rng_ForecastColumnLookup,0)))</f>
        <v>2258062.4122660789</v>
      </c>
      <c r="Q15" s="32">
        <f>P15*(1+INDEX([3]!tbl_Forecast,MATCH($D$8&amp;$D15&amp;$D$7,[3]!rng_ForecastRowLookup,0),MATCH(Q$11,[3]!rng_ForecastColumnLookup,0)))</f>
        <v>2262649.9187424337</v>
      </c>
      <c r="R15" s="32">
        <f>Q15*(1+INDEX([3]!tbl_Forecast,MATCH($D$8&amp;$D15&amp;$D$7,[3]!rng_ForecastRowLookup,0),MATCH(R$11,[3]!rng_ForecastColumnLookup,0)))</f>
        <v>2267465.0176642658</v>
      </c>
      <c r="S15" s="32">
        <f>R15*(1+INDEX([3]!tbl_Forecast,MATCH($D$8&amp;$D15&amp;$D$7,[3]!rng_ForecastRowLookup,0),MATCH(S$11,[3]!rng_ForecastColumnLookup,0)))</f>
        <v>2272482.1406333167</v>
      </c>
      <c r="T15" s="32">
        <f>S15*(1+INDEX([3]!tbl_Forecast,MATCH($D$8&amp;$D15&amp;$D$7,[3]!rng_ForecastRowLookup,0),MATCH(T$11,[3]!rng_ForecastColumnLookup,0)))</f>
        <v>2277613.0020359196</v>
      </c>
      <c r="U15" s="32">
        <f>T15*(1+INDEX([3]!tbl_Forecast,MATCH($D$8&amp;$D15&amp;$D$7,[3]!rng_ForecastRowLookup,0),MATCH(U$11,[3]!rng_ForecastColumnLookup,0)))</f>
        <v>2282957.3162152241</v>
      </c>
      <c r="V15" s="32">
        <f>U15*(1+INDEX([3]!tbl_Forecast,MATCH($D$8&amp;$D15&amp;$D$7,[3]!rng_ForecastRowLookup,0),MATCH(V$11,[3]!rng_ForecastColumnLookup,0)))</f>
        <v>2288469.441338269</v>
      </c>
      <c r="W15" s="32">
        <f>V15*(1+INDEX([3]!tbl_Forecast,MATCH($D$8&amp;$D15&amp;$D$7,[3]!rng_ForecastRowLookup,0),MATCH(W$11,[3]!rng_ForecastColumnLookup,0)))</f>
        <v>2294155.9020437398</v>
      </c>
      <c r="X15" s="32">
        <f>W15*(1+INDEX([3]!tbl_Forecast,MATCH($D$8&amp;$D15&amp;$D$7,[3]!rng_ForecastRowLookup,0),MATCH(X$11,[3]!rng_ForecastColumnLookup,0)))</f>
        <v>2299970.2373741744</v>
      </c>
      <c r="Y15" s="32"/>
      <c r="AA15" s="41"/>
    </row>
    <row r="16" spans="1:68">
      <c r="B16" s="7" t="str">
        <f t="shared" si="1"/>
        <v>Wheel/hand lineMontana</v>
      </c>
      <c r="C16" s="7" t="s">
        <v>1271</v>
      </c>
      <c r="D16" s="7" t="s">
        <v>149</v>
      </c>
      <c r="E16" s="32">
        <f>INDEX([2]SATS!$C$11:$F$21,MATCH($C16,[2]SATS!$B$11:$B$22,0),MATCH($D16,[2]SATS!$C$10:$F$10,0))</f>
        <v>33761.024858396049</v>
      </c>
      <c r="F16" s="32">
        <f>E16*(1+INDEX([3]!tbl_Forecast,MATCH($D$8&amp;$D16&amp;$D$7,[3]!rng_ForecastRowLookup,0),MATCH(F$11,[3]!rng_ForecastColumnLookup,0)))</f>
        <v>34127.272636350848</v>
      </c>
      <c r="G16" s="32">
        <f>F16*(1+INDEX([3]!tbl_Forecast,MATCH($D$8&amp;$D16&amp;$D$7,[3]!rng_ForecastRowLookup,0),MATCH(G$11,[3]!rng_ForecastColumnLookup,0)))</f>
        <v>34488.771797007546</v>
      </c>
      <c r="H16" s="32">
        <f>G16*(1+INDEX([3]!tbl_Forecast,MATCH($D$8&amp;$D16&amp;$D$7,[3]!rng_ForecastRowLookup,0),MATCH(H$11,[3]!rng_ForecastColumnLookup,0)))</f>
        <v>34859.605834941547</v>
      </c>
      <c r="I16" s="32">
        <f>H16*(1+INDEX([3]!tbl_Forecast,MATCH($D$8&amp;$D16&amp;$D$7,[3]!rng_ForecastRowLookup,0),MATCH(I$11,[3]!rng_ForecastColumnLookup,0)))</f>
        <v>35234.642845723407</v>
      </c>
      <c r="J16" s="32">
        <f>I16*(1+INDEX([3]!tbl_Forecast,MATCH($D$8&amp;$D16&amp;$D$7,[3]!rng_ForecastRowLookup,0),MATCH(J$11,[3]!rng_ForecastColumnLookup,0)))</f>
        <v>35504.425331130806</v>
      </c>
      <c r="K16" s="32">
        <f>J16*(1+INDEX([3]!tbl_Forecast,MATCH($D$8&amp;$D16&amp;$D$7,[3]!rng_ForecastRowLookup,0),MATCH(K$11,[3]!rng_ForecastColumnLookup,0)))</f>
        <v>35776.148043032597</v>
      </c>
      <c r="L16" s="32">
        <f>K16*(1+INDEX([3]!tbl_Forecast,MATCH($D$8&amp;$D16&amp;$D$7,[3]!rng_ForecastRowLookup,0),MATCH(L$11,[3]!rng_ForecastColumnLookup,0)))</f>
        <v>36059.622784354724</v>
      </c>
      <c r="M16" s="32">
        <f>L16*(1+INDEX([3]!tbl_Forecast,MATCH($D$8&amp;$D16&amp;$D$7,[3]!rng_ForecastRowLookup,0),MATCH(M$11,[3]!rng_ForecastColumnLookup,0)))</f>
        <v>36353.361059747745</v>
      </c>
      <c r="N16" s="32">
        <f>M16*(1+INDEX([3]!tbl_Forecast,MATCH($D$8&amp;$D16&amp;$D$7,[3]!rng_ForecastRowLookup,0),MATCH(N$11,[3]!rng_ForecastColumnLookup,0)))</f>
        <v>36656.231250441881</v>
      </c>
      <c r="O16" s="32">
        <f>N16*(1+INDEX([3]!tbl_Forecast,MATCH($D$8&amp;$D16&amp;$D$7,[3]!rng_ForecastRowLookup,0),MATCH(O$11,[3]!rng_ForecastColumnLookup,0)))</f>
        <v>36966.759325305655</v>
      </c>
      <c r="P16" s="32">
        <f>O16*(1+INDEX([3]!tbl_Forecast,MATCH($D$8&amp;$D16&amp;$D$7,[3]!rng_ForecastRowLookup,0),MATCH(P$11,[3]!rng_ForecastColumnLookup,0)))</f>
        <v>37284.447459093622</v>
      </c>
      <c r="Q16" s="32">
        <f>P16*(1+INDEX([3]!tbl_Forecast,MATCH($D$8&amp;$D16&amp;$D$7,[3]!rng_ForecastRowLookup,0),MATCH(Q$11,[3]!rng_ForecastColumnLookup,0)))</f>
        <v>37608.322662628438</v>
      </c>
      <c r="R16" s="32">
        <f>Q16*(1+INDEX([3]!tbl_Forecast,MATCH($D$8&amp;$D16&amp;$D$7,[3]!rng_ForecastRowLookup,0),MATCH(R$11,[3]!rng_ForecastColumnLookup,0)))</f>
        <v>37938.07544696219</v>
      </c>
      <c r="S16" s="32">
        <f>R16*(1+INDEX([3]!tbl_Forecast,MATCH($D$8&amp;$D16&amp;$D$7,[3]!rng_ForecastRowLookup,0),MATCH(S$11,[3]!rng_ForecastColumnLookup,0)))</f>
        <v>38272.961925222269</v>
      </c>
      <c r="T16" s="32">
        <f>S16*(1+INDEX([3]!tbl_Forecast,MATCH($D$8&amp;$D16&amp;$D$7,[3]!rng_ForecastRowLookup,0),MATCH(T$11,[3]!rng_ForecastColumnLookup,0)))</f>
        <v>38611.124848222978</v>
      </c>
      <c r="U16" s="32">
        <f>T16*(1+INDEX([3]!tbl_Forecast,MATCH($D$8&amp;$D16&amp;$D$7,[3]!rng_ForecastRowLookup,0),MATCH(U$11,[3]!rng_ForecastColumnLookup,0)))</f>
        <v>38954.038070323251</v>
      </c>
      <c r="V16" s="32">
        <f>U16*(1+INDEX([3]!tbl_Forecast,MATCH($D$8&amp;$D16&amp;$D$7,[3]!rng_ForecastRowLookup,0),MATCH(V$11,[3]!rng_ForecastColumnLookup,0)))</f>
        <v>39300.647421046335</v>
      </c>
      <c r="W16" s="32">
        <f>V16*(1+INDEX([3]!tbl_Forecast,MATCH($D$8&amp;$D16&amp;$D$7,[3]!rng_ForecastRowLookup,0),MATCH(W$11,[3]!rng_ForecastColumnLookup,0)))</f>
        <v>39650.890027332542</v>
      </c>
      <c r="X16" s="32">
        <f>W16*(1+INDEX([3]!tbl_Forecast,MATCH($D$8&amp;$D16&amp;$D$7,[3]!rng_ForecastRowLookup,0),MATCH(X$11,[3]!rng_ForecastColumnLookup,0)))</f>
        <v>40003.843443602353</v>
      </c>
      <c r="Y16" s="32"/>
      <c r="AA16" s="41"/>
    </row>
    <row r="17" spans="1:27">
      <c r="B17" s="7" t="str">
        <f t="shared" si="1"/>
        <v>Wheel lineMontana</v>
      </c>
      <c r="C17" s="7" t="s">
        <v>1273</v>
      </c>
      <c r="D17" s="7" t="s">
        <v>149</v>
      </c>
      <c r="E17" s="32">
        <f>INDEX([2]SATS!$C$11:$F$21,MATCH($C17,[2]SATS!$B$11:$B$22,0),MATCH($D17,[2]SATS!$C$10:$F$10,0))</f>
        <v>2541.3855221624167</v>
      </c>
      <c r="F17" s="32">
        <f>E17*(1+INDEX([3]!tbl_Forecast,MATCH($D$8&amp;$D17&amp;$D$7,[3]!rng_ForecastRowLookup,0),MATCH(F$11,[3]!rng_ForecastColumnLookup,0)))</f>
        <v>2568.9550880841398</v>
      </c>
      <c r="G17" s="32">
        <f>F17*(1+INDEX([3]!tbl_Forecast,MATCH($D$8&amp;$D17&amp;$D$7,[3]!rng_ForecastRowLookup,0),MATCH(G$11,[3]!rng_ForecastColumnLookup,0)))</f>
        <v>2596.1671984101781</v>
      </c>
      <c r="H17" s="32">
        <f>G17*(1+INDEX([3]!tbl_Forecast,MATCH($D$8&amp;$D17&amp;$D$7,[3]!rng_ForecastRowLookup,0),MATCH(H$11,[3]!rng_ForecastColumnLookup,0)))</f>
        <v>2624.0819983631814</v>
      </c>
      <c r="I17" s="32">
        <f>H17*(1+INDEX([3]!tbl_Forecast,MATCH($D$8&amp;$D17&amp;$D$7,[3]!rng_ForecastRowLookup,0),MATCH(I$11,[3]!rng_ForecastColumnLookup,0)))</f>
        <v>2652.3131801319141</v>
      </c>
      <c r="J17" s="32">
        <f>I17*(1+INDEX([3]!tbl_Forecast,MATCH($D$8&amp;$D17&amp;$D$7,[3]!rng_ForecastRowLookup,0),MATCH(J$11,[3]!rng_ForecastColumnLookup,0)))</f>
        <v>2672.6212515078</v>
      </c>
      <c r="K17" s="32">
        <f>J17*(1+INDEX([3]!tbl_Forecast,MATCH($D$8&amp;$D17&amp;$D$7,[3]!rng_ForecastRowLookup,0),MATCH(K$11,[3]!rng_ForecastColumnLookup,0)))</f>
        <v>2693.075374833923</v>
      </c>
      <c r="L17" s="32">
        <f>K17*(1+INDEX([3]!tbl_Forecast,MATCH($D$8&amp;$D17&amp;$D$7,[3]!rng_ForecastRowLookup,0),MATCH(L$11,[3]!rng_ForecastColumnLookup,0)))</f>
        <v>2714.414140659796</v>
      </c>
      <c r="M17" s="32">
        <f>L17*(1+INDEX([3]!tbl_Forecast,MATCH($D$8&amp;$D17&amp;$D$7,[3]!rng_ForecastRowLookup,0),MATCH(M$11,[3]!rng_ForecastColumnLookup,0)))</f>
        <v>2736.5255014232753</v>
      </c>
      <c r="N17" s="32">
        <f>M17*(1+INDEX([3]!tbl_Forecast,MATCH($D$8&amp;$D17&amp;$D$7,[3]!rng_ForecastRowLookup,0),MATCH(N$11,[3]!rng_ForecastColumnLookup,0)))</f>
        <v>2759.3242737044206</v>
      </c>
      <c r="O17" s="32">
        <f>N17*(1+INDEX([3]!tbl_Forecast,MATCH($D$8&amp;$D17&amp;$D$7,[3]!rng_ForecastRowLookup,0),MATCH(O$11,[3]!rng_ForecastColumnLookup,0)))</f>
        <v>2782.6994987455378</v>
      </c>
      <c r="P17" s="32">
        <f>O17*(1+INDEX([3]!tbl_Forecast,MATCH($D$8&amp;$D17&amp;$D$7,[3]!rng_ForecastRowLookup,0),MATCH(P$11,[3]!rng_ForecastColumnLookup,0)))</f>
        <v>2806.6137023918395</v>
      </c>
      <c r="Q17" s="32">
        <f>P17*(1+INDEX([3]!tbl_Forecast,MATCH($D$8&amp;$D17&amp;$D$7,[3]!rng_ForecastRowLookup,0),MATCH(Q$11,[3]!rng_ForecastColumnLookup,0)))</f>
        <v>2830.9936421804891</v>
      </c>
      <c r="R17" s="32">
        <f>Q17*(1+INDEX([3]!tbl_Forecast,MATCH($D$8&amp;$D17&amp;$D$7,[3]!rng_ForecastRowLookup,0),MATCH(R$11,[3]!rng_ForecastColumnLookup,0)))</f>
        <v>2855.8160211074764</v>
      </c>
      <c r="S17" s="32">
        <f>R17*(1+INDEX([3]!tbl_Forecast,MATCH($D$8&amp;$D17&amp;$D$7,[3]!rng_ForecastRowLookup,0),MATCH(S$11,[3]!rng_ForecastColumnLookup,0)))</f>
        <v>2881.0248425513687</v>
      </c>
      <c r="T17" s="32">
        <f>S17*(1+INDEX([3]!tbl_Forecast,MATCH($D$8&amp;$D17&amp;$D$7,[3]!rng_ForecastRowLookup,0),MATCH(T$11,[3]!rng_ForecastColumnLookup,0)))</f>
        <v>2906.4803007387527</v>
      </c>
      <c r="U17" s="32">
        <f>T17*(1+INDEX([3]!tbl_Forecast,MATCH($D$8&amp;$D17&amp;$D$7,[3]!rng_ForecastRowLookup,0),MATCH(U$11,[3]!rng_ForecastColumnLookup,0)))</f>
        <v>2932.2933411206409</v>
      </c>
      <c r="V17" s="32">
        <f>U17*(1+INDEX([3]!tbl_Forecast,MATCH($D$8&amp;$D17&amp;$D$7,[3]!rng_ForecastRowLookup,0),MATCH(V$11,[3]!rng_ForecastColumnLookup,0)))</f>
        <v>2958.3846102532689</v>
      </c>
      <c r="W17" s="32">
        <f>V17*(1+INDEX([3]!tbl_Forecast,MATCH($D$8&amp;$D17&amp;$D$7,[3]!rng_ForecastRowLookup,0),MATCH(W$11,[3]!rng_ForecastColumnLookup,0)))</f>
        <v>2984.7493753216741</v>
      </c>
      <c r="X17" s="32">
        <f>W17*(1+INDEX([3]!tbl_Forecast,MATCH($D$8&amp;$D17&amp;$D$7,[3]!rng_ForecastRowLookup,0),MATCH(X$11,[3]!rng_ForecastColumnLookup,0)))</f>
        <v>3011.3181985688389</v>
      </c>
      <c r="Y17" s="32"/>
      <c r="AA17" s="41"/>
    </row>
    <row r="18" spans="1:27">
      <c r="B18" s="7" t="str">
        <f t="shared" si="1"/>
        <v>CenterPivotMontana</v>
      </c>
      <c r="C18" s="7" t="s">
        <v>1272</v>
      </c>
      <c r="D18" s="7" t="s">
        <v>149</v>
      </c>
      <c r="E18" s="32">
        <f>INDEX([2]SATS!$C$11:$F$21,MATCH($C18,[2]SATS!$B$11:$B$22,0),MATCH($D18,[2]SATS!$C$10:$F$10,0))</f>
        <v>107601.03811364993</v>
      </c>
      <c r="F18" s="32">
        <f>E18*(1+INDEX([3]!tbl_Forecast,MATCH($D$8&amp;$D18&amp;$D$7,[3]!rng_ForecastRowLookup,0),MATCH(F$11,[3]!rng_ForecastColumnLookup,0)))</f>
        <v>108768.32024682112</v>
      </c>
      <c r="G18" s="32">
        <f>F18*(1+INDEX([3]!tbl_Forecast,MATCH($D$8&amp;$D18&amp;$D$7,[3]!rng_ForecastRowLookup,0),MATCH(G$11,[3]!rng_ForecastColumnLookup,0)))</f>
        <v>109920.46788235713</v>
      </c>
      <c r="H18" s="32">
        <f>G18*(1+INDEX([3]!tbl_Forecast,MATCH($D$8&amp;$D18&amp;$D$7,[3]!rng_ForecastRowLookup,0),MATCH(H$11,[3]!rng_ForecastColumnLookup,0)))</f>
        <v>111102.36705801713</v>
      </c>
      <c r="I18" s="32">
        <f>H18*(1+INDEX([3]!tbl_Forecast,MATCH($D$8&amp;$D18&amp;$D$7,[3]!rng_ForecastRowLookup,0),MATCH(I$11,[3]!rng_ForecastColumnLookup,0)))</f>
        <v>112297.6616872657</v>
      </c>
      <c r="J18" s="32">
        <f>I18*(1+INDEX([3]!tbl_Forecast,MATCH($D$8&amp;$D18&amp;$D$7,[3]!rng_ForecastRowLookup,0),MATCH(J$11,[3]!rng_ForecastColumnLookup,0)))</f>
        <v>113157.49564125475</v>
      </c>
      <c r="K18" s="32">
        <f>J18*(1+INDEX([3]!tbl_Forecast,MATCH($D$8&amp;$D18&amp;$D$7,[3]!rng_ForecastRowLookup,0),MATCH(K$11,[3]!rng_ForecastColumnLookup,0)))</f>
        <v>114023.51336442283</v>
      </c>
      <c r="L18" s="32">
        <f>K18*(1+INDEX([3]!tbl_Forecast,MATCH($D$8&amp;$D18&amp;$D$7,[3]!rng_ForecastRowLookup,0),MATCH(L$11,[3]!rng_ForecastColumnLookup,0)))</f>
        <v>114926.98642465114</v>
      </c>
      <c r="M18" s="32">
        <f>L18*(1+INDEX([3]!tbl_Forecast,MATCH($D$8&amp;$D18&amp;$D$7,[3]!rng_ForecastRowLookup,0),MATCH(M$11,[3]!rng_ForecastColumnLookup,0)))</f>
        <v>115863.17078216308</v>
      </c>
      <c r="N18" s="32">
        <f>M18*(1+INDEX([3]!tbl_Forecast,MATCH($D$8&amp;$D18&amp;$D$7,[3]!rng_ForecastRowLookup,0),MATCH(N$11,[3]!rng_ForecastColumnLookup,0)))</f>
        <v>116828.45981201502</v>
      </c>
      <c r="O18" s="32">
        <f>N18*(1+INDEX([3]!tbl_Forecast,MATCH($D$8&amp;$D18&amp;$D$7,[3]!rng_ForecastRowLookup,0),MATCH(O$11,[3]!rng_ForecastColumnLookup,0)))</f>
        <v>117818.15557388599</v>
      </c>
      <c r="P18" s="32">
        <f>O18*(1+INDEX([3]!tbl_Forecast,MATCH($D$8&amp;$D18&amp;$D$7,[3]!rng_ForecastRowLookup,0),MATCH(P$11,[3]!rng_ForecastColumnLookup,0)))</f>
        <v>118830.67143012406</v>
      </c>
      <c r="Q18" s="32">
        <f>P18*(1+INDEX([3]!tbl_Forecast,MATCH($D$8&amp;$D18&amp;$D$7,[3]!rng_ForecastRowLookup,0),MATCH(Q$11,[3]!rng_ForecastColumnLookup,0)))</f>
        <v>119862.90633015404</v>
      </c>
      <c r="R18" s="32">
        <f>Q18*(1+INDEX([3]!tbl_Forecast,MATCH($D$8&amp;$D18&amp;$D$7,[3]!rng_ForecastRowLookup,0),MATCH(R$11,[3]!rng_ForecastColumnLookup,0)))</f>
        <v>120913.87389005483</v>
      </c>
      <c r="S18" s="32">
        <f>R18*(1+INDEX([3]!tbl_Forecast,MATCH($D$8&amp;$D18&amp;$D$7,[3]!rng_ForecastRowLookup,0),MATCH(S$11,[3]!rng_ForecastColumnLookup,0)))</f>
        <v>121981.20323986416</v>
      </c>
      <c r="T18" s="32">
        <f>S18*(1+INDEX([3]!tbl_Forecast,MATCH($D$8&amp;$D18&amp;$D$7,[3]!rng_ForecastRowLookup,0),MATCH(T$11,[3]!rng_ForecastColumnLookup,0)))</f>
        <v>123058.97507051917</v>
      </c>
      <c r="U18" s="32">
        <f>T18*(1+INDEX([3]!tbl_Forecast,MATCH($D$8&amp;$D18&amp;$D$7,[3]!rng_ForecastRowLookup,0),MATCH(U$11,[3]!rng_ForecastColumnLookup,0)))</f>
        <v>124151.88675894233</v>
      </c>
      <c r="V18" s="32">
        <f>U18*(1+INDEX([3]!tbl_Forecast,MATCH($D$8&amp;$D18&amp;$D$7,[3]!rng_ForecastRowLookup,0),MATCH(V$11,[3]!rng_ForecastColumnLookup,0)))</f>
        <v>125256.57851857138</v>
      </c>
      <c r="W18" s="32">
        <f>V18*(1+INDEX([3]!tbl_Forecast,MATCH($D$8&amp;$D18&amp;$D$7,[3]!rng_ForecastRowLookup,0),MATCH(W$11,[3]!rng_ForecastColumnLookup,0)))</f>
        <v>126372.8499643019</v>
      </c>
      <c r="X18" s="32">
        <f>W18*(1+INDEX([3]!tbl_Forecast,MATCH($D$8&amp;$D18&amp;$D$7,[3]!rng_ForecastRowLookup,0),MATCH(X$11,[3]!rng_ForecastColumnLookup,0)))</f>
        <v>127497.76113496933</v>
      </c>
      <c r="Y18" s="32"/>
      <c r="AA18" s="41"/>
    </row>
    <row r="19" spans="1:27">
      <c r="B19" s="7" t="str">
        <f t="shared" si="1"/>
        <v>Wheel/hand lineOregon</v>
      </c>
      <c r="C19" s="7" t="s">
        <v>1271</v>
      </c>
      <c r="D19" s="7" t="s">
        <v>432</v>
      </c>
      <c r="E19" s="32">
        <f>INDEX([2]SATS!$C$11:$F$21,MATCH($C19,[2]SATS!$B$11:$B$22,0),MATCH($D19,[2]SATS!$C$10:$F$10,0))</f>
        <v>373405</v>
      </c>
      <c r="F19" s="32">
        <f>E19*(1+INDEX([3]!tbl_Forecast,MATCH($D$8&amp;$D19&amp;$D$7,[3]!rng_ForecastRowLookup,0),MATCH(F$11,[3]!rng_ForecastColumnLookup,0)))</f>
        <v>377180.43921126588</v>
      </c>
      <c r="G19" s="32">
        <f>F19*(1+INDEX([3]!tbl_Forecast,MATCH($D$8&amp;$D19&amp;$D$7,[3]!rng_ForecastRowLookup,0),MATCH(G$11,[3]!rng_ForecastColumnLookup,0)))</f>
        <v>380974.57928795711</v>
      </c>
      <c r="H19" s="32">
        <f>G19*(1+INDEX([3]!tbl_Forecast,MATCH($D$8&amp;$D19&amp;$D$7,[3]!rng_ForecastRowLookup,0),MATCH(H$11,[3]!rng_ForecastColumnLookup,0)))</f>
        <v>385232.68112958001</v>
      </c>
      <c r="I19" s="32">
        <f>H19*(1+INDEX([3]!tbl_Forecast,MATCH($D$8&amp;$D19&amp;$D$7,[3]!rng_ForecastRowLookup,0),MATCH(I$11,[3]!rng_ForecastColumnLookup,0)))</f>
        <v>392861.48344631278</v>
      </c>
      <c r="J19" s="32">
        <f>I19*(1+INDEX([3]!tbl_Forecast,MATCH($D$8&amp;$D19&amp;$D$7,[3]!rng_ForecastRowLookup,0),MATCH(J$11,[3]!rng_ForecastColumnLookup,0)))</f>
        <v>397606.78979456128</v>
      </c>
      <c r="K19" s="32">
        <f>J19*(1+INDEX([3]!tbl_Forecast,MATCH($D$8&amp;$D19&amp;$D$7,[3]!rng_ForecastRowLookup,0),MATCH(K$11,[3]!rng_ForecastColumnLookup,0)))</f>
        <v>402407.85894735303</v>
      </c>
      <c r="L19" s="32">
        <f>K19*(1+INDEX([3]!tbl_Forecast,MATCH($D$8&amp;$D19&amp;$D$7,[3]!rng_ForecastRowLookup,0),MATCH(L$11,[3]!rng_ForecastColumnLookup,0)))</f>
        <v>407567.93856885756</v>
      </c>
      <c r="M19" s="32">
        <f>L19*(1+INDEX([3]!tbl_Forecast,MATCH($D$8&amp;$D19&amp;$D$7,[3]!rng_ForecastRowLookup,0),MATCH(M$11,[3]!rng_ForecastColumnLookup,0)))</f>
        <v>412485.10152265138</v>
      </c>
      <c r="N19" s="32">
        <f>M19*(1+INDEX([3]!tbl_Forecast,MATCH($D$8&amp;$D19&amp;$D$7,[3]!rng_ForecastRowLookup,0),MATCH(N$11,[3]!rng_ForecastColumnLookup,0)))</f>
        <v>421295.71333857422</v>
      </c>
      <c r="O19" s="32">
        <f>N19*(1+INDEX([3]!tbl_Forecast,MATCH($D$8&amp;$D19&amp;$D$7,[3]!rng_ForecastRowLookup,0),MATCH(O$11,[3]!rng_ForecastColumnLookup,0)))</f>
        <v>426294.08350887097</v>
      </c>
      <c r="P19" s="32">
        <f>O19*(1+INDEX([3]!tbl_Forecast,MATCH($D$8&amp;$D19&amp;$D$7,[3]!rng_ForecastRowLookup,0),MATCH(P$11,[3]!rng_ForecastColumnLookup,0)))</f>
        <v>431329.38657424541</v>
      </c>
      <c r="Q19" s="32">
        <f>P19*(1+INDEX([3]!tbl_Forecast,MATCH($D$8&amp;$D19&amp;$D$7,[3]!rng_ForecastRowLookup,0),MATCH(Q$11,[3]!rng_ForecastColumnLookup,0)))</f>
        <v>436100.08940101363</v>
      </c>
      <c r="R19" s="32">
        <f>Q19*(1+INDEX([3]!tbl_Forecast,MATCH($D$8&amp;$D19&amp;$D$7,[3]!rng_ForecastRowLookup,0),MATCH(R$11,[3]!rng_ForecastColumnLookup,0)))</f>
        <v>441197.75109419384</v>
      </c>
      <c r="S19" s="32">
        <f>R19*(1+INDEX([3]!tbl_Forecast,MATCH($D$8&amp;$D19&amp;$D$7,[3]!rng_ForecastRowLookup,0),MATCH(S$11,[3]!rng_ForecastColumnLookup,0)))</f>
        <v>449855.46483428054</v>
      </c>
      <c r="T19" s="32">
        <f>S19*(1+INDEX([3]!tbl_Forecast,MATCH($D$8&amp;$D19&amp;$D$7,[3]!rng_ForecastRowLookup,0),MATCH(T$11,[3]!rng_ForecastColumnLookup,0)))</f>
        <v>455278.09243479359</v>
      </c>
      <c r="U19" s="32">
        <f>T19*(1+INDEX([3]!tbl_Forecast,MATCH($D$8&amp;$D19&amp;$D$7,[3]!rng_ForecastRowLookup,0),MATCH(U$11,[3]!rng_ForecastColumnLookup,0)))</f>
        <v>461021.75738830137</v>
      </c>
      <c r="V19" s="32">
        <f>U19*(1+INDEX([3]!tbl_Forecast,MATCH($D$8&amp;$D19&amp;$D$7,[3]!rng_ForecastRowLookup,0),MATCH(V$11,[3]!rng_ForecastColumnLookup,0)))</f>
        <v>466782.90710634313</v>
      </c>
      <c r="W19" s="32">
        <f>V19*(1+INDEX([3]!tbl_Forecast,MATCH($D$8&amp;$D19&amp;$D$7,[3]!rng_ForecastRowLookup,0),MATCH(W$11,[3]!rng_ForecastColumnLookup,0)))</f>
        <v>472269.20074509352</v>
      </c>
      <c r="X19" s="32">
        <f>W19*(1+INDEX([3]!tbl_Forecast,MATCH($D$8&amp;$D19&amp;$D$7,[3]!rng_ForecastRowLookup,0),MATCH(X$11,[3]!rng_ForecastColumnLookup,0)))</f>
        <v>482161.38206808985</v>
      </c>
      <c r="Y19" s="32"/>
      <c r="AA19" s="41"/>
    </row>
    <row r="20" spans="1:27">
      <c r="B20" s="7" t="str">
        <f t="shared" si="1"/>
        <v>Wheel lineOregon</v>
      </c>
      <c r="C20" s="7" t="s">
        <v>1273</v>
      </c>
      <c r="D20" s="7" t="s">
        <v>432</v>
      </c>
      <c r="E20" s="32">
        <f>INDEX([2]SATS!$C$11:$F$21,MATCH($C20,[2]SATS!$B$11:$B$22,0),MATCH($D20,[2]SATS!$C$10:$F$10,0))</f>
        <v>60204</v>
      </c>
      <c r="F20" s="32">
        <f>E20*(1+INDEX([3]!tbl_Forecast,MATCH($D$8&amp;$D20&amp;$D$7,[3]!rng_ForecastRowLookup,0),MATCH(F$11,[3]!rng_ForecastColumnLookup,0)))</f>
        <v>60812.713172761614</v>
      </c>
      <c r="G20" s="32">
        <f>F20*(1+INDEX([3]!tbl_Forecast,MATCH($D$8&amp;$D20&amp;$D$7,[3]!rng_ForecastRowLookup,0),MATCH(G$11,[3]!rng_ForecastColumnLookup,0)))</f>
        <v>61424.441481641035</v>
      </c>
      <c r="H20" s="32">
        <f>G20*(1+INDEX([3]!tbl_Forecast,MATCH($D$8&amp;$D20&amp;$D$7,[3]!rng_ForecastRowLookup,0),MATCH(H$11,[3]!rng_ForecastColumnLookup,0)))</f>
        <v>62110.97423635258</v>
      </c>
      <c r="I20" s="32">
        <f>H20*(1+INDEX([3]!tbl_Forecast,MATCH($D$8&amp;$D20&amp;$D$7,[3]!rng_ForecastRowLookup,0),MATCH(I$11,[3]!rng_ForecastColumnLookup,0)))</f>
        <v>63340.964232942293</v>
      </c>
      <c r="J20" s="32">
        <f>I20*(1+INDEX([3]!tbl_Forecast,MATCH($D$8&amp;$D20&amp;$D$7,[3]!rng_ForecastRowLookup,0),MATCH(J$11,[3]!rng_ForecastColumnLookup,0)))</f>
        <v>64106.048855242356</v>
      </c>
      <c r="K20" s="32">
        <f>J20*(1+INDEX([3]!tbl_Forecast,MATCH($D$8&amp;$D20&amp;$D$7,[3]!rng_ForecastRowLookup,0),MATCH(K$11,[3]!rng_ForecastColumnLookup,0)))</f>
        <v>64880.124101354959</v>
      </c>
      <c r="L20" s="32">
        <f>K20*(1+INDEX([3]!tbl_Forecast,MATCH($D$8&amp;$D20&amp;$D$7,[3]!rng_ForecastRowLookup,0),MATCH(L$11,[3]!rng_ForecastColumnLookup,0)))</f>
        <v>65712.082520586249</v>
      </c>
      <c r="M20" s="32">
        <f>L20*(1+INDEX([3]!tbl_Forecast,MATCH($D$8&amp;$D20&amp;$D$7,[3]!rng_ForecastRowLookup,0),MATCH(M$11,[3]!rng_ForecastColumnLookup,0)))</f>
        <v>66504.875542828056</v>
      </c>
      <c r="N20" s="32">
        <f>M20*(1+INDEX([3]!tbl_Forecast,MATCH($D$8&amp;$D20&amp;$D$7,[3]!rng_ForecastRowLookup,0),MATCH(N$11,[3]!rng_ForecastColumnLookup,0)))</f>
        <v>67925.408405981521</v>
      </c>
      <c r="O20" s="32">
        <f>N20*(1+INDEX([3]!tbl_Forecast,MATCH($D$8&amp;$D20&amp;$D$7,[3]!rng_ForecastRowLookup,0),MATCH(O$11,[3]!rng_ForecastColumnLookup,0)))</f>
        <v>68731.294448569461</v>
      </c>
      <c r="P20" s="32">
        <f>O20*(1+INDEX([3]!tbl_Forecast,MATCH($D$8&amp;$D20&amp;$D$7,[3]!rng_ForecastRowLookup,0),MATCH(P$11,[3]!rng_ForecastColumnLookup,0)))</f>
        <v>69543.135173111979</v>
      </c>
      <c r="Q20" s="32">
        <f>P20*(1+INDEX([3]!tbl_Forecast,MATCH($D$8&amp;$D20&amp;$D$7,[3]!rng_ForecastRowLookup,0),MATCH(Q$11,[3]!rng_ForecastColumnLookup,0)))</f>
        <v>70312.314463648407</v>
      </c>
      <c r="R20" s="32">
        <f>Q20*(1+INDEX([3]!tbl_Forecast,MATCH($D$8&amp;$D20&amp;$D$7,[3]!rng_ForecastRowLookup,0),MATCH(R$11,[3]!rng_ForecastColumnLookup,0)))</f>
        <v>71134.209255031004</v>
      </c>
      <c r="S20" s="32">
        <f>R20*(1+INDEX([3]!tbl_Forecast,MATCH($D$8&amp;$D20&amp;$D$7,[3]!rng_ForecastRowLookup,0),MATCH(S$11,[3]!rng_ForecastColumnLookup,0)))</f>
        <v>72530.090397512176</v>
      </c>
      <c r="T20" s="32">
        <f>S20*(1+INDEX([3]!tbl_Forecast,MATCH($D$8&amp;$D20&amp;$D$7,[3]!rng_ForecastRowLookup,0),MATCH(T$11,[3]!rng_ForecastColumnLookup,0)))</f>
        <v>73404.37936541911</v>
      </c>
      <c r="U20" s="32">
        <f>T20*(1+INDEX([3]!tbl_Forecast,MATCH($D$8&amp;$D20&amp;$D$7,[3]!rng_ForecastRowLookup,0),MATCH(U$11,[3]!rng_ForecastColumnLookup,0)))</f>
        <v>74330.429109961857</v>
      </c>
      <c r="V20" s="32">
        <f>U20*(1+INDEX([3]!tbl_Forecast,MATCH($D$8&amp;$D20&amp;$D$7,[3]!rng_ForecastRowLookup,0),MATCH(V$11,[3]!rng_ForecastColumnLookup,0)))</f>
        <v>75259.29791896278</v>
      </c>
      <c r="W20" s="32">
        <f>V20*(1+INDEX([3]!tbl_Forecast,MATCH($D$8&amp;$D20&amp;$D$7,[3]!rng_ForecastRowLookup,0),MATCH(W$11,[3]!rng_ForecastColumnLookup,0)))</f>
        <v>76143.851747185021</v>
      </c>
      <c r="X20" s="32">
        <f>W20*(1+INDEX([3]!tbl_Forecast,MATCH($D$8&amp;$D20&amp;$D$7,[3]!rng_ForecastRowLookup,0),MATCH(X$11,[3]!rng_ForecastColumnLookup,0)))</f>
        <v>77738.765806637006</v>
      </c>
      <c r="Y20" s="32"/>
      <c r="AA20" s="41"/>
    </row>
    <row r="21" spans="1:27">
      <c r="B21" s="7" t="str">
        <f t="shared" si="1"/>
        <v>CenterPivotOregon</v>
      </c>
      <c r="C21" s="7" t="s">
        <v>1272</v>
      </c>
      <c r="D21" s="7" t="s">
        <v>432</v>
      </c>
      <c r="E21" s="32">
        <f>INDEX([2]SATS!$C$11:$F$21,MATCH($C21,[2]SATS!$B$11:$B$22,0),MATCH($D21,[2]SATS!$C$10:$F$10,0))</f>
        <v>543142</v>
      </c>
      <c r="F21" s="32">
        <f>E21*(1+INDEX([3]!tbl_Forecast,MATCH($D$8&amp;$D21&amp;$D$7,[3]!rng_ForecastRowLookup,0),MATCH(F$11,[3]!rng_ForecastColumnLookup,0)))</f>
        <v>548633.62331539579</v>
      </c>
      <c r="G21" s="32">
        <f>F21*(1+INDEX([3]!tbl_Forecast,MATCH($D$8&amp;$D21&amp;$D$7,[3]!rng_ForecastRowLookup,0),MATCH(G$11,[3]!rng_ForecastColumnLookup,0)))</f>
        <v>554152.44826293061</v>
      </c>
      <c r="H21" s="32">
        <f>G21*(1+INDEX([3]!tbl_Forecast,MATCH($D$8&amp;$D21&amp;$D$7,[3]!rng_ForecastRowLookup,0),MATCH(H$11,[3]!rng_ForecastColumnLookup,0)))</f>
        <v>560346.13594912319</v>
      </c>
      <c r="I21" s="32">
        <f>H21*(1+INDEX([3]!tbl_Forecast,MATCH($D$8&amp;$D21&amp;$D$7,[3]!rng_ForecastRowLookup,0),MATCH(I$11,[3]!rng_ForecastColumnLookup,0)))</f>
        <v>571442.7279816746</v>
      </c>
      <c r="J21" s="32">
        <f>I21*(1+INDEX([3]!tbl_Forecast,MATCH($D$8&amp;$D21&amp;$D$7,[3]!rng_ForecastRowLookup,0),MATCH(J$11,[3]!rng_ForecastColumnLookup,0)))</f>
        <v>578345.08649481821</v>
      </c>
      <c r="K21" s="32">
        <f>J21*(1+INDEX([3]!tbl_Forecast,MATCH($D$8&amp;$D21&amp;$D$7,[3]!rng_ForecastRowLookup,0),MATCH(K$11,[3]!rng_ForecastColumnLookup,0)))</f>
        <v>585328.55565507489</v>
      </c>
      <c r="L21" s="32">
        <f>K21*(1+INDEX([3]!tbl_Forecast,MATCH($D$8&amp;$D21&amp;$D$7,[3]!rng_ForecastRowLookup,0),MATCH(L$11,[3]!rng_ForecastColumnLookup,0)))</f>
        <v>592834.22902790923</v>
      </c>
      <c r="M21" s="32">
        <f>L21*(1+INDEX([3]!tbl_Forecast,MATCH($D$8&amp;$D21&amp;$D$7,[3]!rng_ForecastRowLookup,0),MATCH(M$11,[3]!rng_ForecastColumnLookup,0)))</f>
        <v>599986.56421637617</v>
      </c>
      <c r="N21" s="32">
        <f>M21*(1+INDEX([3]!tbl_Forecast,MATCH($D$8&amp;$D21&amp;$D$7,[3]!rng_ForecastRowLookup,0),MATCH(N$11,[3]!rng_ForecastColumnLookup,0)))</f>
        <v>612802.17547740368</v>
      </c>
      <c r="O21" s="32">
        <f>N21*(1+INDEX([3]!tbl_Forecast,MATCH($D$8&amp;$D21&amp;$D$7,[3]!rng_ForecastRowLookup,0),MATCH(O$11,[3]!rng_ForecastColumnLookup,0)))</f>
        <v>620072.63187470776</v>
      </c>
      <c r="P21" s="32">
        <f>O21*(1+INDEX([3]!tbl_Forecast,MATCH($D$8&amp;$D21&amp;$D$7,[3]!rng_ForecastRowLookup,0),MATCH(P$11,[3]!rng_ForecastColumnLookup,0)))</f>
        <v>627396.80958398746</v>
      </c>
      <c r="Q21" s="32">
        <f>P21*(1+INDEX([3]!tbl_Forecast,MATCH($D$8&amp;$D21&amp;$D$7,[3]!rng_ForecastRowLookup,0),MATCH(Q$11,[3]!rng_ForecastColumnLookup,0)))</f>
        <v>634336.108936531</v>
      </c>
      <c r="R21" s="32">
        <f>Q21*(1+INDEX([3]!tbl_Forecast,MATCH($D$8&amp;$D21&amp;$D$7,[3]!rng_ForecastRowLookup,0),MATCH(R$11,[3]!rng_ForecastColumnLookup,0)))</f>
        <v>641750.99134934624</v>
      </c>
      <c r="S21" s="32">
        <f>R21*(1+INDEX([3]!tbl_Forecast,MATCH($D$8&amp;$D21&amp;$D$7,[3]!rng_ForecastRowLookup,0),MATCH(S$11,[3]!rng_ForecastColumnLookup,0)))</f>
        <v>654344.20235674619</v>
      </c>
      <c r="T21" s="32">
        <f>S21*(1+INDEX([3]!tbl_Forecast,MATCH($D$8&amp;$D21&amp;$D$7,[3]!rng_ForecastRowLookup,0),MATCH(T$11,[3]!rng_ForecastColumnLookup,0)))</f>
        <v>662231.76894047658</v>
      </c>
      <c r="U21" s="32">
        <f>T21*(1+INDEX([3]!tbl_Forecast,MATCH($D$8&amp;$D21&amp;$D$7,[3]!rng_ForecastRowLookup,0),MATCH(U$11,[3]!rng_ForecastColumnLookup,0)))</f>
        <v>670586.30535583827</v>
      </c>
      <c r="V21" s="32">
        <f>U21*(1+INDEX([3]!tbl_Forecast,MATCH($D$8&amp;$D21&amp;$D$7,[3]!rng_ForecastRowLookup,0),MATCH(V$11,[3]!rng_ForecastColumnLookup,0)))</f>
        <v>678966.27450503723</v>
      </c>
      <c r="W21" s="32">
        <f>V21*(1+INDEX([3]!tbl_Forecast,MATCH($D$8&amp;$D21&amp;$D$7,[3]!rng_ForecastRowLookup,0),MATCH(W$11,[3]!rng_ForecastColumnLookup,0)))</f>
        <v>686946.44750630436</v>
      </c>
      <c r="X21" s="32">
        <f>W21*(1+INDEX([3]!tbl_Forecast,MATCH($D$8&amp;$D21&amp;$D$7,[3]!rng_ForecastRowLookup,0),MATCH(X$11,[3]!rng_ForecastColumnLookup,0)))</f>
        <v>701335.27236974984</v>
      </c>
      <c r="Y21" s="32"/>
      <c r="AA21" s="41"/>
    </row>
    <row r="22" spans="1:27">
      <c r="B22" s="7" t="str">
        <f t="shared" si="1"/>
        <v>Wheel/hand lineWashington</v>
      </c>
      <c r="C22" s="7" t="s">
        <v>1271</v>
      </c>
      <c r="D22" s="7" t="s">
        <v>433</v>
      </c>
      <c r="E22" s="32">
        <f>INDEX([2]SATS!$C$11:$F$21,MATCH($C22,[2]SATS!$B$11:$B$22,0),MATCH($D22,[2]SATS!$C$10:$F$10,0))</f>
        <v>167947</v>
      </c>
      <c r="F22" s="32">
        <f>E22*(1+INDEX([3]!tbl_Forecast,MATCH($D$8&amp;$D22&amp;$D$7,[3]!rng_ForecastRowLookup,0),MATCH(F$11,[3]!rng_ForecastColumnLookup,0)))</f>
        <v>169737.67143816806</v>
      </c>
      <c r="G22" s="32">
        <f>F22*(1+INDEX([3]!tbl_Forecast,MATCH($D$8&amp;$D22&amp;$D$7,[3]!rng_ForecastRowLookup,0),MATCH(G$11,[3]!rng_ForecastColumnLookup,0)))</f>
        <v>171593.11787021375</v>
      </c>
      <c r="H22" s="32">
        <f>G22*(1+INDEX([3]!tbl_Forecast,MATCH($D$8&amp;$D22&amp;$D$7,[3]!rng_ForecastRowLookup,0),MATCH(H$11,[3]!rng_ForecastColumnLookup,0)))</f>
        <v>173510.45844694221</v>
      </c>
      <c r="I22" s="32">
        <f>H22*(1+INDEX([3]!tbl_Forecast,MATCH($D$8&amp;$D22&amp;$D$7,[3]!rng_ForecastRowLookup,0),MATCH(I$11,[3]!rng_ForecastColumnLookup,0)))</f>
        <v>176653.49613369489</v>
      </c>
      <c r="J22" s="32">
        <f>I22*(1+INDEX([3]!tbl_Forecast,MATCH($D$8&amp;$D22&amp;$D$7,[3]!rng_ForecastRowLookup,0),MATCH(J$11,[3]!rng_ForecastColumnLookup,0)))</f>
        <v>178843.99758001298</v>
      </c>
      <c r="K22" s="32">
        <f>J22*(1+INDEX([3]!tbl_Forecast,MATCH($D$8&amp;$D22&amp;$D$7,[3]!rng_ForecastRowLookup,0),MATCH(K$11,[3]!rng_ForecastColumnLookup,0)))</f>
        <v>180979.37040143463</v>
      </c>
      <c r="L22" s="32">
        <f>K22*(1+INDEX([3]!tbl_Forecast,MATCH($D$8&amp;$D22&amp;$D$7,[3]!rng_ForecastRowLookup,0),MATCH(L$11,[3]!rng_ForecastColumnLookup,0)))</f>
        <v>183203.29645868816</v>
      </c>
      <c r="M22" s="32">
        <f>L22*(1+INDEX([3]!tbl_Forecast,MATCH($D$8&amp;$D22&amp;$D$7,[3]!rng_ForecastRowLookup,0),MATCH(M$11,[3]!rng_ForecastColumnLookup,0)))</f>
        <v>185372.83134573477</v>
      </c>
      <c r="N22" s="32">
        <f>M22*(1+INDEX([3]!tbl_Forecast,MATCH($D$8&amp;$D22&amp;$D$7,[3]!rng_ForecastRowLookup,0),MATCH(N$11,[3]!rng_ForecastColumnLookup,0)))</f>
        <v>189021.36867037305</v>
      </c>
      <c r="O22" s="32">
        <f>N22*(1+INDEX([3]!tbl_Forecast,MATCH($D$8&amp;$D22&amp;$D$7,[3]!rng_ForecastRowLookup,0),MATCH(O$11,[3]!rng_ForecastColumnLookup,0)))</f>
        <v>191212.54879365955</v>
      </c>
      <c r="P22" s="32">
        <f>O22*(1+INDEX([3]!tbl_Forecast,MATCH($D$8&amp;$D22&amp;$D$7,[3]!rng_ForecastRowLookup,0),MATCH(P$11,[3]!rng_ForecastColumnLookup,0)))</f>
        <v>193344.15646298858</v>
      </c>
      <c r="Q22" s="32">
        <f>P22*(1+INDEX([3]!tbl_Forecast,MATCH($D$8&amp;$D22&amp;$D$7,[3]!rng_ForecastRowLookup,0),MATCH(Q$11,[3]!rng_ForecastColumnLookup,0)))</f>
        <v>195553.30389800461</v>
      </c>
      <c r="R22" s="32">
        <f>Q22*(1+INDEX([3]!tbl_Forecast,MATCH($D$8&amp;$D22&amp;$D$7,[3]!rng_ForecastRowLookup,0),MATCH(R$11,[3]!rng_ForecastColumnLookup,0)))</f>
        <v>197701.61534647693</v>
      </c>
      <c r="S22" s="32">
        <f>R22*(1+INDEX([3]!tbl_Forecast,MATCH($D$8&amp;$D22&amp;$D$7,[3]!rng_ForecastRowLookup,0),MATCH(S$11,[3]!rng_ForecastColumnLookup,0)))</f>
        <v>201246.4504621028</v>
      </c>
      <c r="T22" s="32">
        <f>S22*(1+INDEX([3]!tbl_Forecast,MATCH($D$8&amp;$D22&amp;$D$7,[3]!rng_ForecastRowLookup,0),MATCH(T$11,[3]!rng_ForecastColumnLookup,0)))</f>
        <v>203608.3503331005</v>
      </c>
      <c r="U22" s="32">
        <f>T22*(1+INDEX([3]!tbl_Forecast,MATCH($D$8&amp;$D22&amp;$D$7,[3]!rng_ForecastRowLookup,0),MATCH(U$11,[3]!rng_ForecastColumnLookup,0)))</f>
        <v>206048.00504973717</v>
      </c>
      <c r="V22" s="32">
        <f>U22*(1+INDEX([3]!tbl_Forecast,MATCH($D$8&amp;$D22&amp;$D$7,[3]!rng_ForecastRowLookup,0),MATCH(V$11,[3]!rng_ForecastColumnLookup,0)))</f>
        <v>208492.27508829764</v>
      </c>
      <c r="W22" s="32">
        <f>V22*(1+INDEX([3]!tbl_Forecast,MATCH($D$8&amp;$D22&amp;$D$7,[3]!rng_ForecastRowLookup,0),MATCH(W$11,[3]!rng_ForecastColumnLookup,0)))</f>
        <v>210872.84683529846</v>
      </c>
      <c r="X22" s="32">
        <f>W22*(1+INDEX([3]!tbl_Forecast,MATCH($D$8&amp;$D22&amp;$D$7,[3]!rng_ForecastRowLookup,0),MATCH(X$11,[3]!rng_ForecastColumnLookup,0)))</f>
        <v>214845.30277600506</v>
      </c>
      <c r="Y22" s="32"/>
      <c r="AA22" s="41"/>
    </row>
    <row r="23" spans="1:27">
      <c r="B23" s="7" t="str">
        <f t="shared" si="1"/>
        <v>Wheel lineWashington</v>
      </c>
      <c r="C23" s="7" t="s">
        <v>1273</v>
      </c>
      <c r="D23" s="7" t="s">
        <v>433</v>
      </c>
      <c r="E23" s="32">
        <f>INDEX([2]SATS!$C$11:$F$21,MATCH($C23,[2]SATS!$B$11:$B$22,0),MATCH($D23,[2]SATS!$C$10:$F$10,0))</f>
        <v>19620</v>
      </c>
      <c r="F23" s="32">
        <f>E23*(1+INDEX([3]!tbl_Forecast,MATCH($D$8&amp;$D23&amp;$D$7,[3]!rng_ForecastRowLookup,0),MATCH(F$11,[3]!rng_ForecastColumnLookup,0)))</f>
        <v>19829.190837686041</v>
      </c>
      <c r="G23" s="32">
        <f>F23*(1+INDEX([3]!tbl_Forecast,MATCH($D$8&amp;$D23&amp;$D$7,[3]!rng_ForecastRowLookup,0),MATCH(G$11,[3]!rng_ForecastColumnLookup,0)))</f>
        <v>20045.948856565428</v>
      </c>
      <c r="H23" s="32">
        <f>G23*(1+INDEX([3]!tbl_Forecast,MATCH($D$8&amp;$D23&amp;$D$7,[3]!rng_ForecastRowLookup,0),MATCH(H$11,[3]!rng_ForecastColumnLookup,0)))</f>
        <v>20269.937508434246</v>
      </c>
      <c r="I23" s="32">
        <f>H23*(1+INDEX([3]!tbl_Forecast,MATCH($D$8&amp;$D23&amp;$D$7,[3]!rng_ForecastRowLookup,0),MATCH(I$11,[3]!rng_ForecastColumnLookup,0)))</f>
        <v>20637.115245542307</v>
      </c>
      <c r="J23" s="32">
        <f>I23*(1+INDEX([3]!tbl_Forecast,MATCH($D$8&amp;$D23&amp;$D$7,[3]!rng_ForecastRowLookup,0),MATCH(J$11,[3]!rng_ForecastColumnLookup,0)))</f>
        <v>20893.01525195362</v>
      </c>
      <c r="K23" s="32">
        <f>J23*(1+INDEX([3]!tbl_Forecast,MATCH($D$8&amp;$D23&amp;$D$7,[3]!rng_ForecastRowLookup,0),MATCH(K$11,[3]!rng_ForecastColumnLookup,0)))</f>
        <v>21142.47499077773</v>
      </c>
      <c r="L23" s="32">
        <f>K23*(1+INDEX([3]!tbl_Forecast,MATCH($D$8&amp;$D23&amp;$D$7,[3]!rng_ForecastRowLookup,0),MATCH(L$11,[3]!rng_ForecastColumnLookup,0)))</f>
        <v>21402.279746107171</v>
      </c>
      <c r="M23" s="32">
        <f>L23*(1+INDEX([3]!tbl_Forecast,MATCH($D$8&amp;$D23&amp;$D$7,[3]!rng_ForecastRowLookup,0),MATCH(M$11,[3]!rng_ForecastColumnLookup,0)))</f>
        <v>21655.730385200779</v>
      </c>
      <c r="N23" s="32">
        <f>M23*(1+INDEX([3]!tbl_Forecast,MATCH($D$8&amp;$D23&amp;$D$7,[3]!rng_ForecastRowLookup,0),MATCH(N$11,[3]!rng_ForecastColumnLookup,0)))</f>
        <v>22081.961888647715</v>
      </c>
      <c r="O23" s="32">
        <f>N23*(1+INDEX([3]!tbl_Forecast,MATCH($D$8&amp;$D23&amp;$D$7,[3]!rng_ForecastRowLookup,0),MATCH(O$11,[3]!rng_ForecastColumnLookup,0)))</f>
        <v>22337.941179846017</v>
      </c>
      <c r="P23" s="32">
        <f>O23*(1+INDEX([3]!tbl_Forecast,MATCH($D$8&amp;$D23&amp;$D$7,[3]!rng_ForecastRowLookup,0),MATCH(P$11,[3]!rng_ForecastColumnLookup,0)))</f>
        <v>22586.961063929899</v>
      </c>
      <c r="Q23" s="32">
        <f>P23*(1+INDEX([3]!tbl_Forecast,MATCH($D$8&amp;$D23&amp;$D$7,[3]!rng_ForecastRowLookup,0),MATCH(Q$11,[3]!rng_ForecastColumnLookup,0)))</f>
        <v>22845.039342642911</v>
      </c>
      <c r="R23" s="32">
        <f>Q23*(1+INDEX([3]!tbl_Forecast,MATCH($D$8&amp;$D23&amp;$D$7,[3]!rng_ForecastRowLookup,0),MATCH(R$11,[3]!rng_ForecastColumnLookup,0)))</f>
        <v>23096.010605118732</v>
      </c>
      <c r="S23" s="32">
        <f>R23*(1+INDEX([3]!tbl_Forecast,MATCH($D$8&amp;$D23&amp;$D$7,[3]!rng_ForecastRowLookup,0),MATCH(S$11,[3]!rng_ForecastColumnLookup,0)))</f>
        <v>23510.127350095299</v>
      </c>
      <c r="T23" s="32">
        <f>S23*(1+INDEX([3]!tbl_Forecast,MATCH($D$8&amp;$D23&amp;$D$7,[3]!rng_ForecastRowLookup,0),MATCH(T$11,[3]!rng_ForecastColumnLookup,0)))</f>
        <v>23786.05056080448</v>
      </c>
      <c r="U23" s="32">
        <f>T23*(1+INDEX([3]!tbl_Forecast,MATCH($D$8&amp;$D23&amp;$D$7,[3]!rng_ForecastRowLookup,0),MATCH(U$11,[3]!rng_ForecastColumnLookup,0)))</f>
        <v>24071.057292335328</v>
      </c>
      <c r="V23" s="32">
        <f>U23*(1+INDEX([3]!tbl_Forecast,MATCH($D$8&amp;$D23&amp;$D$7,[3]!rng_ForecastRowLookup,0),MATCH(V$11,[3]!rng_ForecastColumnLookup,0)))</f>
        <v>24356.603197630193</v>
      </c>
      <c r="W23" s="32">
        <f>V23*(1+INDEX([3]!tbl_Forecast,MATCH($D$8&amp;$D23&amp;$D$7,[3]!rng_ForecastRowLookup,0),MATCH(W$11,[3]!rng_ForecastColumnLookup,0)))</f>
        <v>24634.707704862569</v>
      </c>
      <c r="X23" s="32">
        <f>W23*(1+INDEX([3]!tbl_Forecast,MATCH($D$8&amp;$D23&amp;$D$7,[3]!rng_ForecastRowLookup,0),MATCH(X$11,[3]!rng_ForecastColumnLookup,0)))</f>
        <v>25098.78021319355</v>
      </c>
      <c r="Y23" s="32"/>
      <c r="AA23" s="41"/>
    </row>
    <row r="24" spans="1:27">
      <c r="B24" s="7" t="str">
        <f t="shared" si="1"/>
        <v>CenterPivotWashington</v>
      </c>
      <c r="C24" s="7" t="s">
        <v>1272</v>
      </c>
      <c r="D24" s="7" t="s">
        <v>433</v>
      </c>
      <c r="E24" s="32">
        <f>INDEX([2]SATS!$C$11:$F$21,MATCH($C24,[2]SATS!$B$11:$B$22,0),MATCH($D24,[2]SATS!$C$10:$F$10,0))</f>
        <v>990074</v>
      </c>
      <c r="F24" s="32">
        <f>E24*(1+INDEX([3]!tbl_Forecast,MATCH($D$8&amp;$D24&amp;$D$7,[3]!rng_ForecastRowLookup,0),MATCH(F$11,[3]!rng_ForecastColumnLookup,0)))</f>
        <v>1000630.2899812013</v>
      </c>
      <c r="G24" s="32">
        <f>F24*(1+INDEX([3]!tbl_Forecast,MATCH($D$8&amp;$D24&amp;$D$7,[3]!rng_ForecastRowLookup,0),MATCH(G$11,[3]!rng_ForecastColumnLookup,0)))</f>
        <v>1011568.43874695</v>
      </c>
      <c r="H24" s="32">
        <f>G24*(1+INDEX([3]!tbl_Forecast,MATCH($D$8&amp;$D24&amp;$D$7,[3]!rng_ForecastRowLookup,0),MATCH(H$11,[3]!rng_ForecastColumnLookup,0)))</f>
        <v>1022871.4632377945</v>
      </c>
      <c r="I24" s="32">
        <f>H24*(1+INDEX([3]!tbl_Forecast,MATCH($D$8&amp;$D24&amp;$D$7,[3]!rng_ForecastRowLookup,0),MATCH(I$11,[3]!rng_ForecastColumnLookup,0)))</f>
        <v>1041400.1651179946</v>
      </c>
      <c r="J24" s="32">
        <f>I24*(1+INDEX([3]!tbl_Forecast,MATCH($D$8&amp;$D24&amp;$D$7,[3]!rng_ForecastRowLookup,0),MATCH(J$11,[3]!rng_ForecastColumnLookup,0)))</f>
        <v>1054313.5159308221</v>
      </c>
      <c r="K24" s="32">
        <f>J24*(1+INDEX([3]!tbl_Forecast,MATCH($D$8&amp;$D24&amp;$D$7,[3]!rng_ForecastRowLookup,0),MATCH(K$11,[3]!rng_ForecastColumnLookup,0)))</f>
        <v>1066901.8748225928</v>
      </c>
      <c r="L24" s="32">
        <f>K24*(1+INDEX([3]!tbl_Forecast,MATCH($D$8&amp;$D24&amp;$D$7,[3]!rng_ForecastRowLookup,0),MATCH(L$11,[3]!rng_ForecastColumnLookup,0)))</f>
        <v>1080012.2689779466</v>
      </c>
      <c r="M24" s="32">
        <f>L24*(1+INDEX([3]!tbl_Forecast,MATCH($D$8&amp;$D24&amp;$D$7,[3]!rng_ForecastRowLookup,0),MATCH(M$11,[3]!rng_ForecastColumnLookup,0)))</f>
        <v>1092802.0186237146</v>
      </c>
      <c r="N24" s="32">
        <f>M24*(1+INDEX([3]!tbl_Forecast,MATCH($D$8&amp;$D24&amp;$D$7,[3]!rng_ForecastRowLookup,0),MATCH(N$11,[3]!rng_ForecastColumnLookup,0)))</f>
        <v>1114310.7204353213</v>
      </c>
      <c r="O24" s="32">
        <f>N24*(1+INDEX([3]!tbl_Forecast,MATCH($D$8&amp;$D24&amp;$D$7,[3]!rng_ForecastRowLookup,0),MATCH(O$11,[3]!rng_ForecastColumnLookup,0)))</f>
        <v>1127228.0721557019</v>
      </c>
      <c r="P24" s="32">
        <f>O24*(1+INDEX([3]!tbl_Forecast,MATCH($D$8&amp;$D24&amp;$D$7,[3]!rng_ForecastRowLookup,0),MATCH(P$11,[3]!rng_ForecastColumnLookup,0)))</f>
        <v>1139794.2348832486</v>
      </c>
      <c r="Q24" s="32">
        <f>P24*(1+INDEX([3]!tbl_Forecast,MATCH($D$8&amp;$D24&amp;$D$7,[3]!rng_ForecastRowLookup,0),MATCH(Q$11,[3]!rng_ForecastColumnLookup,0)))</f>
        <v>1152817.5067343446</v>
      </c>
      <c r="R24" s="32">
        <f>Q24*(1+INDEX([3]!tbl_Forecast,MATCH($D$8&amp;$D24&amp;$D$7,[3]!rng_ForecastRowLookup,0),MATCH(R$11,[3]!rng_ForecastColumnLookup,0)))</f>
        <v>1165482.1408691299</v>
      </c>
      <c r="S24" s="32">
        <f>R24*(1+INDEX([3]!tbl_Forecast,MATCH($D$8&amp;$D24&amp;$D$7,[3]!rng_ForecastRowLookup,0),MATCH(S$11,[3]!rng_ForecastColumnLookup,0)))</f>
        <v>1186379.501835793</v>
      </c>
      <c r="T24" s="32">
        <f>S24*(1+INDEX([3]!tbl_Forecast,MATCH($D$8&amp;$D24&amp;$D$7,[3]!rng_ForecastRowLookup,0),MATCH(T$11,[3]!rng_ForecastColumnLookup,0)))</f>
        <v>1200303.273340364</v>
      </c>
      <c r="U24" s="32">
        <f>T24*(1+INDEX([3]!tbl_Forecast,MATCH($D$8&amp;$D24&amp;$D$7,[3]!rng_ForecastRowLookup,0),MATCH(U$11,[3]!rng_ForecastColumnLookup,0)))</f>
        <v>1214685.4218986551</v>
      </c>
      <c r="V24" s="32">
        <f>U24*(1+INDEX([3]!tbl_Forecast,MATCH($D$8&amp;$D24&amp;$D$7,[3]!rng_ForecastRowLookup,0),MATCH(V$11,[3]!rng_ForecastColumnLookup,0)))</f>
        <v>1229094.7785061428</v>
      </c>
      <c r="W24" s="32">
        <f>V24*(1+INDEX([3]!tbl_Forecast,MATCH($D$8&amp;$D24&amp;$D$7,[3]!rng_ForecastRowLookup,0),MATCH(W$11,[3]!rng_ForecastColumnLookup,0)))</f>
        <v>1243128.6236587211</v>
      </c>
      <c r="X24" s="32">
        <f>W24*(1+INDEX([3]!tbl_Forecast,MATCH($D$8&amp;$D24&amp;$D$7,[3]!rng_ForecastRowLookup,0),MATCH(X$11,[3]!rng_ForecastColumnLookup,0)))</f>
        <v>1266546.8766971149</v>
      </c>
      <c r="Y24" s="32"/>
      <c r="AA24" s="41"/>
    </row>
    <row r="25" spans="1:27">
      <c r="E25" s="32"/>
      <c r="F25" s="32"/>
      <c r="G25" s="32"/>
      <c r="H25" s="32"/>
      <c r="I25" s="32"/>
      <c r="J25" s="32"/>
      <c r="K25" s="32"/>
      <c r="L25" s="32"/>
      <c r="M25" s="32"/>
      <c r="N25" s="32"/>
      <c r="O25" s="32"/>
      <c r="P25" s="32"/>
      <c r="Q25" s="32"/>
      <c r="R25" s="32"/>
      <c r="S25" s="32"/>
      <c r="T25" s="32"/>
      <c r="U25" s="32"/>
      <c r="V25" s="32"/>
      <c r="W25" s="32"/>
      <c r="X25" s="32"/>
      <c r="Y25" s="32"/>
    </row>
    <row r="26" spans="1:27">
      <c r="B26" s="7" t="s">
        <v>1270</v>
      </c>
      <c r="C26" s="7" t="s">
        <v>28</v>
      </c>
      <c r="E26" s="32">
        <f>SUM(E13:E24)</f>
        <v>5242093.448494209</v>
      </c>
      <c r="F26" s="32">
        <f t="shared" ref="F26:X26" si="2">SUM(F13:F24)</f>
        <v>5266454.5713796746</v>
      </c>
      <c r="G26" s="32">
        <f t="shared" si="2"/>
        <v>5291442.0515894331</v>
      </c>
      <c r="H26" s="32">
        <f t="shared" si="2"/>
        <v>5319407.8401269875</v>
      </c>
      <c r="I26" s="32">
        <f t="shared" si="2"/>
        <v>5365597.3635099092</v>
      </c>
      <c r="J26" s="32">
        <f t="shared" si="2"/>
        <v>5397823.3373880703</v>
      </c>
      <c r="K26" s="32">
        <f t="shared" si="2"/>
        <v>5430268.1351155229</v>
      </c>
      <c r="L26" s="32">
        <f t="shared" si="2"/>
        <v>5464826.4650534187</v>
      </c>
      <c r="M26" s="32">
        <f t="shared" si="2"/>
        <v>5498852.971127199</v>
      </c>
      <c r="N26" s="32">
        <f t="shared" si="2"/>
        <v>5553875.4900554642</v>
      </c>
      <c r="O26" s="32">
        <f t="shared" si="2"/>
        <v>5589070.5157633405</v>
      </c>
      <c r="P26" s="32">
        <f t="shared" si="2"/>
        <v>5624308.7774831178</v>
      </c>
      <c r="Q26" s="32">
        <f t="shared" si="2"/>
        <v>5659715.9787720498</v>
      </c>
      <c r="R26" s="32">
        <f t="shared" si="2"/>
        <v>5695877.4070682116</v>
      </c>
      <c r="S26" s="32">
        <f t="shared" si="2"/>
        <v>5751432.2191060213</v>
      </c>
      <c r="T26" s="32">
        <f t="shared" si="2"/>
        <v>5790394.1282359259</v>
      </c>
      <c r="U26" s="32">
        <f t="shared" si="2"/>
        <v>5831043.0970462859</v>
      </c>
      <c r="V26" s="32">
        <f t="shared" si="2"/>
        <v>5872007.4855742222</v>
      </c>
      <c r="W26" s="32">
        <f t="shared" si="2"/>
        <v>5912051.9230586216</v>
      </c>
      <c r="X26" s="32">
        <f t="shared" si="2"/>
        <v>5974963.9119707234</v>
      </c>
      <c r="Y26" s="32"/>
      <c r="AA26" s="41"/>
    </row>
    <row r="27" spans="1:27">
      <c r="D27" s="32"/>
      <c r="E27" s="32"/>
      <c r="F27" s="32"/>
      <c r="G27" s="32"/>
      <c r="H27" s="32"/>
      <c r="I27" s="32"/>
      <c r="J27" s="32"/>
      <c r="K27" s="32"/>
      <c r="L27" s="32"/>
      <c r="M27" s="32"/>
      <c r="N27" s="32"/>
      <c r="O27" s="32"/>
      <c r="P27" s="32"/>
      <c r="Q27" s="32"/>
      <c r="R27" s="32"/>
      <c r="S27" s="32"/>
      <c r="T27" s="32"/>
      <c r="U27" s="32"/>
      <c r="V27" s="32"/>
      <c r="W27" s="32"/>
      <c r="X27" s="32"/>
    </row>
    <row r="28" spans="1:27">
      <c r="D28" s="32"/>
      <c r="E28" s="32"/>
      <c r="F28" s="32"/>
      <c r="G28" s="32"/>
      <c r="H28" s="32"/>
      <c r="I28" s="32"/>
      <c r="J28" s="32"/>
      <c r="K28" s="32"/>
      <c r="L28" s="32"/>
      <c r="M28" s="32"/>
      <c r="N28" s="32"/>
      <c r="O28" s="32"/>
      <c r="P28" s="32"/>
      <c r="Q28" s="32"/>
      <c r="R28" s="32"/>
      <c r="S28" s="32"/>
      <c r="T28" s="32"/>
      <c r="U28" s="32"/>
      <c r="V28" s="32"/>
      <c r="W28" s="32"/>
      <c r="X28" s="32"/>
    </row>
    <row r="29" spans="1:27" ht="15">
      <c r="A29" s="49" t="str">
        <f>CONCATENATE("# ACRES APPLICABLE BY YEAR FOR MEASURE - ",C30)</f>
        <v># ACRES APPLICABLE BY YEAR FOR MEASURE - Irrigation Hardware - Retro</v>
      </c>
      <c r="B29" s="49"/>
      <c r="D29" s="32"/>
      <c r="E29" s="32"/>
      <c r="F29" s="32"/>
      <c r="G29" s="32"/>
      <c r="H29" s="32"/>
      <c r="I29" s="32"/>
      <c r="J29" s="32"/>
      <c r="K29" s="32"/>
      <c r="L29" s="32"/>
      <c r="M29" s="32"/>
      <c r="N29" s="32"/>
      <c r="O29" s="32"/>
      <c r="P29" s="32"/>
      <c r="Q29" s="32"/>
      <c r="R29" s="32"/>
      <c r="S29" s="32"/>
      <c r="T29" s="32"/>
      <c r="U29" s="32"/>
      <c r="V29" s="32"/>
      <c r="W29" s="32"/>
      <c r="X29" s="32"/>
      <c r="AA29" s="40">
        <v>0.85</v>
      </c>
    </row>
    <row r="30" spans="1:27" ht="15">
      <c r="A30" s="57" t="s">
        <v>29</v>
      </c>
      <c r="B30" s="57"/>
      <c r="C30" s="57" t="str">
        <f>CONCATENATE(C8," - ",C7)</f>
        <v>Irrigation Hardware - Retro</v>
      </c>
      <c r="D30" s="7">
        <v>2</v>
      </c>
      <c r="E30" s="7">
        <v>3</v>
      </c>
      <c r="F30" s="7">
        <v>4</v>
      </c>
      <c r="G30" s="7">
        <v>5</v>
      </c>
      <c r="H30" s="7">
        <v>6</v>
      </c>
      <c r="I30" s="7">
        <v>7</v>
      </c>
      <c r="J30" s="7">
        <v>8</v>
      </c>
      <c r="K30" s="7">
        <v>9</v>
      </c>
      <c r="L30" s="7">
        <v>10</v>
      </c>
      <c r="M30" s="7">
        <v>11</v>
      </c>
      <c r="N30" s="7">
        <v>12</v>
      </c>
      <c r="O30" s="7">
        <v>13</v>
      </c>
      <c r="P30" s="7">
        <v>14</v>
      </c>
      <c r="Q30" s="7">
        <v>15</v>
      </c>
      <c r="R30" s="7">
        <v>16</v>
      </c>
      <c r="S30" s="7">
        <v>17</v>
      </c>
      <c r="T30" s="7">
        <v>18</v>
      </c>
      <c r="U30" s="7">
        <v>19</v>
      </c>
      <c r="V30" s="7">
        <v>20</v>
      </c>
      <c r="W30" s="7">
        <v>21</v>
      </c>
      <c r="X30" s="7">
        <v>22</v>
      </c>
      <c r="AA30" s="38" t="s">
        <v>30</v>
      </c>
    </row>
    <row r="31" spans="1:27">
      <c r="A31" s="50">
        <f>INDEX([2]APPLIC!$B$8:$F$67,MATCH($C31,[2]APPLIC!$B$9:$B$67,0)+1,MATCH($D31,[2]APPLIC!$C$8:$F$8,0)+1)</f>
        <v>0.30000000000000004</v>
      </c>
      <c r="B31" s="77" t="s">
        <v>1271</v>
      </c>
      <c r="C31" s="7" t="s">
        <v>1290</v>
      </c>
      <c r="D31" s="7" t="str">
        <f>D13</f>
        <v>Idaho</v>
      </c>
      <c r="E31" s="32">
        <f>$A31*VLOOKUP($B31&amp;$D31,$B$13:$X$24,E$30+1,FALSE)*VLOOKUP($C31,Overlap!$A$3:$B$15,2,FALSE)</f>
        <v>88412.550000000017</v>
      </c>
      <c r="F31" s="32">
        <f>$A31*VLOOKUP($B31&amp;$D31,$B$13:$X$24,F$30+1,FALSE)*VLOOKUP($C31,Overlap!$A$3:$B$15,2,FALSE)</f>
        <v>88423.605193851443</v>
      </c>
      <c r="G31" s="32">
        <f>$A31*VLOOKUP($B31&amp;$D31,$B$13:$X$24,G$30+1,FALSE)*VLOOKUP($C31,Overlap!$A$3:$B$15,2,FALSE)</f>
        <v>88438.96957295257</v>
      </c>
      <c r="H31" s="32">
        <f>$A31*VLOOKUP($B31&amp;$D31,$B$13:$X$24,H$30+1,FALSE)*VLOOKUP($C31,Overlap!$A$3:$B$15,2,FALSE)</f>
        <v>88493.103886746525</v>
      </c>
      <c r="I31" s="32">
        <f>$A31*VLOOKUP($B31&amp;$D31,$B$13:$X$24,I$30+1,FALSE)*VLOOKUP($C31,Overlap!$A$3:$B$15,2,FALSE)</f>
        <v>88571.090635775574</v>
      </c>
      <c r="J31" s="32">
        <f>$A31*VLOOKUP($B31&amp;$D31,$B$13:$X$24,J$30+1,FALSE)*VLOOKUP($C31,Overlap!$A$3:$B$15,2,FALSE)</f>
        <v>88670.307725048027</v>
      </c>
      <c r="K31" s="32">
        <f>$A31*VLOOKUP($B31&amp;$D31,$B$13:$X$24,K$30+1,FALSE)*VLOOKUP($C31,Overlap!$A$3:$B$15,2,FALSE)</f>
        <v>88783.077446297058</v>
      </c>
      <c r="L31" s="32">
        <f>$A31*VLOOKUP($B31&amp;$D31,$B$13:$X$24,L$30+1,FALSE)*VLOOKUP($C31,Overlap!$A$3:$B$15,2,FALSE)</f>
        <v>88910.966295439037</v>
      </c>
      <c r="M31" s="32">
        <f>$A31*VLOOKUP($B31&amp;$D31,$B$13:$X$24,M$30+1,FALSE)*VLOOKUP($C31,Overlap!$A$3:$B$15,2,FALSE)</f>
        <v>89052.107087635784</v>
      </c>
      <c r="N31" s="32">
        <f>$A31*VLOOKUP($B31&amp;$D31,$B$13:$X$24,N$30+1,FALSE)*VLOOKUP($C31,Overlap!$A$3:$B$15,2,FALSE)</f>
        <v>89205.318000471845</v>
      </c>
      <c r="O31" s="32">
        <f>$A31*VLOOKUP($B31&amp;$D31,$B$13:$X$24,O$30+1,FALSE)*VLOOKUP($C31,Overlap!$A$3:$B$15,2,FALSE)</f>
        <v>89368.466052953314</v>
      </c>
      <c r="P31" s="32">
        <f>$A31*VLOOKUP($B31&amp;$D31,$B$13:$X$24,P$30+1,FALSE)*VLOOKUP($C31,Overlap!$A$3:$B$15,2,FALSE)</f>
        <v>89541.640153227956</v>
      </c>
      <c r="Q31" s="32">
        <f>$A31*VLOOKUP($B31&amp;$D31,$B$13:$X$24,Q$30+1,FALSE)*VLOOKUP($C31,Overlap!$A$3:$B$15,2,FALSE)</f>
        <v>89723.554015251881</v>
      </c>
      <c r="R31" s="32">
        <f>$A31*VLOOKUP($B31&amp;$D31,$B$13:$X$24,R$30+1,FALSE)*VLOOKUP($C31,Overlap!$A$3:$B$15,2,FALSE)</f>
        <v>89914.492871777198</v>
      </c>
      <c r="S31" s="32">
        <f>$A31*VLOOKUP($B31&amp;$D31,$B$13:$X$24,S$30+1,FALSE)*VLOOKUP($C31,Overlap!$A$3:$B$15,2,FALSE)</f>
        <v>90113.442828633517</v>
      </c>
      <c r="T31" s="32">
        <f>$A31*VLOOKUP($B31&amp;$D31,$B$13:$X$24,T$30+1,FALSE)*VLOOKUP($C31,Overlap!$A$3:$B$15,2,FALSE)</f>
        <v>90316.902991157069</v>
      </c>
      <c r="U31" s="32">
        <f>$A31*VLOOKUP($B31&amp;$D31,$B$13:$X$24,U$30+1,FALSE)*VLOOKUP($C31,Overlap!$A$3:$B$15,2,FALSE)</f>
        <v>90528.827451043384</v>
      </c>
      <c r="V31" s="32">
        <f>$A31*VLOOKUP($B31&amp;$D31,$B$13:$X$24,V$30+1,FALSE)*VLOOKUP($C31,Overlap!$A$3:$B$15,2,FALSE)</f>
        <v>90747.406318290901</v>
      </c>
      <c r="W31" s="32">
        <f>$A31*VLOOKUP($B31&amp;$D31,$B$13:$X$24,W$30+1,FALSE)*VLOOKUP($C31,Overlap!$A$3:$B$15,2,FALSE)</f>
        <v>90972.898322173889</v>
      </c>
      <c r="X31" s="32">
        <f>$A31*VLOOKUP($B31&amp;$D31,$B$13:$X$24,X$30+1,FALSE)*VLOOKUP($C31,Overlap!$A$3:$B$15,2,FALSE)</f>
        <v>91203.461090970653</v>
      </c>
      <c r="Y31" s="32"/>
      <c r="Z31" s="32" t="str">
        <f>C31&amp;D31</f>
        <v>Wheel/hand line systems: Replace worn nozzle with new flow controlling type nozzle for impact sprinklers Idaho</v>
      </c>
      <c r="AA31" s="41">
        <f>VLOOKUP(B31&amp;D31,$B$13:$X$24,$X$30+1,FALSE)*$AA$29*A31*VLOOKUP($C31,Overlap!$A$3:$B$15,2,FALSE)</f>
        <v>77522.941927325039</v>
      </c>
    </row>
    <row r="32" spans="1:27">
      <c r="A32" s="50">
        <f>INDEX([2]APPLIC!$B$8:$F$67,MATCH($C32,[2]APPLIC!$B$9:$B$67,0)+1,MATCH($D32,[2]APPLIC!$C$8:$F$8,0)+1)</f>
        <v>0.30000000000000004</v>
      </c>
      <c r="B32" s="77" t="s">
        <v>1271</v>
      </c>
      <c r="C32" s="7" t="s">
        <v>1292</v>
      </c>
      <c r="D32" s="7" t="s">
        <v>431</v>
      </c>
      <c r="E32" s="32">
        <f>$A32*VLOOKUP($B32&amp;$D32,$B$13:$X$24,E$30+1,FALSE)*VLOOKUP($C32,Overlap!$A$3:$B$15,2,FALSE)</f>
        <v>88412.550000000017</v>
      </c>
      <c r="F32" s="32">
        <f>$A32*VLOOKUP($B32&amp;$D32,$B$13:$X$24,F$30+1,FALSE)*VLOOKUP($C32,Overlap!$A$3:$B$15,2,FALSE)</f>
        <v>88423.605193851443</v>
      </c>
      <c r="G32" s="32">
        <f>$A32*VLOOKUP($B32&amp;$D32,$B$13:$X$24,G$30+1,FALSE)*VLOOKUP($C32,Overlap!$A$3:$B$15,2,FALSE)</f>
        <v>88438.96957295257</v>
      </c>
      <c r="H32" s="32">
        <f>$A32*VLOOKUP($B32&amp;$D32,$B$13:$X$24,H$30+1,FALSE)*VLOOKUP($C32,Overlap!$A$3:$B$15,2,FALSE)</f>
        <v>88493.103886746525</v>
      </c>
      <c r="I32" s="32">
        <f>$A32*VLOOKUP($B32&amp;$D32,$B$13:$X$24,I$30+1,FALSE)*VLOOKUP($C32,Overlap!$A$3:$B$15,2,FALSE)</f>
        <v>88571.090635775574</v>
      </c>
      <c r="J32" s="32">
        <f>$A32*VLOOKUP($B32&amp;$D32,$B$13:$X$24,J$30+1,FALSE)*VLOOKUP($C32,Overlap!$A$3:$B$15,2,FALSE)</f>
        <v>88670.307725048027</v>
      </c>
      <c r="K32" s="32">
        <f>$A32*VLOOKUP($B32&amp;$D32,$B$13:$X$24,K$30+1,FALSE)*VLOOKUP($C32,Overlap!$A$3:$B$15,2,FALSE)</f>
        <v>88783.077446297058</v>
      </c>
      <c r="L32" s="32">
        <f>$A32*VLOOKUP($B32&amp;$D32,$B$13:$X$24,L$30+1,FALSE)*VLOOKUP($C32,Overlap!$A$3:$B$15,2,FALSE)</f>
        <v>88910.966295439037</v>
      </c>
      <c r="M32" s="32">
        <f>$A32*VLOOKUP($B32&amp;$D32,$B$13:$X$24,M$30+1,FALSE)*VLOOKUP($C32,Overlap!$A$3:$B$15,2,FALSE)</f>
        <v>89052.107087635784</v>
      </c>
      <c r="N32" s="32">
        <f>$A32*VLOOKUP($B32&amp;$D32,$B$13:$X$24,N$30+1,FALSE)*VLOOKUP($C32,Overlap!$A$3:$B$15,2,FALSE)</f>
        <v>89205.318000471845</v>
      </c>
      <c r="O32" s="32">
        <f>$A32*VLOOKUP($B32&amp;$D32,$B$13:$X$24,O$30+1,FALSE)*VLOOKUP($C32,Overlap!$A$3:$B$15,2,FALSE)</f>
        <v>89368.466052953314</v>
      </c>
      <c r="P32" s="32">
        <f>$A32*VLOOKUP($B32&amp;$D32,$B$13:$X$24,P$30+1,FALSE)*VLOOKUP($C32,Overlap!$A$3:$B$15,2,FALSE)</f>
        <v>89541.640153227956</v>
      </c>
      <c r="Q32" s="32">
        <f>$A32*VLOOKUP($B32&amp;$D32,$B$13:$X$24,Q$30+1,FALSE)*VLOOKUP($C32,Overlap!$A$3:$B$15,2,FALSE)</f>
        <v>89723.554015251881</v>
      </c>
      <c r="R32" s="32">
        <f>$A32*VLOOKUP($B32&amp;$D32,$B$13:$X$24,R$30+1,FALSE)*VLOOKUP($C32,Overlap!$A$3:$B$15,2,FALSE)</f>
        <v>89914.492871777198</v>
      </c>
      <c r="S32" s="32">
        <f>$A32*VLOOKUP($B32&amp;$D32,$B$13:$X$24,S$30+1,FALSE)*VLOOKUP($C32,Overlap!$A$3:$B$15,2,FALSE)</f>
        <v>90113.442828633517</v>
      </c>
      <c r="T32" s="32">
        <f>$A32*VLOOKUP($B32&amp;$D32,$B$13:$X$24,T$30+1,FALSE)*VLOOKUP($C32,Overlap!$A$3:$B$15,2,FALSE)</f>
        <v>90316.902991157069</v>
      </c>
      <c r="U32" s="32">
        <f>$A32*VLOOKUP($B32&amp;$D32,$B$13:$X$24,U$30+1,FALSE)*VLOOKUP($C32,Overlap!$A$3:$B$15,2,FALSE)</f>
        <v>90528.827451043384</v>
      </c>
      <c r="V32" s="32">
        <f>$A32*VLOOKUP($B32&amp;$D32,$B$13:$X$24,V$30+1,FALSE)*VLOOKUP($C32,Overlap!$A$3:$B$15,2,FALSE)</f>
        <v>90747.406318290901</v>
      </c>
      <c r="W32" s="32">
        <f>$A32*VLOOKUP($B32&amp;$D32,$B$13:$X$24,W$30+1,FALSE)*VLOOKUP($C32,Overlap!$A$3:$B$15,2,FALSE)</f>
        <v>90972.898322173889</v>
      </c>
      <c r="X32" s="32">
        <f>$A32*VLOOKUP($B32&amp;$D32,$B$13:$X$24,X$30+1,FALSE)*VLOOKUP($C32,Overlap!$A$3:$B$15,2,FALSE)</f>
        <v>91203.461090970653</v>
      </c>
      <c r="Y32" s="32"/>
      <c r="Z32" s="32" t="str">
        <f t="shared" ref="Z32:Z82" si="3">C32&amp;D32</f>
        <v>Wheel/hand line systems: Replace worn nozzle with new nozzle Idaho</v>
      </c>
      <c r="AA32" s="41">
        <f>VLOOKUP(B32&amp;D32,$B$13:$X$24,$X$30+1,FALSE)*$AA$29*A32*VLOOKUP($C32,Overlap!$A$3:$B$15,2,FALSE)</f>
        <v>77522.941927325039</v>
      </c>
    </row>
    <row r="33" spans="1:27">
      <c r="A33" s="50">
        <f>INDEX([2]APPLIC!$B$8:$F$67,MATCH($C33,[2]APPLIC!$B$9:$B$67,0)+1,MATCH($D33,[2]APPLIC!$C$8:$F$8,0)+1)</f>
        <v>0.30000000000000004</v>
      </c>
      <c r="B33" s="77" t="s">
        <v>1271</v>
      </c>
      <c r="C33" s="7" t="s">
        <v>1294</v>
      </c>
      <c r="D33" s="7" t="s">
        <v>431</v>
      </c>
      <c r="E33" s="32">
        <f>$A33*VLOOKUP($B33&amp;$D33,$B$13:$X$24,E$30+1,FALSE)*VLOOKUP($C33,Overlap!$A$3:$B$15,2,FALSE)</f>
        <v>176825.10000000003</v>
      </c>
      <c r="F33" s="32">
        <f>$A33*VLOOKUP($B33&amp;$D33,$B$13:$X$24,F$30+1,FALSE)*VLOOKUP($C33,Overlap!$A$3:$B$15,2,FALSE)</f>
        <v>176847.21038770289</v>
      </c>
      <c r="G33" s="32">
        <f>$A33*VLOOKUP($B33&amp;$D33,$B$13:$X$24,G$30+1,FALSE)*VLOOKUP($C33,Overlap!$A$3:$B$15,2,FALSE)</f>
        <v>176877.93914590514</v>
      </c>
      <c r="H33" s="32">
        <f>$A33*VLOOKUP($B33&amp;$D33,$B$13:$X$24,H$30+1,FALSE)*VLOOKUP($C33,Overlap!$A$3:$B$15,2,FALSE)</f>
        <v>176986.20777349305</v>
      </c>
      <c r="I33" s="32">
        <f>$A33*VLOOKUP($B33&amp;$D33,$B$13:$X$24,I$30+1,FALSE)*VLOOKUP($C33,Overlap!$A$3:$B$15,2,FALSE)</f>
        <v>177142.18127155115</v>
      </c>
      <c r="J33" s="32">
        <f>$A33*VLOOKUP($B33&amp;$D33,$B$13:$X$24,J$30+1,FALSE)*VLOOKUP($C33,Overlap!$A$3:$B$15,2,FALSE)</f>
        <v>177340.61545009605</v>
      </c>
      <c r="K33" s="32">
        <f>$A33*VLOOKUP($B33&amp;$D33,$B$13:$X$24,K$30+1,FALSE)*VLOOKUP($C33,Overlap!$A$3:$B$15,2,FALSE)</f>
        <v>177566.15489259412</v>
      </c>
      <c r="L33" s="32">
        <f>$A33*VLOOKUP($B33&amp;$D33,$B$13:$X$24,L$30+1,FALSE)*VLOOKUP($C33,Overlap!$A$3:$B$15,2,FALSE)</f>
        <v>177821.93259087807</v>
      </c>
      <c r="M33" s="32">
        <f>$A33*VLOOKUP($B33&amp;$D33,$B$13:$X$24,M$30+1,FALSE)*VLOOKUP($C33,Overlap!$A$3:$B$15,2,FALSE)</f>
        <v>178104.21417527157</v>
      </c>
      <c r="N33" s="32">
        <f>$A33*VLOOKUP($B33&amp;$D33,$B$13:$X$24,N$30+1,FALSE)*VLOOKUP($C33,Overlap!$A$3:$B$15,2,FALSE)</f>
        <v>178410.63600094369</v>
      </c>
      <c r="O33" s="32">
        <f>$A33*VLOOKUP($B33&amp;$D33,$B$13:$X$24,O$30+1,FALSE)*VLOOKUP($C33,Overlap!$A$3:$B$15,2,FALSE)</f>
        <v>178736.93210590663</v>
      </c>
      <c r="P33" s="32">
        <f>$A33*VLOOKUP($B33&amp;$D33,$B$13:$X$24,P$30+1,FALSE)*VLOOKUP($C33,Overlap!$A$3:$B$15,2,FALSE)</f>
        <v>179083.28030645591</v>
      </c>
      <c r="Q33" s="32">
        <f>$A33*VLOOKUP($B33&amp;$D33,$B$13:$X$24,Q$30+1,FALSE)*VLOOKUP($C33,Overlap!$A$3:$B$15,2,FALSE)</f>
        <v>179447.10803050376</v>
      </c>
      <c r="R33" s="32">
        <f>$A33*VLOOKUP($B33&amp;$D33,$B$13:$X$24,R$30+1,FALSE)*VLOOKUP($C33,Overlap!$A$3:$B$15,2,FALSE)</f>
        <v>179828.9857435544</v>
      </c>
      <c r="S33" s="32">
        <f>$A33*VLOOKUP($B33&amp;$D33,$B$13:$X$24,S$30+1,FALSE)*VLOOKUP($C33,Overlap!$A$3:$B$15,2,FALSE)</f>
        <v>180226.88565726703</v>
      </c>
      <c r="T33" s="32">
        <f>$A33*VLOOKUP($B33&amp;$D33,$B$13:$X$24,T$30+1,FALSE)*VLOOKUP($C33,Overlap!$A$3:$B$15,2,FALSE)</f>
        <v>180633.80598231414</v>
      </c>
      <c r="U33" s="32">
        <f>$A33*VLOOKUP($B33&amp;$D33,$B$13:$X$24,U$30+1,FALSE)*VLOOKUP($C33,Overlap!$A$3:$B$15,2,FALSE)</f>
        <v>181057.65490208677</v>
      </c>
      <c r="V33" s="32">
        <f>$A33*VLOOKUP($B33&amp;$D33,$B$13:$X$24,V$30+1,FALSE)*VLOOKUP($C33,Overlap!$A$3:$B$15,2,FALSE)</f>
        <v>181494.8126365818</v>
      </c>
      <c r="W33" s="32">
        <f>$A33*VLOOKUP($B33&amp;$D33,$B$13:$X$24,W$30+1,FALSE)*VLOOKUP($C33,Overlap!$A$3:$B$15,2,FALSE)</f>
        <v>181945.79664434778</v>
      </c>
      <c r="X33" s="32">
        <f>$A33*VLOOKUP($B33&amp;$D33,$B$13:$X$24,X$30+1,FALSE)*VLOOKUP($C33,Overlap!$A$3:$B$15,2,FALSE)</f>
        <v>182406.92218194131</v>
      </c>
      <c r="Y33" s="32"/>
      <c r="Z33" s="32" t="str">
        <f t="shared" si="3"/>
        <v>Wheel/hand line systems: Rebuild or replace leaking impact sprinkler with new or rebuilt impact sprinkler Idaho</v>
      </c>
      <c r="AA33" s="41">
        <f>VLOOKUP(B33&amp;D33,$B$13:$X$24,$X$30+1,FALSE)*$AA$29*A33*VLOOKUP($C33,Overlap!$A$3:$B$15,2,FALSE)</f>
        <v>155045.88385465008</v>
      </c>
    </row>
    <row r="34" spans="1:27">
      <c r="A34" s="50">
        <f>INDEX([2]APPLIC!$B$8:$F$67,MATCH($C34,[2]APPLIC!$B$9:$B$67,0)+1,MATCH($D34,[2]APPLIC!$C$8:$F$8,0)+1)</f>
        <v>0.30000000000000004</v>
      </c>
      <c r="B34" s="77" t="s">
        <v>1271</v>
      </c>
      <c r="C34" s="7" t="s">
        <v>1296</v>
      </c>
      <c r="D34" s="7" t="s">
        <v>431</v>
      </c>
      <c r="E34" s="32">
        <f>$A34*VLOOKUP($B34&amp;$D34,$B$13:$X$24,E$30+1,FALSE)*VLOOKUP($C34,Overlap!$A$3:$B$15,2,FALSE)</f>
        <v>176825.10000000003</v>
      </c>
      <c r="F34" s="32">
        <f>$A34*VLOOKUP($B34&amp;$D34,$B$13:$X$24,F$30+1,FALSE)*VLOOKUP($C34,Overlap!$A$3:$B$15,2,FALSE)</f>
        <v>176847.21038770289</v>
      </c>
      <c r="G34" s="32">
        <f>$A34*VLOOKUP($B34&amp;$D34,$B$13:$X$24,G$30+1,FALSE)*VLOOKUP($C34,Overlap!$A$3:$B$15,2,FALSE)</f>
        <v>176877.93914590514</v>
      </c>
      <c r="H34" s="32">
        <f>$A34*VLOOKUP($B34&amp;$D34,$B$13:$X$24,H$30+1,FALSE)*VLOOKUP($C34,Overlap!$A$3:$B$15,2,FALSE)</f>
        <v>176986.20777349305</v>
      </c>
      <c r="I34" s="32">
        <f>$A34*VLOOKUP($B34&amp;$D34,$B$13:$X$24,I$30+1,FALSE)*VLOOKUP($C34,Overlap!$A$3:$B$15,2,FALSE)</f>
        <v>177142.18127155115</v>
      </c>
      <c r="J34" s="32">
        <f>$A34*VLOOKUP($B34&amp;$D34,$B$13:$X$24,J$30+1,FALSE)*VLOOKUP($C34,Overlap!$A$3:$B$15,2,FALSE)</f>
        <v>177340.61545009605</v>
      </c>
      <c r="K34" s="32">
        <f>$A34*VLOOKUP($B34&amp;$D34,$B$13:$X$24,K$30+1,FALSE)*VLOOKUP($C34,Overlap!$A$3:$B$15,2,FALSE)</f>
        <v>177566.15489259412</v>
      </c>
      <c r="L34" s="32">
        <f>$A34*VLOOKUP($B34&amp;$D34,$B$13:$X$24,L$30+1,FALSE)*VLOOKUP($C34,Overlap!$A$3:$B$15,2,FALSE)</f>
        <v>177821.93259087807</v>
      </c>
      <c r="M34" s="32">
        <f>$A34*VLOOKUP($B34&amp;$D34,$B$13:$X$24,M$30+1,FALSE)*VLOOKUP($C34,Overlap!$A$3:$B$15,2,FALSE)</f>
        <v>178104.21417527157</v>
      </c>
      <c r="N34" s="32">
        <f>$A34*VLOOKUP($B34&amp;$D34,$B$13:$X$24,N$30+1,FALSE)*VLOOKUP($C34,Overlap!$A$3:$B$15,2,FALSE)</f>
        <v>178410.63600094369</v>
      </c>
      <c r="O34" s="32">
        <f>$A34*VLOOKUP($B34&amp;$D34,$B$13:$X$24,O$30+1,FALSE)*VLOOKUP($C34,Overlap!$A$3:$B$15,2,FALSE)</f>
        <v>178736.93210590663</v>
      </c>
      <c r="P34" s="32">
        <f>$A34*VLOOKUP($B34&amp;$D34,$B$13:$X$24,P$30+1,FALSE)*VLOOKUP($C34,Overlap!$A$3:$B$15,2,FALSE)</f>
        <v>179083.28030645591</v>
      </c>
      <c r="Q34" s="32">
        <f>$A34*VLOOKUP($B34&amp;$D34,$B$13:$X$24,Q$30+1,FALSE)*VLOOKUP($C34,Overlap!$A$3:$B$15,2,FALSE)</f>
        <v>179447.10803050376</v>
      </c>
      <c r="R34" s="32">
        <f>$A34*VLOOKUP($B34&amp;$D34,$B$13:$X$24,R$30+1,FALSE)*VLOOKUP($C34,Overlap!$A$3:$B$15,2,FALSE)</f>
        <v>179828.9857435544</v>
      </c>
      <c r="S34" s="32">
        <f>$A34*VLOOKUP($B34&amp;$D34,$B$13:$X$24,S$30+1,FALSE)*VLOOKUP($C34,Overlap!$A$3:$B$15,2,FALSE)</f>
        <v>180226.88565726703</v>
      </c>
      <c r="T34" s="32">
        <f>$A34*VLOOKUP($B34&amp;$D34,$B$13:$X$24,T$30+1,FALSE)*VLOOKUP($C34,Overlap!$A$3:$B$15,2,FALSE)</f>
        <v>180633.80598231414</v>
      </c>
      <c r="U34" s="32">
        <f>$A34*VLOOKUP($B34&amp;$D34,$B$13:$X$24,U$30+1,FALSE)*VLOOKUP($C34,Overlap!$A$3:$B$15,2,FALSE)</f>
        <v>181057.65490208677</v>
      </c>
      <c r="V34" s="32">
        <f>$A34*VLOOKUP($B34&amp;$D34,$B$13:$X$24,V$30+1,FALSE)*VLOOKUP($C34,Overlap!$A$3:$B$15,2,FALSE)</f>
        <v>181494.8126365818</v>
      </c>
      <c r="W34" s="32">
        <f>$A34*VLOOKUP($B34&amp;$D34,$B$13:$X$24,W$30+1,FALSE)*VLOOKUP($C34,Overlap!$A$3:$B$15,2,FALSE)</f>
        <v>181945.79664434778</v>
      </c>
      <c r="X34" s="32">
        <f>$A34*VLOOKUP($B34&amp;$D34,$B$13:$X$24,X$30+1,FALSE)*VLOOKUP($C34,Overlap!$A$3:$B$15,2,FALSE)</f>
        <v>182406.92218194131</v>
      </c>
      <c r="Y34" s="32"/>
      <c r="Z34" s="32" t="str">
        <f t="shared" si="3"/>
        <v>Wheel/hand line systems: Replace leaking gasket with new gasket Idaho</v>
      </c>
      <c r="AA34" s="41">
        <f>VLOOKUP(B34&amp;D34,$B$13:$X$24,$X$30+1,FALSE)*$AA$29*A34*VLOOKUP($C34,Overlap!$A$3:$B$15,2,FALSE)</f>
        <v>155045.88385465008</v>
      </c>
    </row>
    <row r="35" spans="1:27">
      <c r="A35" s="50">
        <f>INDEX([2]APPLIC!$B$8:$F$67,MATCH($C35,[2]APPLIC!$B$9:$B$67,0)+1,MATCH($D35,[2]APPLIC!$C$8:$F$8,0)+1)</f>
        <v>0.30000000000000004</v>
      </c>
      <c r="B35" s="77" t="s">
        <v>1271</v>
      </c>
      <c r="C35" s="7" t="s">
        <v>1298</v>
      </c>
      <c r="D35" s="7" t="s">
        <v>431</v>
      </c>
      <c r="E35" s="32">
        <f>$A35*VLOOKUP($B35&amp;$D35,$B$13:$X$24,E$30+1,FALSE)*VLOOKUP($C35,Overlap!$A$3:$B$15,2,FALSE)</f>
        <v>176825.10000000003</v>
      </c>
      <c r="F35" s="32">
        <f>$A35*VLOOKUP($B35&amp;$D35,$B$13:$X$24,F$30+1,FALSE)*VLOOKUP($C35,Overlap!$A$3:$B$15,2,FALSE)</f>
        <v>176847.21038770289</v>
      </c>
      <c r="G35" s="32">
        <f>$A35*VLOOKUP($B35&amp;$D35,$B$13:$X$24,G$30+1,FALSE)*VLOOKUP($C35,Overlap!$A$3:$B$15,2,FALSE)</f>
        <v>176877.93914590514</v>
      </c>
      <c r="H35" s="32">
        <f>$A35*VLOOKUP($B35&amp;$D35,$B$13:$X$24,H$30+1,FALSE)*VLOOKUP($C35,Overlap!$A$3:$B$15,2,FALSE)</f>
        <v>176986.20777349305</v>
      </c>
      <c r="I35" s="32">
        <f>$A35*VLOOKUP($B35&amp;$D35,$B$13:$X$24,I$30+1,FALSE)*VLOOKUP($C35,Overlap!$A$3:$B$15,2,FALSE)</f>
        <v>177142.18127155115</v>
      </c>
      <c r="J35" s="32">
        <f>$A35*VLOOKUP($B35&amp;$D35,$B$13:$X$24,J$30+1,FALSE)*VLOOKUP($C35,Overlap!$A$3:$B$15,2,FALSE)</f>
        <v>177340.61545009605</v>
      </c>
      <c r="K35" s="32">
        <f>$A35*VLOOKUP($B35&amp;$D35,$B$13:$X$24,K$30+1,FALSE)*VLOOKUP($C35,Overlap!$A$3:$B$15,2,FALSE)</f>
        <v>177566.15489259412</v>
      </c>
      <c r="L35" s="32">
        <f>$A35*VLOOKUP($B35&amp;$D35,$B$13:$X$24,L$30+1,FALSE)*VLOOKUP($C35,Overlap!$A$3:$B$15,2,FALSE)</f>
        <v>177821.93259087807</v>
      </c>
      <c r="M35" s="32">
        <f>$A35*VLOOKUP($B35&amp;$D35,$B$13:$X$24,M$30+1,FALSE)*VLOOKUP($C35,Overlap!$A$3:$B$15,2,FALSE)</f>
        <v>178104.21417527157</v>
      </c>
      <c r="N35" s="32">
        <f>$A35*VLOOKUP($B35&amp;$D35,$B$13:$X$24,N$30+1,FALSE)*VLOOKUP($C35,Overlap!$A$3:$B$15,2,FALSE)</f>
        <v>178410.63600094369</v>
      </c>
      <c r="O35" s="32">
        <f>$A35*VLOOKUP($B35&amp;$D35,$B$13:$X$24,O$30+1,FALSE)*VLOOKUP($C35,Overlap!$A$3:$B$15,2,FALSE)</f>
        <v>178736.93210590663</v>
      </c>
      <c r="P35" s="32">
        <f>$A35*VLOOKUP($B35&amp;$D35,$B$13:$X$24,P$30+1,FALSE)*VLOOKUP($C35,Overlap!$A$3:$B$15,2,FALSE)</f>
        <v>179083.28030645591</v>
      </c>
      <c r="Q35" s="32">
        <f>$A35*VLOOKUP($B35&amp;$D35,$B$13:$X$24,Q$30+1,FALSE)*VLOOKUP($C35,Overlap!$A$3:$B$15,2,FALSE)</f>
        <v>179447.10803050376</v>
      </c>
      <c r="R35" s="32">
        <f>$A35*VLOOKUP($B35&amp;$D35,$B$13:$X$24,R$30+1,FALSE)*VLOOKUP($C35,Overlap!$A$3:$B$15,2,FALSE)</f>
        <v>179828.9857435544</v>
      </c>
      <c r="S35" s="32">
        <f>$A35*VLOOKUP($B35&amp;$D35,$B$13:$X$24,S$30+1,FALSE)*VLOOKUP($C35,Overlap!$A$3:$B$15,2,FALSE)</f>
        <v>180226.88565726703</v>
      </c>
      <c r="T35" s="32">
        <f>$A35*VLOOKUP($B35&amp;$D35,$B$13:$X$24,T$30+1,FALSE)*VLOOKUP($C35,Overlap!$A$3:$B$15,2,FALSE)</f>
        <v>180633.80598231414</v>
      </c>
      <c r="U35" s="32">
        <f>$A35*VLOOKUP($B35&amp;$D35,$B$13:$X$24,U$30+1,FALSE)*VLOOKUP($C35,Overlap!$A$3:$B$15,2,FALSE)</f>
        <v>181057.65490208677</v>
      </c>
      <c r="V35" s="32">
        <f>$A35*VLOOKUP($B35&amp;$D35,$B$13:$X$24,V$30+1,FALSE)*VLOOKUP($C35,Overlap!$A$3:$B$15,2,FALSE)</f>
        <v>181494.8126365818</v>
      </c>
      <c r="W35" s="32">
        <f>$A35*VLOOKUP($B35&amp;$D35,$B$13:$X$24,W$30+1,FALSE)*VLOOKUP($C35,Overlap!$A$3:$B$15,2,FALSE)</f>
        <v>181945.79664434778</v>
      </c>
      <c r="X35" s="32">
        <f>$A35*VLOOKUP($B35&amp;$D35,$B$13:$X$24,X$30+1,FALSE)*VLOOKUP($C35,Overlap!$A$3:$B$15,2,FALSE)</f>
        <v>182406.92218194131</v>
      </c>
      <c r="Y35" s="32"/>
      <c r="Z35" s="32" t="str">
        <f t="shared" si="3"/>
        <v>Wheel/hand line systems: Replace leaking drain with new drain Idaho</v>
      </c>
      <c r="AA35" s="41">
        <f>VLOOKUP(B35&amp;D35,$B$13:$X$24,$X$30+1,FALSE)*$AA$29*A35*VLOOKUP($C35,Overlap!$A$3:$B$15,2,FALSE)</f>
        <v>155045.88385465008</v>
      </c>
    </row>
    <row r="36" spans="1:27">
      <c r="A36" s="50">
        <f>INDEX([2]APPLIC!$B$8:$F$67,MATCH($C36,[2]APPLIC!$B$9:$B$67,0)+1,MATCH($D36,[2]APPLIC!$C$8:$F$8,0)+1)</f>
        <v>0.30000000000000004</v>
      </c>
      <c r="B36" s="77" t="s">
        <v>1271</v>
      </c>
      <c r="C36" s="7" t="s">
        <v>1300</v>
      </c>
      <c r="D36" s="7" t="s">
        <v>431</v>
      </c>
      <c r="E36" s="32">
        <f>$A36*VLOOKUP($B36&amp;$D36,$B$13:$X$24,E$30+1,FALSE)*VLOOKUP($C36,Overlap!$A$3:$B$15,2,FALSE)</f>
        <v>176825.10000000003</v>
      </c>
      <c r="F36" s="32">
        <f>$A36*VLOOKUP($B36&amp;$D36,$B$13:$X$24,F$30+1,FALSE)*VLOOKUP($C36,Overlap!$A$3:$B$15,2,FALSE)</f>
        <v>176847.21038770289</v>
      </c>
      <c r="G36" s="32">
        <f>$A36*VLOOKUP($B36&amp;$D36,$B$13:$X$24,G$30+1,FALSE)*VLOOKUP($C36,Overlap!$A$3:$B$15,2,FALSE)</f>
        <v>176877.93914590514</v>
      </c>
      <c r="H36" s="32">
        <f>$A36*VLOOKUP($B36&amp;$D36,$B$13:$X$24,H$30+1,FALSE)*VLOOKUP($C36,Overlap!$A$3:$B$15,2,FALSE)</f>
        <v>176986.20777349305</v>
      </c>
      <c r="I36" s="32">
        <f>$A36*VLOOKUP($B36&amp;$D36,$B$13:$X$24,I$30+1,FALSE)*VLOOKUP($C36,Overlap!$A$3:$B$15,2,FALSE)</f>
        <v>177142.18127155115</v>
      </c>
      <c r="J36" s="32">
        <f>$A36*VLOOKUP($B36&amp;$D36,$B$13:$X$24,J$30+1,FALSE)*VLOOKUP($C36,Overlap!$A$3:$B$15,2,FALSE)</f>
        <v>177340.61545009605</v>
      </c>
      <c r="K36" s="32">
        <f>$A36*VLOOKUP($B36&amp;$D36,$B$13:$X$24,K$30+1,FALSE)*VLOOKUP($C36,Overlap!$A$3:$B$15,2,FALSE)</f>
        <v>177566.15489259412</v>
      </c>
      <c r="L36" s="32">
        <f>$A36*VLOOKUP($B36&amp;$D36,$B$13:$X$24,L$30+1,FALSE)*VLOOKUP($C36,Overlap!$A$3:$B$15,2,FALSE)</f>
        <v>177821.93259087807</v>
      </c>
      <c r="M36" s="32">
        <f>$A36*VLOOKUP($B36&amp;$D36,$B$13:$X$24,M$30+1,FALSE)*VLOOKUP($C36,Overlap!$A$3:$B$15,2,FALSE)</f>
        <v>178104.21417527157</v>
      </c>
      <c r="N36" s="32">
        <f>$A36*VLOOKUP($B36&amp;$D36,$B$13:$X$24,N$30+1,FALSE)*VLOOKUP($C36,Overlap!$A$3:$B$15,2,FALSE)</f>
        <v>178410.63600094369</v>
      </c>
      <c r="O36" s="32">
        <f>$A36*VLOOKUP($B36&amp;$D36,$B$13:$X$24,O$30+1,FALSE)*VLOOKUP($C36,Overlap!$A$3:$B$15,2,FALSE)</f>
        <v>178736.93210590663</v>
      </c>
      <c r="P36" s="32">
        <f>$A36*VLOOKUP($B36&amp;$D36,$B$13:$X$24,P$30+1,FALSE)*VLOOKUP($C36,Overlap!$A$3:$B$15,2,FALSE)</f>
        <v>179083.28030645591</v>
      </c>
      <c r="Q36" s="32">
        <f>$A36*VLOOKUP($B36&amp;$D36,$B$13:$X$24,Q$30+1,FALSE)*VLOOKUP($C36,Overlap!$A$3:$B$15,2,FALSE)</f>
        <v>179447.10803050376</v>
      </c>
      <c r="R36" s="32">
        <f>$A36*VLOOKUP($B36&amp;$D36,$B$13:$X$24,R$30+1,FALSE)*VLOOKUP($C36,Overlap!$A$3:$B$15,2,FALSE)</f>
        <v>179828.9857435544</v>
      </c>
      <c r="S36" s="32">
        <f>$A36*VLOOKUP($B36&amp;$D36,$B$13:$X$24,S$30+1,FALSE)*VLOOKUP($C36,Overlap!$A$3:$B$15,2,FALSE)</f>
        <v>180226.88565726703</v>
      </c>
      <c r="T36" s="32">
        <f>$A36*VLOOKUP($B36&amp;$D36,$B$13:$X$24,T$30+1,FALSE)*VLOOKUP($C36,Overlap!$A$3:$B$15,2,FALSE)</f>
        <v>180633.80598231414</v>
      </c>
      <c r="U36" s="32">
        <f>$A36*VLOOKUP($B36&amp;$D36,$B$13:$X$24,U$30+1,FALSE)*VLOOKUP($C36,Overlap!$A$3:$B$15,2,FALSE)</f>
        <v>181057.65490208677</v>
      </c>
      <c r="V36" s="32">
        <f>$A36*VLOOKUP($B36&amp;$D36,$B$13:$X$24,V$30+1,FALSE)*VLOOKUP($C36,Overlap!$A$3:$B$15,2,FALSE)</f>
        <v>181494.8126365818</v>
      </c>
      <c r="W36" s="32">
        <f>$A36*VLOOKUP($B36&amp;$D36,$B$13:$X$24,W$30+1,FALSE)*VLOOKUP($C36,Overlap!$A$3:$B$15,2,FALSE)</f>
        <v>181945.79664434778</v>
      </c>
      <c r="X36" s="32">
        <f>$A36*VLOOKUP($B36&amp;$D36,$B$13:$X$24,X$30+1,FALSE)*VLOOKUP($C36,Overlap!$A$3:$B$15,2,FALSE)</f>
        <v>182406.92218194131</v>
      </c>
      <c r="Y36" s="32"/>
      <c r="Z36" s="32" t="str">
        <f t="shared" si="3"/>
        <v>Wheel/hand line systems: Cut and pipe press repair of leaking hand-lines, wheel-lines, and portable main-lines Idaho</v>
      </c>
      <c r="AA36" s="41">
        <f>VLOOKUP(B36&amp;D36,$B$13:$X$24,$X$30+1,FALSE)*$AA$29*A36*VLOOKUP($C36,Overlap!$A$3:$B$15,2,FALSE)</f>
        <v>155045.88385465008</v>
      </c>
    </row>
    <row r="37" spans="1:27">
      <c r="A37" s="50">
        <f>INDEX([2]APPLIC!$B$8:$F$67,MATCH($C37,[2]APPLIC!$B$9:$B$67,0)+1,MATCH($D37,[2]APPLIC!$C$8:$F$8,0)+1)</f>
        <v>0.30000000000000004</v>
      </c>
      <c r="B37" s="77" t="s">
        <v>1273</v>
      </c>
      <c r="C37" s="7" t="s">
        <v>1302</v>
      </c>
      <c r="D37" s="7" t="s">
        <v>431</v>
      </c>
      <c r="E37" s="32">
        <f>$A37*VLOOKUP($B37&amp;$D37,$B$13:$X$24,E$30+1,FALSE)*VLOOKUP($C37,Overlap!$A$3:$B$15,2,FALSE)</f>
        <v>37437.600000000006</v>
      </c>
      <c r="F37" s="32">
        <f>$A37*VLOOKUP($B37&amp;$D37,$B$13:$X$24,F$30+1,FALSE)*VLOOKUP($C37,Overlap!$A$3:$B$15,2,FALSE)</f>
        <v>37442.281235020731</v>
      </c>
      <c r="G37" s="32">
        <f>$A37*VLOOKUP($B37&amp;$D37,$B$13:$X$24,G$30+1,FALSE)*VLOOKUP($C37,Overlap!$A$3:$B$15,2,FALSE)</f>
        <v>37448.787160695727</v>
      </c>
      <c r="H37" s="32">
        <f>$A37*VLOOKUP($B37&amp;$D37,$B$13:$X$24,H$30+1,FALSE)*VLOOKUP($C37,Overlap!$A$3:$B$15,2,FALSE)</f>
        <v>37471.709910758836</v>
      </c>
      <c r="I37" s="32">
        <f>$A37*VLOOKUP($B37&amp;$D37,$B$13:$X$24,I$30+1,FALSE)*VLOOKUP($C37,Overlap!$A$3:$B$15,2,FALSE)</f>
        <v>37504.732787210771</v>
      </c>
      <c r="J37" s="32">
        <f>$A37*VLOOKUP($B37&amp;$D37,$B$13:$X$24,J$30+1,FALSE)*VLOOKUP($C37,Overlap!$A$3:$B$15,2,FALSE)</f>
        <v>37546.745484518404</v>
      </c>
      <c r="K37" s="32">
        <f>$A37*VLOOKUP($B37&amp;$D37,$B$13:$X$24,K$30+1,FALSE)*VLOOKUP($C37,Overlap!$A$3:$B$15,2,FALSE)</f>
        <v>37594.496937408665</v>
      </c>
      <c r="L37" s="32">
        <f>$A37*VLOOKUP($B37&amp;$D37,$B$13:$X$24,L$30+1,FALSE)*VLOOKUP($C37,Overlap!$A$3:$B$15,2,FALSE)</f>
        <v>37648.650466275743</v>
      </c>
      <c r="M37" s="32">
        <f>$A37*VLOOKUP($B37&amp;$D37,$B$13:$X$24,M$30+1,FALSE)*VLOOKUP($C37,Overlap!$A$3:$B$15,2,FALSE)</f>
        <v>37708.415426362808</v>
      </c>
      <c r="N37" s="32">
        <f>$A37*VLOOKUP($B37&amp;$D37,$B$13:$X$24,N$30+1,FALSE)*VLOOKUP($C37,Overlap!$A$3:$B$15,2,FALSE)</f>
        <v>37773.291384248776</v>
      </c>
      <c r="O37" s="32">
        <f>$A37*VLOOKUP($B37&amp;$D37,$B$13:$X$24,O$30+1,FALSE)*VLOOKUP($C37,Overlap!$A$3:$B$15,2,FALSE)</f>
        <v>37842.375145881946</v>
      </c>
      <c r="P37" s="32">
        <f>$A37*VLOOKUP($B37&amp;$D37,$B$13:$X$24,P$30+1,FALSE)*VLOOKUP($C37,Overlap!$A$3:$B$15,2,FALSE)</f>
        <v>37915.704358719282</v>
      </c>
      <c r="Q37" s="32">
        <f>$A37*VLOOKUP($B37&amp;$D37,$B$13:$X$24,Q$30+1,FALSE)*VLOOKUP($C37,Overlap!$A$3:$B$15,2,FALSE)</f>
        <v>37992.73435503662</v>
      </c>
      <c r="R37" s="32">
        <f>$A37*VLOOKUP($B37&amp;$D37,$B$13:$X$24,R$30+1,FALSE)*VLOOKUP($C37,Overlap!$A$3:$B$15,2,FALSE)</f>
        <v>38073.585914402931</v>
      </c>
      <c r="S37" s="32">
        <f>$A37*VLOOKUP($B37&amp;$D37,$B$13:$X$24,S$30+1,FALSE)*VLOOKUP($C37,Overlap!$A$3:$B$15,2,FALSE)</f>
        <v>38157.829711293809</v>
      </c>
      <c r="T37" s="32">
        <f>$A37*VLOOKUP($B37&amp;$D37,$B$13:$X$24,T$30+1,FALSE)*VLOOKUP($C37,Overlap!$A$3:$B$15,2,FALSE)</f>
        <v>38243.983319356143</v>
      </c>
      <c r="U37" s="32">
        <f>$A37*VLOOKUP($B37&amp;$D37,$B$13:$X$24,U$30+1,FALSE)*VLOOKUP($C37,Overlap!$A$3:$B$15,2,FALSE)</f>
        <v>38333.721067667211</v>
      </c>
      <c r="V37" s="32">
        <f>$A37*VLOOKUP($B37&amp;$D37,$B$13:$X$24,V$30+1,FALSE)*VLOOKUP($C37,Overlap!$A$3:$B$15,2,FALSE)</f>
        <v>38426.276572518786</v>
      </c>
      <c r="W37" s="32">
        <f>$A37*VLOOKUP($B37&amp;$D37,$B$13:$X$24,W$30+1,FALSE)*VLOOKUP($C37,Overlap!$A$3:$B$15,2,FALSE)</f>
        <v>38521.759390790285</v>
      </c>
      <c r="X37" s="32">
        <f>$A37*VLOOKUP($B37&amp;$D37,$B$13:$X$24,X$30+1,FALSE)*VLOOKUP($C37,Overlap!$A$3:$B$15,2,FALSE)</f>
        <v>38619.389384644164</v>
      </c>
      <c r="Y37" s="32"/>
      <c r="Z37" s="32" t="str">
        <f t="shared" si="3"/>
        <v>Thunderbird wheel line systems: Replace leaking hub with new hub Idaho</v>
      </c>
      <c r="AA37" s="41">
        <f>VLOOKUP(B37&amp;D37,$B$13:$X$24,$X$30+1,FALSE)*$AA$29*A37*VLOOKUP($C37,Overlap!$A$3:$B$15,2,FALSE)</f>
        <v>32826.480976947532</v>
      </c>
    </row>
    <row r="38" spans="1:27">
      <c r="A38" s="50">
        <f>INDEX([2]APPLIC!$B$8:$F$67,MATCH($C38,[2]APPLIC!$B$9:$B$67,0)+1,MATCH($D38,[2]APPLIC!$C$8:$F$8,0)+1)</f>
        <v>0.30000000000000004</v>
      </c>
      <c r="B38" s="77" t="s">
        <v>1273</v>
      </c>
      <c r="C38" s="7" t="s">
        <v>1304</v>
      </c>
      <c r="D38" s="7" t="s">
        <v>431</v>
      </c>
      <c r="E38" s="32">
        <f>$A38*VLOOKUP($B38&amp;$D38,$B$13:$X$24,E$30+1,FALSE)*VLOOKUP($C38,Overlap!$A$3:$B$15,2,FALSE)</f>
        <v>37437.600000000006</v>
      </c>
      <c r="F38" s="32">
        <f>$A38*VLOOKUP($B38&amp;$D38,$B$13:$X$24,F$30+1,FALSE)*VLOOKUP($C38,Overlap!$A$3:$B$15,2,FALSE)</f>
        <v>37442.281235020731</v>
      </c>
      <c r="G38" s="32">
        <f>$A38*VLOOKUP($B38&amp;$D38,$B$13:$X$24,G$30+1,FALSE)*VLOOKUP($C38,Overlap!$A$3:$B$15,2,FALSE)</f>
        <v>37448.787160695727</v>
      </c>
      <c r="H38" s="32">
        <f>$A38*VLOOKUP($B38&amp;$D38,$B$13:$X$24,H$30+1,FALSE)*VLOOKUP($C38,Overlap!$A$3:$B$15,2,FALSE)</f>
        <v>37471.709910758836</v>
      </c>
      <c r="I38" s="32">
        <f>$A38*VLOOKUP($B38&amp;$D38,$B$13:$X$24,I$30+1,FALSE)*VLOOKUP($C38,Overlap!$A$3:$B$15,2,FALSE)</f>
        <v>37504.732787210771</v>
      </c>
      <c r="J38" s="32">
        <f>$A38*VLOOKUP($B38&amp;$D38,$B$13:$X$24,J$30+1,FALSE)*VLOOKUP($C38,Overlap!$A$3:$B$15,2,FALSE)</f>
        <v>37546.745484518404</v>
      </c>
      <c r="K38" s="32">
        <f>$A38*VLOOKUP($B38&amp;$D38,$B$13:$X$24,K$30+1,FALSE)*VLOOKUP($C38,Overlap!$A$3:$B$15,2,FALSE)</f>
        <v>37594.496937408665</v>
      </c>
      <c r="L38" s="32">
        <f>$A38*VLOOKUP($B38&amp;$D38,$B$13:$X$24,L$30+1,FALSE)*VLOOKUP($C38,Overlap!$A$3:$B$15,2,FALSE)</f>
        <v>37648.650466275743</v>
      </c>
      <c r="M38" s="32">
        <f>$A38*VLOOKUP($B38&amp;$D38,$B$13:$X$24,M$30+1,FALSE)*VLOOKUP($C38,Overlap!$A$3:$B$15,2,FALSE)</f>
        <v>37708.415426362808</v>
      </c>
      <c r="N38" s="32">
        <f>$A38*VLOOKUP($B38&amp;$D38,$B$13:$X$24,N$30+1,FALSE)*VLOOKUP($C38,Overlap!$A$3:$B$15,2,FALSE)</f>
        <v>37773.291384248776</v>
      </c>
      <c r="O38" s="32">
        <f>$A38*VLOOKUP($B38&amp;$D38,$B$13:$X$24,O$30+1,FALSE)*VLOOKUP($C38,Overlap!$A$3:$B$15,2,FALSE)</f>
        <v>37842.375145881946</v>
      </c>
      <c r="P38" s="32">
        <f>$A38*VLOOKUP($B38&amp;$D38,$B$13:$X$24,P$30+1,FALSE)*VLOOKUP($C38,Overlap!$A$3:$B$15,2,FALSE)</f>
        <v>37915.704358719282</v>
      </c>
      <c r="Q38" s="32">
        <f>$A38*VLOOKUP($B38&amp;$D38,$B$13:$X$24,Q$30+1,FALSE)*VLOOKUP($C38,Overlap!$A$3:$B$15,2,FALSE)</f>
        <v>37992.73435503662</v>
      </c>
      <c r="R38" s="32">
        <f>$A38*VLOOKUP($B38&amp;$D38,$B$13:$X$24,R$30+1,FALSE)*VLOOKUP($C38,Overlap!$A$3:$B$15,2,FALSE)</f>
        <v>38073.585914402931</v>
      </c>
      <c r="S38" s="32">
        <f>$A38*VLOOKUP($B38&amp;$D38,$B$13:$X$24,S$30+1,FALSE)*VLOOKUP($C38,Overlap!$A$3:$B$15,2,FALSE)</f>
        <v>38157.829711293809</v>
      </c>
      <c r="T38" s="32">
        <f>$A38*VLOOKUP($B38&amp;$D38,$B$13:$X$24,T$30+1,FALSE)*VLOOKUP($C38,Overlap!$A$3:$B$15,2,FALSE)</f>
        <v>38243.983319356143</v>
      </c>
      <c r="U38" s="32">
        <f>$A38*VLOOKUP($B38&amp;$D38,$B$13:$X$24,U$30+1,FALSE)*VLOOKUP($C38,Overlap!$A$3:$B$15,2,FALSE)</f>
        <v>38333.721067667211</v>
      </c>
      <c r="V38" s="32">
        <f>$A38*VLOOKUP($B38&amp;$D38,$B$13:$X$24,V$30+1,FALSE)*VLOOKUP($C38,Overlap!$A$3:$B$15,2,FALSE)</f>
        <v>38426.276572518786</v>
      </c>
      <c r="W38" s="32">
        <f>$A38*VLOOKUP($B38&amp;$D38,$B$13:$X$24,W$30+1,FALSE)*VLOOKUP($C38,Overlap!$A$3:$B$15,2,FALSE)</f>
        <v>38521.759390790285</v>
      </c>
      <c r="X38" s="32">
        <f>$A38*VLOOKUP($B38&amp;$D38,$B$13:$X$24,X$30+1,FALSE)*VLOOKUP($C38,Overlap!$A$3:$B$15,2,FALSE)</f>
        <v>38619.389384644164</v>
      </c>
      <c r="Y38" s="32"/>
      <c r="Z38" s="32" t="str">
        <f t="shared" si="3"/>
        <v>Wheel line systems: Rebuild or replace leaking or malfunctioning leveler with new or rebuilt leveler. Idaho</v>
      </c>
      <c r="AA38" s="41">
        <f>VLOOKUP(B38&amp;D38,$B$13:$X$24,$X$30+1,FALSE)*$AA$29*A38*VLOOKUP($C38,Overlap!$A$3:$B$15,2,FALSE)</f>
        <v>32826.480976947532</v>
      </c>
    </row>
    <row r="39" spans="1:27">
      <c r="A39" s="50">
        <f>INDEX([2]APPLIC!$B$8:$F$67,MATCH($C39,[2]APPLIC!$B$9:$B$67,0)+1,MATCH($D39,[2]APPLIC!$C$8:$F$8,0)+1)</f>
        <v>0.30000000000000004</v>
      </c>
      <c r="B39" s="77" t="s">
        <v>1272</v>
      </c>
      <c r="C39" s="7" t="s">
        <v>1306</v>
      </c>
      <c r="D39" s="7" t="s">
        <v>431</v>
      </c>
      <c r="E39" s="32">
        <f>$A39*VLOOKUP($B39&amp;$D39,$B$13:$X$24,E$30+1,FALSE)*VLOOKUP($C39,Overlap!$A$3:$B$15,2,FALSE)</f>
        <v>668876.70000000007</v>
      </c>
      <c r="F39" s="32">
        <f>$A39*VLOOKUP($B39&amp;$D39,$B$13:$X$24,F$30+1,FALSE)*VLOOKUP($C39,Overlap!$A$3:$B$15,2,FALSE)</f>
        <v>668960.33701285848</v>
      </c>
      <c r="G39" s="32">
        <f>$A39*VLOOKUP($B39&amp;$D39,$B$13:$X$24,G$30+1,FALSE)*VLOOKUP($C39,Overlap!$A$3:$B$15,2,FALSE)</f>
        <v>669076.57475501974</v>
      </c>
      <c r="H39" s="32">
        <f>$A39*VLOOKUP($B39&amp;$D39,$B$13:$X$24,H$30+1,FALSE)*VLOOKUP($C39,Overlap!$A$3:$B$15,2,FALSE)</f>
        <v>669486.1227339803</v>
      </c>
      <c r="I39" s="32">
        <f>$A39*VLOOKUP($B39&amp;$D39,$B$13:$X$24,I$30+1,FALSE)*VLOOKUP($C39,Overlap!$A$3:$B$15,2,FALSE)</f>
        <v>670076.12403282628</v>
      </c>
      <c r="J39" s="32">
        <f>$A39*VLOOKUP($B39&amp;$D39,$B$13:$X$24,J$30+1,FALSE)*VLOOKUP($C39,Overlap!$A$3:$B$15,2,FALSE)</f>
        <v>670826.7414424154</v>
      </c>
      <c r="K39" s="32">
        <f>$A39*VLOOKUP($B39&amp;$D39,$B$13:$X$24,K$30+1,FALSE)*VLOOKUP($C39,Overlap!$A$3:$B$15,2,FALSE)</f>
        <v>671679.88999439101</v>
      </c>
      <c r="L39" s="32">
        <f>$A39*VLOOKUP($B39&amp;$D39,$B$13:$X$24,L$30+1,FALSE)*VLOOKUP($C39,Overlap!$A$3:$B$15,2,FALSE)</f>
        <v>672647.42086394376</v>
      </c>
      <c r="M39" s="32">
        <f>$A39*VLOOKUP($B39&amp;$D39,$B$13:$X$24,M$30+1,FALSE)*VLOOKUP($C39,Overlap!$A$3:$B$15,2,FALSE)</f>
        <v>673715.20804257342</v>
      </c>
      <c r="N39" s="32">
        <f>$A39*VLOOKUP($B39&amp;$D39,$B$13:$X$24,N$30+1,FALSE)*VLOOKUP($C39,Overlap!$A$3:$B$15,2,FALSE)</f>
        <v>674874.31056570809</v>
      </c>
      <c r="O39" s="32">
        <f>$A39*VLOOKUP($B39&amp;$D39,$B$13:$X$24,O$30+1,FALSE)*VLOOKUP($C39,Overlap!$A$3:$B$15,2,FALSE)</f>
        <v>676108.59156942577</v>
      </c>
      <c r="P39" s="32">
        <f>$A39*VLOOKUP($B39&amp;$D39,$B$13:$X$24,P$30+1,FALSE)*VLOOKUP($C39,Overlap!$A$3:$B$15,2,FALSE)</f>
        <v>677418.7236798238</v>
      </c>
      <c r="Q39" s="32">
        <f>$A39*VLOOKUP($B39&amp;$D39,$B$13:$X$24,Q$30+1,FALSE)*VLOOKUP($C39,Overlap!$A$3:$B$15,2,FALSE)</f>
        <v>678794.97562273021</v>
      </c>
      <c r="R39" s="32">
        <f>$A39*VLOOKUP($B39&amp;$D39,$B$13:$X$24,R$30+1,FALSE)*VLOOKUP($C39,Overlap!$A$3:$B$15,2,FALSE)</f>
        <v>680239.50529927982</v>
      </c>
      <c r="S39" s="32">
        <f>$A39*VLOOKUP($B39&amp;$D39,$B$13:$X$24,S$30+1,FALSE)*VLOOKUP($C39,Overlap!$A$3:$B$15,2,FALSE)</f>
        <v>681744.64218999515</v>
      </c>
      <c r="T39" s="32">
        <f>$A39*VLOOKUP($B39&amp;$D39,$B$13:$X$24,T$30+1,FALSE)*VLOOKUP($C39,Overlap!$A$3:$B$15,2,FALSE)</f>
        <v>683283.90061077592</v>
      </c>
      <c r="U39" s="32">
        <f>$A39*VLOOKUP($B39&amp;$D39,$B$13:$X$24,U$30+1,FALSE)*VLOOKUP($C39,Overlap!$A$3:$B$15,2,FALSE)</f>
        <v>684887.19486456737</v>
      </c>
      <c r="V39" s="32">
        <f>$A39*VLOOKUP($B39&amp;$D39,$B$13:$X$24,V$30+1,FALSE)*VLOOKUP($C39,Overlap!$A$3:$B$15,2,FALSE)</f>
        <v>686540.83240148076</v>
      </c>
      <c r="W39" s="32">
        <f>$A39*VLOOKUP($B39&amp;$D39,$B$13:$X$24,W$30+1,FALSE)*VLOOKUP($C39,Overlap!$A$3:$B$15,2,FALSE)</f>
        <v>688246.77061312203</v>
      </c>
      <c r="X39" s="32">
        <f>$A39*VLOOKUP($B39&amp;$D39,$B$13:$X$24,X$30+1,FALSE)*VLOOKUP($C39,Overlap!$A$3:$B$15,2,FALSE)</f>
        <v>689991.07121225237</v>
      </c>
      <c r="Y39" s="32"/>
      <c r="Z39" s="32" t="str">
        <f t="shared" si="3"/>
        <v>Center pivot/linear move systems: Install new sprinkler package on an existing system. Idaho</v>
      </c>
      <c r="AA39" s="41">
        <f>VLOOKUP(B39&amp;D39,$B$13:$X$24,$X$30+1,FALSE)*$AA$29*A39*VLOOKUP($C39,Overlap!$A$3:$B$15,2,FALSE)</f>
        <v>586492.41053041455</v>
      </c>
    </row>
    <row r="40" spans="1:27">
      <c r="A40" s="50">
        <f>INDEX([2]APPLIC!$B$8:$F$67,MATCH($C40,[2]APPLIC!$B$9:$B$67,0)+1,MATCH($D40,[2]APPLIC!$C$8:$F$8,0)+1)</f>
        <v>0.30000000000000004</v>
      </c>
      <c r="B40" s="77" t="s">
        <v>1272</v>
      </c>
      <c r="C40" s="7" t="s">
        <v>1308</v>
      </c>
      <c r="D40" s="7" t="s">
        <v>431</v>
      </c>
      <c r="E40" s="32">
        <f>$A40*VLOOKUP($B40&amp;$D40,$B$13:$X$24,E$30+1,FALSE)*VLOOKUP($C40,Overlap!$A$3:$B$15,2,FALSE)</f>
        <v>668876.70000000007</v>
      </c>
      <c r="F40" s="32">
        <f>$A40*VLOOKUP($B40&amp;$D40,$B$13:$X$24,F$30+1,FALSE)*VLOOKUP($C40,Overlap!$A$3:$B$15,2,FALSE)</f>
        <v>668960.33701285848</v>
      </c>
      <c r="G40" s="32">
        <f>$A40*VLOOKUP($B40&amp;$D40,$B$13:$X$24,G$30+1,FALSE)*VLOOKUP($C40,Overlap!$A$3:$B$15,2,FALSE)</f>
        <v>669076.57475501974</v>
      </c>
      <c r="H40" s="32">
        <f>$A40*VLOOKUP($B40&amp;$D40,$B$13:$X$24,H$30+1,FALSE)*VLOOKUP($C40,Overlap!$A$3:$B$15,2,FALSE)</f>
        <v>669486.1227339803</v>
      </c>
      <c r="I40" s="32">
        <f>$A40*VLOOKUP($B40&amp;$D40,$B$13:$X$24,I$30+1,FALSE)*VLOOKUP($C40,Overlap!$A$3:$B$15,2,FALSE)</f>
        <v>670076.12403282628</v>
      </c>
      <c r="J40" s="32">
        <f>$A40*VLOOKUP($B40&amp;$D40,$B$13:$X$24,J$30+1,FALSE)*VLOOKUP($C40,Overlap!$A$3:$B$15,2,FALSE)</f>
        <v>670826.7414424154</v>
      </c>
      <c r="K40" s="32">
        <f>$A40*VLOOKUP($B40&amp;$D40,$B$13:$X$24,K$30+1,FALSE)*VLOOKUP($C40,Overlap!$A$3:$B$15,2,FALSE)</f>
        <v>671679.88999439101</v>
      </c>
      <c r="L40" s="32">
        <f>$A40*VLOOKUP($B40&amp;$D40,$B$13:$X$24,L$30+1,FALSE)*VLOOKUP($C40,Overlap!$A$3:$B$15,2,FALSE)</f>
        <v>672647.42086394376</v>
      </c>
      <c r="M40" s="32">
        <f>$A40*VLOOKUP($B40&amp;$D40,$B$13:$X$24,M$30+1,FALSE)*VLOOKUP($C40,Overlap!$A$3:$B$15,2,FALSE)</f>
        <v>673715.20804257342</v>
      </c>
      <c r="N40" s="32">
        <f>$A40*VLOOKUP($B40&amp;$D40,$B$13:$X$24,N$30+1,FALSE)*VLOOKUP($C40,Overlap!$A$3:$B$15,2,FALSE)</f>
        <v>674874.31056570809</v>
      </c>
      <c r="O40" s="32">
        <f>$A40*VLOOKUP($B40&amp;$D40,$B$13:$X$24,O$30+1,FALSE)*VLOOKUP($C40,Overlap!$A$3:$B$15,2,FALSE)</f>
        <v>676108.59156942577</v>
      </c>
      <c r="P40" s="32">
        <f>$A40*VLOOKUP($B40&amp;$D40,$B$13:$X$24,P$30+1,FALSE)*VLOOKUP($C40,Overlap!$A$3:$B$15,2,FALSE)</f>
        <v>677418.7236798238</v>
      </c>
      <c r="Q40" s="32">
        <f>$A40*VLOOKUP($B40&amp;$D40,$B$13:$X$24,Q$30+1,FALSE)*VLOOKUP($C40,Overlap!$A$3:$B$15,2,FALSE)</f>
        <v>678794.97562273021</v>
      </c>
      <c r="R40" s="32">
        <f>$A40*VLOOKUP($B40&amp;$D40,$B$13:$X$24,R$30+1,FALSE)*VLOOKUP($C40,Overlap!$A$3:$B$15,2,FALSE)</f>
        <v>680239.50529927982</v>
      </c>
      <c r="S40" s="32">
        <f>$A40*VLOOKUP($B40&amp;$D40,$B$13:$X$24,S$30+1,FALSE)*VLOOKUP($C40,Overlap!$A$3:$B$15,2,FALSE)</f>
        <v>681744.64218999515</v>
      </c>
      <c r="T40" s="32">
        <f>$A40*VLOOKUP($B40&amp;$D40,$B$13:$X$24,T$30+1,FALSE)*VLOOKUP($C40,Overlap!$A$3:$B$15,2,FALSE)</f>
        <v>683283.90061077592</v>
      </c>
      <c r="U40" s="32">
        <f>$A40*VLOOKUP($B40&amp;$D40,$B$13:$X$24,U$30+1,FALSE)*VLOOKUP($C40,Overlap!$A$3:$B$15,2,FALSE)</f>
        <v>684887.19486456737</v>
      </c>
      <c r="V40" s="32">
        <f>$A40*VLOOKUP($B40&amp;$D40,$B$13:$X$24,V$30+1,FALSE)*VLOOKUP($C40,Overlap!$A$3:$B$15,2,FALSE)</f>
        <v>686540.83240148076</v>
      </c>
      <c r="W40" s="32">
        <f>$A40*VLOOKUP($B40&amp;$D40,$B$13:$X$24,W$30+1,FALSE)*VLOOKUP($C40,Overlap!$A$3:$B$15,2,FALSE)</f>
        <v>688246.77061312203</v>
      </c>
      <c r="X40" s="32">
        <f>$A40*VLOOKUP($B40&amp;$D40,$B$13:$X$24,X$30+1,FALSE)*VLOOKUP($C40,Overlap!$A$3:$B$15,2,FALSE)</f>
        <v>689991.07121225237</v>
      </c>
      <c r="Y40" s="32"/>
      <c r="Z40" s="32" t="str">
        <f t="shared" si="3"/>
        <v>Center pivot/linear move systems: New gooseneck elbows Idaho</v>
      </c>
      <c r="AA40" s="41">
        <f>VLOOKUP(B40&amp;D40,$B$13:$X$24,$X$30+1,FALSE)*$AA$29*A40*VLOOKUP($C40,Overlap!$A$3:$B$15,2,FALSE)</f>
        <v>586492.41053041455</v>
      </c>
    </row>
    <row r="41" spans="1:27">
      <c r="A41" s="50">
        <f>INDEX([2]APPLIC!$B$8:$F$67,MATCH($C41,[2]APPLIC!$B$9:$B$67,0)+1,MATCH($D41,[2]APPLIC!$C$8:$F$8,0)+1)</f>
        <v>0.30000000000000004</v>
      </c>
      <c r="B41" s="77" t="s">
        <v>1272</v>
      </c>
      <c r="C41" s="7" t="s">
        <v>1310</v>
      </c>
      <c r="D41" s="7" t="s">
        <v>431</v>
      </c>
      <c r="E41" s="32">
        <f>$A41*VLOOKUP($B41&amp;$D41,$B$13:$X$24,E$30+1,FALSE)*VLOOKUP($C41,Overlap!$A$3:$B$15,2,FALSE)</f>
        <v>668876.70000000007</v>
      </c>
      <c r="F41" s="32">
        <f>$A41*VLOOKUP($B41&amp;$D41,$B$13:$X$24,F$30+1,FALSE)*VLOOKUP($C41,Overlap!$A$3:$B$15,2,FALSE)</f>
        <v>668960.33701285848</v>
      </c>
      <c r="G41" s="32">
        <f>$A41*VLOOKUP($B41&amp;$D41,$B$13:$X$24,G$30+1,FALSE)*VLOOKUP($C41,Overlap!$A$3:$B$15,2,FALSE)</f>
        <v>669076.57475501974</v>
      </c>
      <c r="H41" s="32">
        <f>$A41*VLOOKUP($B41&amp;$D41,$B$13:$X$24,H$30+1,FALSE)*VLOOKUP($C41,Overlap!$A$3:$B$15,2,FALSE)</f>
        <v>669486.1227339803</v>
      </c>
      <c r="I41" s="32">
        <f>$A41*VLOOKUP($B41&amp;$D41,$B$13:$X$24,I$30+1,FALSE)*VLOOKUP($C41,Overlap!$A$3:$B$15,2,FALSE)</f>
        <v>670076.12403282628</v>
      </c>
      <c r="J41" s="32">
        <f>$A41*VLOOKUP($B41&amp;$D41,$B$13:$X$24,J$30+1,FALSE)*VLOOKUP($C41,Overlap!$A$3:$B$15,2,FALSE)</f>
        <v>670826.7414424154</v>
      </c>
      <c r="K41" s="32">
        <f>$A41*VLOOKUP($B41&amp;$D41,$B$13:$X$24,K$30+1,FALSE)*VLOOKUP($C41,Overlap!$A$3:$B$15,2,FALSE)</f>
        <v>671679.88999439101</v>
      </c>
      <c r="L41" s="32">
        <f>$A41*VLOOKUP($B41&amp;$D41,$B$13:$X$24,L$30+1,FALSE)*VLOOKUP($C41,Overlap!$A$3:$B$15,2,FALSE)</f>
        <v>672647.42086394376</v>
      </c>
      <c r="M41" s="32">
        <f>$A41*VLOOKUP($B41&amp;$D41,$B$13:$X$24,M$30+1,FALSE)*VLOOKUP($C41,Overlap!$A$3:$B$15,2,FALSE)</f>
        <v>673715.20804257342</v>
      </c>
      <c r="N41" s="32">
        <f>$A41*VLOOKUP($B41&amp;$D41,$B$13:$X$24,N$30+1,FALSE)*VLOOKUP($C41,Overlap!$A$3:$B$15,2,FALSE)</f>
        <v>674874.31056570809</v>
      </c>
      <c r="O41" s="32">
        <f>$A41*VLOOKUP($B41&amp;$D41,$B$13:$X$24,O$30+1,FALSE)*VLOOKUP($C41,Overlap!$A$3:$B$15,2,FALSE)</f>
        <v>676108.59156942577</v>
      </c>
      <c r="P41" s="32">
        <f>$A41*VLOOKUP($B41&amp;$D41,$B$13:$X$24,P$30+1,FALSE)*VLOOKUP($C41,Overlap!$A$3:$B$15,2,FALSE)</f>
        <v>677418.7236798238</v>
      </c>
      <c r="Q41" s="32">
        <f>$A41*VLOOKUP($B41&amp;$D41,$B$13:$X$24,Q$30+1,FALSE)*VLOOKUP($C41,Overlap!$A$3:$B$15,2,FALSE)</f>
        <v>678794.97562273021</v>
      </c>
      <c r="R41" s="32">
        <f>$A41*VLOOKUP($B41&amp;$D41,$B$13:$X$24,R$30+1,FALSE)*VLOOKUP($C41,Overlap!$A$3:$B$15,2,FALSE)</f>
        <v>680239.50529927982</v>
      </c>
      <c r="S41" s="32">
        <f>$A41*VLOOKUP($B41&amp;$D41,$B$13:$X$24,S$30+1,FALSE)*VLOOKUP($C41,Overlap!$A$3:$B$15,2,FALSE)</f>
        <v>681744.64218999515</v>
      </c>
      <c r="T41" s="32">
        <f>$A41*VLOOKUP($B41&amp;$D41,$B$13:$X$24,T$30+1,FALSE)*VLOOKUP($C41,Overlap!$A$3:$B$15,2,FALSE)</f>
        <v>683283.90061077592</v>
      </c>
      <c r="U41" s="32">
        <f>$A41*VLOOKUP($B41&amp;$D41,$B$13:$X$24,U$30+1,FALSE)*VLOOKUP($C41,Overlap!$A$3:$B$15,2,FALSE)</f>
        <v>684887.19486456737</v>
      </c>
      <c r="V41" s="32">
        <f>$A41*VLOOKUP($B41&amp;$D41,$B$13:$X$24,V$30+1,FALSE)*VLOOKUP($C41,Overlap!$A$3:$B$15,2,FALSE)</f>
        <v>686540.83240148076</v>
      </c>
      <c r="W41" s="32">
        <f>$A41*VLOOKUP($B41&amp;$D41,$B$13:$X$24,W$30+1,FALSE)*VLOOKUP($C41,Overlap!$A$3:$B$15,2,FALSE)</f>
        <v>688246.77061312203</v>
      </c>
      <c r="X41" s="32">
        <f>$A41*VLOOKUP($B41&amp;$D41,$B$13:$X$24,X$30+1,FALSE)*VLOOKUP($C41,Overlap!$A$3:$B$15,2,FALSE)</f>
        <v>689991.07121225237</v>
      </c>
      <c r="Y41" s="32"/>
      <c r="Z41" s="32" t="str">
        <f t="shared" si="3"/>
        <v>Center pivot/linear move systems: New drop tubes (3 feet minimum) Idaho</v>
      </c>
      <c r="AA41" s="41">
        <f>VLOOKUP(B41&amp;D41,$B$13:$X$24,$X$30+1,FALSE)*$AA$29*A41*VLOOKUP($C41,Overlap!$A$3:$B$15,2,FALSE)</f>
        <v>586492.41053041455</v>
      </c>
    </row>
    <row r="42" spans="1:27">
      <c r="A42" s="50">
        <f>INDEX([2]APPLIC!$B$8:$F$67,MATCH($C42,[2]APPLIC!$B$9:$B$67,0)+1,MATCH($D42,[2]APPLIC!$C$8:$F$8,0)+1)</f>
        <v>0.30000000000000004</v>
      </c>
      <c r="B42" s="77" t="s">
        <v>1272</v>
      </c>
      <c r="C42" s="7" t="s">
        <v>1312</v>
      </c>
      <c r="D42" s="7" t="s">
        <v>431</v>
      </c>
      <c r="E42" s="32">
        <f>$A42*VLOOKUP($B42&amp;$D42,$B$13:$X$24,E$30+1,FALSE)*VLOOKUP($C42,Overlap!$A$3:$B$15,2,FALSE)</f>
        <v>668876.70000000007</v>
      </c>
      <c r="F42" s="32">
        <f>$A42*VLOOKUP($B42&amp;$D42,$B$13:$X$24,F$30+1,FALSE)*VLOOKUP($C42,Overlap!$A$3:$B$15,2,FALSE)</f>
        <v>668960.33701285848</v>
      </c>
      <c r="G42" s="32">
        <f>$A42*VLOOKUP($B42&amp;$D42,$B$13:$X$24,G$30+1,FALSE)*VLOOKUP($C42,Overlap!$A$3:$B$15,2,FALSE)</f>
        <v>669076.57475501974</v>
      </c>
      <c r="H42" s="32">
        <f>$A42*VLOOKUP($B42&amp;$D42,$B$13:$X$24,H$30+1,FALSE)*VLOOKUP($C42,Overlap!$A$3:$B$15,2,FALSE)</f>
        <v>669486.1227339803</v>
      </c>
      <c r="I42" s="32">
        <f>$A42*VLOOKUP($B42&amp;$D42,$B$13:$X$24,I$30+1,FALSE)*VLOOKUP($C42,Overlap!$A$3:$B$15,2,FALSE)</f>
        <v>670076.12403282628</v>
      </c>
      <c r="J42" s="32">
        <f>$A42*VLOOKUP($B42&amp;$D42,$B$13:$X$24,J$30+1,FALSE)*VLOOKUP($C42,Overlap!$A$3:$B$15,2,FALSE)</f>
        <v>670826.7414424154</v>
      </c>
      <c r="K42" s="32">
        <f>$A42*VLOOKUP($B42&amp;$D42,$B$13:$X$24,K$30+1,FALSE)*VLOOKUP($C42,Overlap!$A$3:$B$15,2,FALSE)</f>
        <v>671679.88999439101</v>
      </c>
      <c r="L42" s="32">
        <f>$A42*VLOOKUP($B42&amp;$D42,$B$13:$X$24,L$30+1,FALSE)*VLOOKUP($C42,Overlap!$A$3:$B$15,2,FALSE)</f>
        <v>672647.42086394376</v>
      </c>
      <c r="M42" s="32">
        <f>$A42*VLOOKUP($B42&amp;$D42,$B$13:$X$24,M$30+1,FALSE)*VLOOKUP($C42,Overlap!$A$3:$B$15,2,FALSE)</f>
        <v>673715.20804257342</v>
      </c>
      <c r="N42" s="32">
        <f>$A42*VLOOKUP($B42&amp;$D42,$B$13:$X$24,N$30+1,FALSE)*VLOOKUP($C42,Overlap!$A$3:$B$15,2,FALSE)</f>
        <v>674874.31056570809</v>
      </c>
      <c r="O42" s="32">
        <f>$A42*VLOOKUP($B42&amp;$D42,$B$13:$X$24,O$30+1,FALSE)*VLOOKUP($C42,Overlap!$A$3:$B$15,2,FALSE)</f>
        <v>676108.59156942577</v>
      </c>
      <c r="P42" s="32">
        <f>$A42*VLOOKUP($B42&amp;$D42,$B$13:$X$24,P$30+1,FALSE)*VLOOKUP($C42,Overlap!$A$3:$B$15,2,FALSE)</f>
        <v>677418.7236798238</v>
      </c>
      <c r="Q42" s="32">
        <f>$A42*VLOOKUP($B42&amp;$D42,$B$13:$X$24,Q$30+1,FALSE)*VLOOKUP($C42,Overlap!$A$3:$B$15,2,FALSE)</f>
        <v>678794.97562273021</v>
      </c>
      <c r="R42" s="32">
        <f>$A42*VLOOKUP($B42&amp;$D42,$B$13:$X$24,R$30+1,FALSE)*VLOOKUP($C42,Overlap!$A$3:$B$15,2,FALSE)</f>
        <v>680239.50529927982</v>
      </c>
      <c r="S42" s="32">
        <f>$A42*VLOOKUP($B42&amp;$D42,$B$13:$X$24,S$30+1,FALSE)*VLOOKUP($C42,Overlap!$A$3:$B$15,2,FALSE)</f>
        <v>681744.64218999515</v>
      </c>
      <c r="T42" s="32">
        <f>$A42*VLOOKUP($B42&amp;$D42,$B$13:$X$24,T$30+1,FALSE)*VLOOKUP($C42,Overlap!$A$3:$B$15,2,FALSE)</f>
        <v>683283.90061077592</v>
      </c>
      <c r="U42" s="32">
        <f>$A42*VLOOKUP($B42&amp;$D42,$B$13:$X$24,U$30+1,FALSE)*VLOOKUP($C42,Overlap!$A$3:$B$15,2,FALSE)</f>
        <v>684887.19486456737</v>
      </c>
      <c r="V42" s="32">
        <f>$A42*VLOOKUP($B42&amp;$D42,$B$13:$X$24,V$30+1,FALSE)*VLOOKUP($C42,Overlap!$A$3:$B$15,2,FALSE)</f>
        <v>686540.83240148076</v>
      </c>
      <c r="W42" s="32">
        <f>$A42*VLOOKUP($B42&amp;$D42,$B$13:$X$24,W$30+1,FALSE)*VLOOKUP($C42,Overlap!$A$3:$B$15,2,FALSE)</f>
        <v>688246.77061312203</v>
      </c>
      <c r="X42" s="32">
        <f>$A42*VLOOKUP($B42&amp;$D42,$B$13:$X$24,X$30+1,FALSE)*VLOOKUP($C42,Overlap!$A$3:$B$15,2,FALSE)</f>
        <v>689991.07121225237</v>
      </c>
      <c r="Y42" s="32"/>
      <c r="Z42" s="32" t="str">
        <f t="shared" si="3"/>
        <v>Center pivot/linear move systems: Replace leaking pivot boot gasket with new pivot boot gasket Idaho</v>
      </c>
      <c r="AA42" s="41">
        <f>VLOOKUP(B42&amp;D42,$B$13:$X$24,$X$30+1,FALSE)*$AA$29*A42*VLOOKUP($C42,Overlap!$A$3:$B$15,2,FALSE)</f>
        <v>586492.41053041455</v>
      </c>
    </row>
    <row r="43" spans="1:27">
      <c r="A43" s="50">
        <f>INDEX([2]APPLIC!$B$8:$F$67,MATCH($C43,[2]APPLIC!$B$9:$B$67,0)+1,MATCH($D43,[2]APPLIC!$C$8:$F$8,0)+1)</f>
        <v>0.30000000000000004</v>
      </c>
      <c r="B43" s="77" t="s">
        <v>1272</v>
      </c>
      <c r="C43" s="7" t="s">
        <v>1314</v>
      </c>
      <c r="D43" s="7" t="s">
        <v>431</v>
      </c>
      <c r="E43" s="32">
        <f>$A43*VLOOKUP($B43&amp;$D43,$B$13:$X$24,E$30+1,FALSE)*VLOOKUP($C43,Overlap!$A$3:$B$15,2,FALSE)</f>
        <v>668876.70000000007</v>
      </c>
      <c r="F43" s="32">
        <f>$A43*VLOOKUP($B43&amp;$D43,$B$13:$X$24,F$30+1,FALSE)*VLOOKUP($C43,Overlap!$A$3:$B$15,2,FALSE)</f>
        <v>668960.33701285848</v>
      </c>
      <c r="G43" s="32">
        <f>$A43*VLOOKUP($B43&amp;$D43,$B$13:$X$24,G$30+1,FALSE)*VLOOKUP($C43,Overlap!$A$3:$B$15,2,FALSE)</f>
        <v>669076.57475501974</v>
      </c>
      <c r="H43" s="32">
        <f>$A43*VLOOKUP($B43&amp;$D43,$B$13:$X$24,H$30+1,FALSE)*VLOOKUP($C43,Overlap!$A$3:$B$15,2,FALSE)</f>
        <v>669486.1227339803</v>
      </c>
      <c r="I43" s="32">
        <f>$A43*VLOOKUP($B43&amp;$D43,$B$13:$X$24,I$30+1,FALSE)*VLOOKUP($C43,Overlap!$A$3:$B$15,2,FALSE)</f>
        <v>670076.12403282628</v>
      </c>
      <c r="J43" s="32">
        <f>$A43*VLOOKUP($B43&amp;$D43,$B$13:$X$24,J$30+1,FALSE)*VLOOKUP($C43,Overlap!$A$3:$B$15,2,FALSE)</f>
        <v>670826.7414424154</v>
      </c>
      <c r="K43" s="32">
        <f>$A43*VLOOKUP($B43&amp;$D43,$B$13:$X$24,K$30+1,FALSE)*VLOOKUP($C43,Overlap!$A$3:$B$15,2,FALSE)</f>
        <v>671679.88999439101</v>
      </c>
      <c r="L43" s="32">
        <f>$A43*VLOOKUP($B43&amp;$D43,$B$13:$X$24,L$30+1,FALSE)*VLOOKUP($C43,Overlap!$A$3:$B$15,2,FALSE)</f>
        <v>672647.42086394376</v>
      </c>
      <c r="M43" s="32">
        <f>$A43*VLOOKUP($B43&amp;$D43,$B$13:$X$24,M$30+1,FALSE)*VLOOKUP($C43,Overlap!$A$3:$B$15,2,FALSE)</f>
        <v>673715.20804257342</v>
      </c>
      <c r="N43" s="32">
        <f>$A43*VLOOKUP($B43&amp;$D43,$B$13:$X$24,N$30+1,FALSE)*VLOOKUP($C43,Overlap!$A$3:$B$15,2,FALSE)</f>
        <v>674874.31056570809</v>
      </c>
      <c r="O43" s="32">
        <f>$A43*VLOOKUP($B43&amp;$D43,$B$13:$X$24,O$30+1,FALSE)*VLOOKUP($C43,Overlap!$A$3:$B$15,2,FALSE)</f>
        <v>676108.59156942577</v>
      </c>
      <c r="P43" s="32">
        <f>$A43*VLOOKUP($B43&amp;$D43,$B$13:$X$24,P$30+1,FALSE)*VLOOKUP($C43,Overlap!$A$3:$B$15,2,FALSE)</f>
        <v>677418.7236798238</v>
      </c>
      <c r="Q43" s="32">
        <f>$A43*VLOOKUP($B43&amp;$D43,$B$13:$X$24,Q$30+1,FALSE)*VLOOKUP($C43,Overlap!$A$3:$B$15,2,FALSE)</f>
        <v>678794.97562273021</v>
      </c>
      <c r="R43" s="32">
        <f>$A43*VLOOKUP($B43&amp;$D43,$B$13:$X$24,R$30+1,FALSE)*VLOOKUP($C43,Overlap!$A$3:$B$15,2,FALSE)</f>
        <v>680239.50529927982</v>
      </c>
      <c r="S43" s="32">
        <f>$A43*VLOOKUP($B43&amp;$D43,$B$13:$X$24,S$30+1,FALSE)*VLOOKUP($C43,Overlap!$A$3:$B$15,2,FALSE)</f>
        <v>681744.64218999515</v>
      </c>
      <c r="T43" s="32">
        <f>$A43*VLOOKUP($B43&amp;$D43,$B$13:$X$24,T$30+1,FALSE)*VLOOKUP($C43,Overlap!$A$3:$B$15,2,FALSE)</f>
        <v>683283.90061077592</v>
      </c>
      <c r="U43" s="32">
        <f>$A43*VLOOKUP($B43&amp;$D43,$B$13:$X$24,U$30+1,FALSE)*VLOOKUP($C43,Overlap!$A$3:$B$15,2,FALSE)</f>
        <v>684887.19486456737</v>
      </c>
      <c r="V43" s="32">
        <f>$A43*VLOOKUP($B43&amp;$D43,$B$13:$X$24,V$30+1,FALSE)*VLOOKUP($C43,Overlap!$A$3:$B$15,2,FALSE)</f>
        <v>686540.83240148076</v>
      </c>
      <c r="W43" s="32">
        <f>$A43*VLOOKUP($B43&amp;$D43,$B$13:$X$24,W$30+1,FALSE)*VLOOKUP($C43,Overlap!$A$3:$B$15,2,FALSE)</f>
        <v>688246.77061312203</v>
      </c>
      <c r="X43" s="32">
        <f>$A43*VLOOKUP($B43&amp;$D43,$B$13:$X$24,X$30+1,FALSE)*VLOOKUP($C43,Overlap!$A$3:$B$15,2,FALSE)</f>
        <v>689991.07121225237</v>
      </c>
      <c r="Y43" s="32"/>
      <c r="Z43" s="32" t="str">
        <f t="shared" si="3"/>
        <v>Center pivot/linear move systems: Replace leaking tower gasket with new tower gasket Idaho</v>
      </c>
      <c r="AA43" s="41">
        <f>VLOOKUP(B43&amp;D43,$B$13:$X$24,$X$30+1,FALSE)*$AA$29*A43*VLOOKUP($C43,Overlap!$A$3:$B$15,2,FALSE)</f>
        <v>586492.41053041455</v>
      </c>
    </row>
    <row r="44" spans="1:27">
      <c r="A44" s="50">
        <f>INDEX([2]APPLIC!$B$8:$F$67,MATCH($C44,[2]APPLIC!$B$9:$B$67,0)+1,MATCH($D44,[2]APPLIC!$C$8:$F$8,0)+1)</f>
        <v>0.30000000000000004</v>
      </c>
      <c r="B44" s="77" t="s">
        <v>1271</v>
      </c>
      <c r="C44" s="7" t="s">
        <v>1290</v>
      </c>
      <c r="D44" s="7" t="s">
        <v>149</v>
      </c>
      <c r="E44" s="32">
        <f>$A44*VLOOKUP($B44&amp;$D44,$B$13:$X$24,E$30+1,FALSE)*VLOOKUP($C44,Overlap!$A$3:$B$15,2,FALSE)</f>
        <v>5064.1537287594083</v>
      </c>
      <c r="F44" s="32">
        <f>$A44*VLOOKUP($B44&amp;$D44,$B$13:$X$24,F$30+1,FALSE)*VLOOKUP($C44,Overlap!$A$3:$B$15,2,FALSE)</f>
        <v>5119.0908954526276</v>
      </c>
      <c r="G44" s="32">
        <f>$A44*VLOOKUP($B44&amp;$D44,$B$13:$X$24,G$30+1,FALSE)*VLOOKUP($C44,Overlap!$A$3:$B$15,2,FALSE)</f>
        <v>5173.3157695511327</v>
      </c>
      <c r="H44" s="32">
        <f>$A44*VLOOKUP($B44&amp;$D44,$B$13:$X$24,H$30+1,FALSE)*VLOOKUP($C44,Overlap!$A$3:$B$15,2,FALSE)</f>
        <v>5228.9408752412328</v>
      </c>
      <c r="I44" s="32">
        <f>$A44*VLOOKUP($B44&amp;$D44,$B$13:$X$24,I$30+1,FALSE)*VLOOKUP($C44,Overlap!$A$3:$B$15,2,FALSE)</f>
        <v>5285.1964268585116</v>
      </c>
      <c r="J44" s="32">
        <f>$A44*VLOOKUP($B44&amp;$D44,$B$13:$X$24,J$30+1,FALSE)*VLOOKUP($C44,Overlap!$A$3:$B$15,2,FALSE)</f>
        <v>5325.6637996696218</v>
      </c>
      <c r="K44" s="32">
        <f>$A44*VLOOKUP($B44&amp;$D44,$B$13:$X$24,K$30+1,FALSE)*VLOOKUP($C44,Overlap!$A$3:$B$15,2,FALSE)</f>
        <v>5366.4222064548903</v>
      </c>
      <c r="L44" s="32">
        <f>$A44*VLOOKUP($B44&amp;$D44,$B$13:$X$24,L$30+1,FALSE)*VLOOKUP($C44,Overlap!$A$3:$B$15,2,FALSE)</f>
        <v>5408.9434176532095</v>
      </c>
      <c r="M44" s="32">
        <f>$A44*VLOOKUP($B44&amp;$D44,$B$13:$X$24,M$30+1,FALSE)*VLOOKUP($C44,Overlap!$A$3:$B$15,2,FALSE)</f>
        <v>5453.0041589621624</v>
      </c>
      <c r="N44" s="32">
        <f>$A44*VLOOKUP($B44&amp;$D44,$B$13:$X$24,N$30+1,FALSE)*VLOOKUP($C44,Overlap!$A$3:$B$15,2,FALSE)</f>
        <v>5498.4346875662832</v>
      </c>
      <c r="O44" s="32">
        <f>$A44*VLOOKUP($B44&amp;$D44,$B$13:$X$24,O$30+1,FALSE)*VLOOKUP($C44,Overlap!$A$3:$B$15,2,FALSE)</f>
        <v>5545.0138987958489</v>
      </c>
      <c r="P44" s="32">
        <f>$A44*VLOOKUP($B44&amp;$D44,$B$13:$X$24,P$30+1,FALSE)*VLOOKUP($C44,Overlap!$A$3:$B$15,2,FALSE)</f>
        <v>5592.6671188640439</v>
      </c>
      <c r="Q44" s="32">
        <f>$A44*VLOOKUP($B44&amp;$D44,$B$13:$X$24,Q$30+1,FALSE)*VLOOKUP($C44,Overlap!$A$3:$B$15,2,FALSE)</f>
        <v>5641.2483993942669</v>
      </c>
      <c r="R44" s="32">
        <f>$A44*VLOOKUP($B44&amp;$D44,$B$13:$X$24,R$30+1,FALSE)*VLOOKUP($C44,Overlap!$A$3:$B$15,2,FALSE)</f>
        <v>5690.711317044329</v>
      </c>
      <c r="S44" s="32">
        <f>$A44*VLOOKUP($B44&amp;$D44,$B$13:$X$24,S$30+1,FALSE)*VLOOKUP($C44,Overlap!$A$3:$B$15,2,FALSE)</f>
        <v>5740.9442887833411</v>
      </c>
      <c r="T44" s="32">
        <f>$A44*VLOOKUP($B44&amp;$D44,$B$13:$X$24,T$30+1,FALSE)*VLOOKUP($C44,Overlap!$A$3:$B$15,2,FALSE)</f>
        <v>5791.6687272334475</v>
      </c>
      <c r="U44" s="32">
        <f>$A44*VLOOKUP($B44&amp;$D44,$B$13:$X$24,U$30+1,FALSE)*VLOOKUP($C44,Overlap!$A$3:$B$15,2,FALSE)</f>
        <v>5843.1057105484888</v>
      </c>
      <c r="V44" s="32">
        <f>$A44*VLOOKUP($B44&amp;$D44,$B$13:$X$24,V$30+1,FALSE)*VLOOKUP($C44,Overlap!$A$3:$B$15,2,FALSE)</f>
        <v>5895.0971131569513</v>
      </c>
      <c r="W44" s="32">
        <f>$A44*VLOOKUP($B44&amp;$D44,$B$13:$X$24,W$30+1,FALSE)*VLOOKUP($C44,Overlap!$A$3:$B$15,2,FALSE)</f>
        <v>5947.633504099882</v>
      </c>
      <c r="X44" s="32">
        <f>$A44*VLOOKUP($B44&amp;$D44,$B$13:$X$24,X$30+1,FALSE)*VLOOKUP($C44,Overlap!$A$3:$B$15,2,FALSE)</f>
        <v>6000.5765165403536</v>
      </c>
      <c r="Y44" s="32"/>
      <c r="Z44" s="32" t="str">
        <f t="shared" si="3"/>
        <v>Wheel/hand line systems: Replace worn nozzle with new flow controlling type nozzle for impact sprinklers Montana</v>
      </c>
      <c r="AA44" s="41">
        <f>VLOOKUP(B44&amp;D44,$B$13:$X$24,$X$30+1,FALSE)*$AA$29*A44*VLOOKUP($C44,Overlap!$A$3:$B$15,2,FALSE)</f>
        <v>5100.4900390593002</v>
      </c>
    </row>
    <row r="45" spans="1:27">
      <c r="A45" s="50">
        <f>INDEX([2]APPLIC!$B$8:$F$67,MATCH($C45,[2]APPLIC!$B$9:$B$67,0)+1,MATCH($D45,[2]APPLIC!$C$8:$F$8,0)+1)</f>
        <v>0.30000000000000004</v>
      </c>
      <c r="B45" s="77" t="s">
        <v>1271</v>
      </c>
      <c r="C45" s="7" t="s">
        <v>1292</v>
      </c>
      <c r="D45" s="7" t="s">
        <v>149</v>
      </c>
      <c r="E45" s="32">
        <f>$A45*VLOOKUP($B45&amp;$D45,$B$13:$X$24,E$30+1,FALSE)*VLOOKUP($C45,Overlap!$A$3:$B$15,2,FALSE)</f>
        <v>5064.1537287594083</v>
      </c>
      <c r="F45" s="32">
        <f>$A45*VLOOKUP($B45&amp;$D45,$B$13:$X$24,F$30+1,FALSE)*VLOOKUP($C45,Overlap!$A$3:$B$15,2,FALSE)</f>
        <v>5119.0908954526276</v>
      </c>
      <c r="G45" s="32">
        <f>$A45*VLOOKUP($B45&amp;$D45,$B$13:$X$24,G$30+1,FALSE)*VLOOKUP($C45,Overlap!$A$3:$B$15,2,FALSE)</f>
        <v>5173.3157695511327</v>
      </c>
      <c r="H45" s="32">
        <f>$A45*VLOOKUP($B45&amp;$D45,$B$13:$X$24,H$30+1,FALSE)*VLOOKUP($C45,Overlap!$A$3:$B$15,2,FALSE)</f>
        <v>5228.9408752412328</v>
      </c>
      <c r="I45" s="32">
        <f>$A45*VLOOKUP($B45&amp;$D45,$B$13:$X$24,I$30+1,FALSE)*VLOOKUP($C45,Overlap!$A$3:$B$15,2,FALSE)</f>
        <v>5285.1964268585116</v>
      </c>
      <c r="J45" s="32">
        <f>$A45*VLOOKUP($B45&amp;$D45,$B$13:$X$24,J$30+1,FALSE)*VLOOKUP($C45,Overlap!$A$3:$B$15,2,FALSE)</f>
        <v>5325.6637996696218</v>
      </c>
      <c r="K45" s="32">
        <f>$A45*VLOOKUP($B45&amp;$D45,$B$13:$X$24,K$30+1,FALSE)*VLOOKUP($C45,Overlap!$A$3:$B$15,2,FALSE)</f>
        <v>5366.4222064548903</v>
      </c>
      <c r="L45" s="32">
        <f>$A45*VLOOKUP($B45&amp;$D45,$B$13:$X$24,L$30+1,FALSE)*VLOOKUP($C45,Overlap!$A$3:$B$15,2,FALSE)</f>
        <v>5408.9434176532095</v>
      </c>
      <c r="M45" s="32">
        <f>$A45*VLOOKUP($B45&amp;$D45,$B$13:$X$24,M$30+1,FALSE)*VLOOKUP($C45,Overlap!$A$3:$B$15,2,FALSE)</f>
        <v>5453.0041589621624</v>
      </c>
      <c r="N45" s="32">
        <f>$A45*VLOOKUP($B45&amp;$D45,$B$13:$X$24,N$30+1,FALSE)*VLOOKUP($C45,Overlap!$A$3:$B$15,2,FALSE)</f>
        <v>5498.4346875662832</v>
      </c>
      <c r="O45" s="32">
        <f>$A45*VLOOKUP($B45&amp;$D45,$B$13:$X$24,O$30+1,FALSE)*VLOOKUP($C45,Overlap!$A$3:$B$15,2,FALSE)</f>
        <v>5545.0138987958489</v>
      </c>
      <c r="P45" s="32">
        <f>$A45*VLOOKUP($B45&amp;$D45,$B$13:$X$24,P$30+1,FALSE)*VLOOKUP($C45,Overlap!$A$3:$B$15,2,FALSE)</f>
        <v>5592.6671188640439</v>
      </c>
      <c r="Q45" s="32">
        <f>$A45*VLOOKUP($B45&amp;$D45,$B$13:$X$24,Q$30+1,FALSE)*VLOOKUP($C45,Overlap!$A$3:$B$15,2,FALSE)</f>
        <v>5641.2483993942669</v>
      </c>
      <c r="R45" s="32">
        <f>$A45*VLOOKUP($B45&amp;$D45,$B$13:$X$24,R$30+1,FALSE)*VLOOKUP($C45,Overlap!$A$3:$B$15,2,FALSE)</f>
        <v>5690.711317044329</v>
      </c>
      <c r="S45" s="32">
        <f>$A45*VLOOKUP($B45&amp;$D45,$B$13:$X$24,S$30+1,FALSE)*VLOOKUP($C45,Overlap!$A$3:$B$15,2,FALSE)</f>
        <v>5740.9442887833411</v>
      </c>
      <c r="T45" s="32">
        <f>$A45*VLOOKUP($B45&amp;$D45,$B$13:$X$24,T$30+1,FALSE)*VLOOKUP($C45,Overlap!$A$3:$B$15,2,FALSE)</f>
        <v>5791.6687272334475</v>
      </c>
      <c r="U45" s="32">
        <f>$A45*VLOOKUP($B45&amp;$D45,$B$13:$X$24,U$30+1,FALSE)*VLOOKUP($C45,Overlap!$A$3:$B$15,2,FALSE)</f>
        <v>5843.1057105484888</v>
      </c>
      <c r="V45" s="32">
        <f>$A45*VLOOKUP($B45&amp;$D45,$B$13:$X$24,V$30+1,FALSE)*VLOOKUP($C45,Overlap!$A$3:$B$15,2,FALSE)</f>
        <v>5895.0971131569513</v>
      </c>
      <c r="W45" s="32">
        <f>$A45*VLOOKUP($B45&amp;$D45,$B$13:$X$24,W$30+1,FALSE)*VLOOKUP($C45,Overlap!$A$3:$B$15,2,FALSE)</f>
        <v>5947.633504099882</v>
      </c>
      <c r="X45" s="32">
        <f>$A45*VLOOKUP($B45&amp;$D45,$B$13:$X$24,X$30+1,FALSE)*VLOOKUP($C45,Overlap!$A$3:$B$15,2,FALSE)</f>
        <v>6000.5765165403536</v>
      </c>
      <c r="Y45" s="32"/>
      <c r="Z45" s="32" t="str">
        <f t="shared" si="3"/>
        <v>Wheel/hand line systems: Replace worn nozzle with new nozzle Montana</v>
      </c>
      <c r="AA45" s="41">
        <f>VLOOKUP(B45&amp;D45,$B$13:$X$24,$X$30+1,FALSE)*$AA$29*A45*VLOOKUP($C45,Overlap!$A$3:$B$15,2,FALSE)</f>
        <v>5100.4900390593002</v>
      </c>
    </row>
    <row r="46" spans="1:27">
      <c r="A46" s="50">
        <f>INDEX([2]APPLIC!$B$8:$F$67,MATCH($C46,[2]APPLIC!$B$9:$B$67,0)+1,MATCH($D46,[2]APPLIC!$C$8:$F$8,0)+1)</f>
        <v>0.30000000000000004</v>
      </c>
      <c r="B46" s="77" t="s">
        <v>1271</v>
      </c>
      <c r="C46" s="7" t="s">
        <v>1294</v>
      </c>
      <c r="D46" s="7" t="s">
        <v>149</v>
      </c>
      <c r="E46" s="32">
        <f>$A46*VLOOKUP($B46&amp;$D46,$B$13:$X$24,E$30+1,FALSE)*VLOOKUP($C46,Overlap!$A$3:$B$15,2,FALSE)</f>
        <v>10128.307457518817</v>
      </c>
      <c r="F46" s="32">
        <f>$A46*VLOOKUP($B46&amp;$D46,$B$13:$X$24,F$30+1,FALSE)*VLOOKUP($C46,Overlap!$A$3:$B$15,2,FALSE)</f>
        <v>10238.181790905255</v>
      </c>
      <c r="G46" s="32">
        <f>$A46*VLOOKUP($B46&amp;$D46,$B$13:$X$24,G$30+1,FALSE)*VLOOKUP($C46,Overlap!$A$3:$B$15,2,FALSE)</f>
        <v>10346.631539102265</v>
      </c>
      <c r="H46" s="32">
        <f>$A46*VLOOKUP($B46&amp;$D46,$B$13:$X$24,H$30+1,FALSE)*VLOOKUP($C46,Overlap!$A$3:$B$15,2,FALSE)</f>
        <v>10457.881750482466</v>
      </c>
      <c r="I46" s="32">
        <f>$A46*VLOOKUP($B46&amp;$D46,$B$13:$X$24,I$30+1,FALSE)*VLOOKUP($C46,Overlap!$A$3:$B$15,2,FALSE)</f>
        <v>10570.392853717023</v>
      </c>
      <c r="J46" s="32">
        <f>$A46*VLOOKUP($B46&amp;$D46,$B$13:$X$24,J$30+1,FALSE)*VLOOKUP($C46,Overlap!$A$3:$B$15,2,FALSE)</f>
        <v>10651.327599339244</v>
      </c>
      <c r="K46" s="32">
        <f>$A46*VLOOKUP($B46&amp;$D46,$B$13:$X$24,K$30+1,FALSE)*VLOOKUP($C46,Overlap!$A$3:$B$15,2,FALSE)</f>
        <v>10732.844412909781</v>
      </c>
      <c r="L46" s="32">
        <f>$A46*VLOOKUP($B46&amp;$D46,$B$13:$X$24,L$30+1,FALSE)*VLOOKUP($C46,Overlap!$A$3:$B$15,2,FALSE)</f>
        <v>10817.886835306419</v>
      </c>
      <c r="M46" s="32">
        <f>$A46*VLOOKUP($B46&amp;$D46,$B$13:$X$24,M$30+1,FALSE)*VLOOKUP($C46,Overlap!$A$3:$B$15,2,FALSE)</f>
        <v>10906.008317924325</v>
      </c>
      <c r="N46" s="32">
        <f>$A46*VLOOKUP($B46&amp;$D46,$B$13:$X$24,N$30+1,FALSE)*VLOOKUP($C46,Overlap!$A$3:$B$15,2,FALSE)</f>
        <v>10996.869375132566</v>
      </c>
      <c r="O46" s="32">
        <f>$A46*VLOOKUP($B46&amp;$D46,$B$13:$X$24,O$30+1,FALSE)*VLOOKUP($C46,Overlap!$A$3:$B$15,2,FALSE)</f>
        <v>11090.027797591698</v>
      </c>
      <c r="P46" s="32">
        <f>$A46*VLOOKUP($B46&amp;$D46,$B$13:$X$24,P$30+1,FALSE)*VLOOKUP($C46,Overlap!$A$3:$B$15,2,FALSE)</f>
        <v>11185.334237728088</v>
      </c>
      <c r="Q46" s="32">
        <f>$A46*VLOOKUP($B46&amp;$D46,$B$13:$X$24,Q$30+1,FALSE)*VLOOKUP($C46,Overlap!$A$3:$B$15,2,FALSE)</f>
        <v>11282.496798788534</v>
      </c>
      <c r="R46" s="32">
        <f>$A46*VLOOKUP($B46&amp;$D46,$B$13:$X$24,R$30+1,FALSE)*VLOOKUP($C46,Overlap!$A$3:$B$15,2,FALSE)</f>
        <v>11381.422634088658</v>
      </c>
      <c r="S46" s="32">
        <f>$A46*VLOOKUP($B46&amp;$D46,$B$13:$X$24,S$30+1,FALSE)*VLOOKUP($C46,Overlap!$A$3:$B$15,2,FALSE)</f>
        <v>11481.888577566682</v>
      </c>
      <c r="T46" s="32">
        <f>$A46*VLOOKUP($B46&amp;$D46,$B$13:$X$24,T$30+1,FALSE)*VLOOKUP($C46,Overlap!$A$3:$B$15,2,FALSE)</f>
        <v>11583.337454466895</v>
      </c>
      <c r="U46" s="32">
        <f>$A46*VLOOKUP($B46&amp;$D46,$B$13:$X$24,U$30+1,FALSE)*VLOOKUP($C46,Overlap!$A$3:$B$15,2,FALSE)</f>
        <v>11686.211421096978</v>
      </c>
      <c r="V46" s="32">
        <f>$A46*VLOOKUP($B46&amp;$D46,$B$13:$X$24,V$30+1,FALSE)*VLOOKUP($C46,Overlap!$A$3:$B$15,2,FALSE)</f>
        <v>11790.194226313903</v>
      </c>
      <c r="W46" s="32">
        <f>$A46*VLOOKUP($B46&amp;$D46,$B$13:$X$24,W$30+1,FALSE)*VLOOKUP($C46,Overlap!$A$3:$B$15,2,FALSE)</f>
        <v>11895.267008199764</v>
      </c>
      <c r="X46" s="32">
        <f>$A46*VLOOKUP($B46&amp;$D46,$B$13:$X$24,X$30+1,FALSE)*VLOOKUP($C46,Overlap!$A$3:$B$15,2,FALSE)</f>
        <v>12001.153033080707</v>
      </c>
      <c r="Y46" s="32"/>
      <c r="Z46" s="32" t="str">
        <f t="shared" si="3"/>
        <v>Wheel/hand line systems: Rebuild or replace leaking impact sprinkler with new or rebuilt impact sprinkler Montana</v>
      </c>
      <c r="AA46" s="41">
        <f>VLOOKUP(B46&amp;D46,$B$13:$X$24,$X$30+1,FALSE)*$AA$29*A46*VLOOKUP($C46,Overlap!$A$3:$B$15,2,FALSE)</f>
        <v>10200.9800781186</v>
      </c>
    </row>
    <row r="47" spans="1:27">
      <c r="A47" s="50">
        <f>INDEX([2]APPLIC!$B$8:$F$67,MATCH($C47,[2]APPLIC!$B$9:$B$67,0)+1,MATCH($D47,[2]APPLIC!$C$8:$F$8,0)+1)</f>
        <v>0.30000000000000004</v>
      </c>
      <c r="B47" s="77" t="s">
        <v>1271</v>
      </c>
      <c r="C47" s="7" t="s">
        <v>1296</v>
      </c>
      <c r="D47" s="7" t="s">
        <v>149</v>
      </c>
      <c r="E47" s="32">
        <f>$A47*VLOOKUP($B47&amp;$D47,$B$13:$X$24,E$30+1,FALSE)*VLOOKUP($C47,Overlap!$A$3:$B$15,2,FALSE)</f>
        <v>10128.307457518817</v>
      </c>
      <c r="F47" s="32">
        <f>$A47*VLOOKUP($B47&amp;$D47,$B$13:$X$24,F$30+1,FALSE)*VLOOKUP($C47,Overlap!$A$3:$B$15,2,FALSE)</f>
        <v>10238.181790905255</v>
      </c>
      <c r="G47" s="32">
        <f>$A47*VLOOKUP($B47&amp;$D47,$B$13:$X$24,G$30+1,FALSE)*VLOOKUP($C47,Overlap!$A$3:$B$15,2,FALSE)</f>
        <v>10346.631539102265</v>
      </c>
      <c r="H47" s="32">
        <f>$A47*VLOOKUP($B47&amp;$D47,$B$13:$X$24,H$30+1,FALSE)*VLOOKUP($C47,Overlap!$A$3:$B$15,2,FALSE)</f>
        <v>10457.881750482466</v>
      </c>
      <c r="I47" s="32">
        <f>$A47*VLOOKUP($B47&amp;$D47,$B$13:$X$24,I$30+1,FALSE)*VLOOKUP($C47,Overlap!$A$3:$B$15,2,FALSE)</f>
        <v>10570.392853717023</v>
      </c>
      <c r="J47" s="32">
        <f>$A47*VLOOKUP($B47&amp;$D47,$B$13:$X$24,J$30+1,FALSE)*VLOOKUP($C47,Overlap!$A$3:$B$15,2,FALSE)</f>
        <v>10651.327599339244</v>
      </c>
      <c r="K47" s="32">
        <f>$A47*VLOOKUP($B47&amp;$D47,$B$13:$X$24,K$30+1,FALSE)*VLOOKUP($C47,Overlap!$A$3:$B$15,2,FALSE)</f>
        <v>10732.844412909781</v>
      </c>
      <c r="L47" s="32">
        <f>$A47*VLOOKUP($B47&amp;$D47,$B$13:$X$24,L$30+1,FALSE)*VLOOKUP($C47,Overlap!$A$3:$B$15,2,FALSE)</f>
        <v>10817.886835306419</v>
      </c>
      <c r="M47" s="32">
        <f>$A47*VLOOKUP($B47&amp;$D47,$B$13:$X$24,M$30+1,FALSE)*VLOOKUP($C47,Overlap!$A$3:$B$15,2,FALSE)</f>
        <v>10906.008317924325</v>
      </c>
      <c r="N47" s="32">
        <f>$A47*VLOOKUP($B47&amp;$D47,$B$13:$X$24,N$30+1,FALSE)*VLOOKUP($C47,Overlap!$A$3:$B$15,2,FALSE)</f>
        <v>10996.869375132566</v>
      </c>
      <c r="O47" s="32">
        <f>$A47*VLOOKUP($B47&amp;$D47,$B$13:$X$24,O$30+1,FALSE)*VLOOKUP($C47,Overlap!$A$3:$B$15,2,FALSE)</f>
        <v>11090.027797591698</v>
      </c>
      <c r="P47" s="32">
        <f>$A47*VLOOKUP($B47&amp;$D47,$B$13:$X$24,P$30+1,FALSE)*VLOOKUP($C47,Overlap!$A$3:$B$15,2,FALSE)</f>
        <v>11185.334237728088</v>
      </c>
      <c r="Q47" s="32">
        <f>$A47*VLOOKUP($B47&amp;$D47,$B$13:$X$24,Q$30+1,FALSE)*VLOOKUP($C47,Overlap!$A$3:$B$15,2,FALSE)</f>
        <v>11282.496798788534</v>
      </c>
      <c r="R47" s="32">
        <f>$A47*VLOOKUP($B47&amp;$D47,$B$13:$X$24,R$30+1,FALSE)*VLOOKUP($C47,Overlap!$A$3:$B$15,2,FALSE)</f>
        <v>11381.422634088658</v>
      </c>
      <c r="S47" s="32">
        <f>$A47*VLOOKUP($B47&amp;$D47,$B$13:$X$24,S$30+1,FALSE)*VLOOKUP($C47,Overlap!$A$3:$B$15,2,FALSE)</f>
        <v>11481.888577566682</v>
      </c>
      <c r="T47" s="32">
        <f>$A47*VLOOKUP($B47&amp;$D47,$B$13:$X$24,T$30+1,FALSE)*VLOOKUP($C47,Overlap!$A$3:$B$15,2,FALSE)</f>
        <v>11583.337454466895</v>
      </c>
      <c r="U47" s="32">
        <f>$A47*VLOOKUP($B47&amp;$D47,$B$13:$X$24,U$30+1,FALSE)*VLOOKUP($C47,Overlap!$A$3:$B$15,2,FALSE)</f>
        <v>11686.211421096978</v>
      </c>
      <c r="V47" s="32">
        <f>$A47*VLOOKUP($B47&amp;$D47,$B$13:$X$24,V$30+1,FALSE)*VLOOKUP($C47,Overlap!$A$3:$B$15,2,FALSE)</f>
        <v>11790.194226313903</v>
      </c>
      <c r="W47" s="32">
        <f>$A47*VLOOKUP($B47&amp;$D47,$B$13:$X$24,W$30+1,FALSE)*VLOOKUP($C47,Overlap!$A$3:$B$15,2,FALSE)</f>
        <v>11895.267008199764</v>
      </c>
      <c r="X47" s="32">
        <f>$A47*VLOOKUP($B47&amp;$D47,$B$13:$X$24,X$30+1,FALSE)*VLOOKUP($C47,Overlap!$A$3:$B$15,2,FALSE)</f>
        <v>12001.153033080707</v>
      </c>
      <c r="Y47" s="32"/>
      <c r="Z47" s="32" t="str">
        <f t="shared" si="3"/>
        <v>Wheel/hand line systems: Replace leaking gasket with new gasket Montana</v>
      </c>
      <c r="AA47" s="41">
        <f>VLOOKUP(B47&amp;D47,$B$13:$X$24,$X$30+1,FALSE)*$AA$29*A47*VLOOKUP($C47,Overlap!$A$3:$B$15,2,FALSE)</f>
        <v>10200.9800781186</v>
      </c>
    </row>
    <row r="48" spans="1:27">
      <c r="A48" s="50">
        <f>INDEX([2]APPLIC!$B$8:$F$67,MATCH($C48,[2]APPLIC!$B$9:$B$67,0)+1,MATCH($D48,[2]APPLIC!$C$8:$F$8,0)+1)</f>
        <v>0.30000000000000004</v>
      </c>
      <c r="B48" s="77" t="s">
        <v>1271</v>
      </c>
      <c r="C48" s="7" t="s">
        <v>1298</v>
      </c>
      <c r="D48" s="7" t="s">
        <v>149</v>
      </c>
      <c r="E48" s="32">
        <f>$A48*VLOOKUP($B48&amp;$D48,$B$13:$X$24,E$30+1,FALSE)*VLOOKUP($C48,Overlap!$A$3:$B$15,2,FALSE)</f>
        <v>10128.307457518817</v>
      </c>
      <c r="F48" s="32">
        <f>$A48*VLOOKUP($B48&amp;$D48,$B$13:$X$24,F$30+1,FALSE)*VLOOKUP($C48,Overlap!$A$3:$B$15,2,FALSE)</f>
        <v>10238.181790905255</v>
      </c>
      <c r="G48" s="32">
        <f>$A48*VLOOKUP($B48&amp;$D48,$B$13:$X$24,G$30+1,FALSE)*VLOOKUP($C48,Overlap!$A$3:$B$15,2,FALSE)</f>
        <v>10346.631539102265</v>
      </c>
      <c r="H48" s="32">
        <f>$A48*VLOOKUP($B48&amp;$D48,$B$13:$X$24,H$30+1,FALSE)*VLOOKUP($C48,Overlap!$A$3:$B$15,2,FALSE)</f>
        <v>10457.881750482466</v>
      </c>
      <c r="I48" s="32">
        <f>$A48*VLOOKUP($B48&amp;$D48,$B$13:$X$24,I$30+1,FALSE)*VLOOKUP($C48,Overlap!$A$3:$B$15,2,FALSE)</f>
        <v>10570.392853717023</v>
      </c>
      <c r="J48" s="32">
        <f>$A48*VLOOKUP($B48&amp;$D48,$B$13:$X$24,J$30+1,FALSE)*VLOOKUP($C48,Overlap!$A$3:$B$15,2,FALSE)</f>
        <v>10651.327599339244</v>
      </c>
      <c r="K48" s="32">
        <f>$A48*VLOOKUP($B48&amp;$D48,$B$13:$X$24,K$30+1,FALSE)*VLOOKUP($C48,Overlap!$A$3:$B$15,2,FALSE)</f>
        <v>10732.844412909781</v>
      </c>
      <c r="L48" s="32">
        <f>$A48*VLOOKUP($B48&amp;$D48,$B$13:$X$24,L$30+1,FALSE)*VLOOKUP($C48,Overlap!$A$3:$B$15,2,FALSE)</f>
        <v>10817.886835306419</v>
      </c>
      <c r="M48" s="32">
        <f>$A48*VLOOKUP($B48&amp;$D48,$B$13:$X$24,M$30+1,FALSE)*VLOOKUP($C48,Overlap!$A$3:$B$15,2,FALSE)</f>
        <v>10906.008317924325</v>
      </c>
      <c r="N48" s="32">
        <f>$A48*VLOOKUP($B48&amp;$D48,$B$13:$X$24,N$30+1,FALSE)*VLOOKUP($C48,Overlap!$A$3:$B$15,2,FALSE)</f>
        <v>10996.869375132566</v>
      </c>
      <c r="O48" s="32">
        <f>$A48*VLOOKUP($B48&amp;$D48,$B$13:$X$24,O$30+1,FALSE)*VLOOKUP($C48,Overlap!$A$3:$B$15,2,FALSE)</f>
        <v>11090.027797591698</v>
      </c>
      <c r="P48" s="32">
        <f>$A48*VLOOKUP($B48&amp;$D48,$B$13:$X$24,P$30+1,FALSE)*VLOOKUP($C48,Overlap!$A$3:$B$15,2,FALSE)</f>
        <v>11185.334237728088</v>
      </c>
      <c r="Q48" s="32">
        <f>$A48*VLOOKUP($B48&amp;$D48,$B$13:$X$24,Q$30+1,FALSE)*VLOOKUP($C48,Overlap!$A$3:$B$15,2,FALSE)</f>
        <v>11282.496798788534</v>
      </c>
      <c r="R48" s="32">
        <f>$A48*VLOOKUP($B48&amp;$D48,$B$13:$X$24,R$30+1,FALSE)*VLOOKUP($C48,Overlap!$A$3:$B$15,2,FALSE)</f>
        <v>11381.422634088658</v>
      </c>
      <c r="S48" s="32">
        <f>$A48*VLOOKUP($B48&amp;$D48,$B$13:$X$24,S$30+1,FALSE)*VLOOKUP($C48,Overlap!$A$3:$B$15,2,FALSE)</f>
        <v>11481.888577566682</v>
      </c>
      <c r="T48" s="32">
        <f>$A48*VLOOKUP($B48&amp;$D48,$B$13:$X$24,T$30+1,FALSE)*VLOOKUP($C48,Overlap!$A$3:$B$15,2,FALSE)</f>
        <v>11583.337454466895</v>
      </c>
      <c r="U48" s="32">
        <f>$A48*VLOOKUP($B48&amp;$D48,$B$13:$X$24,U$30+1,FALSE)*VLOOKUP($C48,Overlap!$A$3:$B$15,2,FALSE)</f>
        <v>11686.211421096978</v>
      </c>
      <c r="V48" s="32">
        <f>$A48*VLOOKUP($B48&amp;$D48,$B$13:$X$24,V$30+1,FALSE)*VLOOKUP($C48,Overlap!$A$3:$B$15,2,FALSE)</f>
        <v>11790.194226313903</v>
      </c>
      <c r="W48" s="32">
        <f>$A48*VLOOKUP($B48&amp;$D48,$B$13:$X$24,W$30+1,FALSE)*VLOOKUP($C48,Overlap!$A$3:$B$15,2,FALSE)</f>
        <v>11895.267008199764</v>
      </c>
      <c r="X48" s="32">
        <f>$A48*VLOOKUP($B48&amp;$D48,$B$13:$X$24,X$30+1,FALSE)*VLOOKUP($C48,Overlap!$A$3:$B$15,2,FALSE)</f>
        <v>12001.153033080707</v>
      </c>
      <c r="Y48" s="32"/>
      <c r="Z48" s="32" t="str">
        <f t="shared" si="3"/>
        <v>Wheel/hand line systems: Replace leaking drain with new drain Montana</v>
      </c>
      <c r="AA48" s="41">
        <f>VLOOKUP(B48&amp;D48,$B$13:$X$24,$X$30+1,FALSE)*$AA$29*A48*VLOOKUP($C48,Overlap!$A$3:$B$15,2,FALSE)</f>
        <v>10200.9800781186</v>
      </c>
    </row>
    <row r="49" spans="1:27">
      <c r="A49" s="50">
        <f>INDEX([2]APPLIC!$B$8:$F$67,MATCH($C49,[2]APPLIC!$B$9:$B$67,0)+1,MATCH($D49,[2]APPLIC!$C$8:$F$8,0)+1)</f>
        <v>0.30000000000000004</v>
      </c>
      <c r="B49" s="77" t="s">
        <v>1271</v>
      </c>
      <c r="C49" s="7" t="s">
        <v>1300</v>
      </c>
      <c r="D49" s="7" t="s">
        <v>149</v>
      </c>
      <c r="E49" s="32">
        <f>$A49*VLOOKUP($B49&amp;$D49,$B$13:$X$24,E$30+1,FALSE)*VLOOKUP($C49,Overlap!$A$3:$B$15,2,FALSE)</f>
        <v>10128.307457518817</v>
      </c>
      <c r="F49" s="32">
        <f>$A49*VLOOKUP($B49&amp;$D49,$B$13:$X$24,F$30+1,FALSE)*VLOOKUP($C49,Overlap!$A$3:$B$15,2,FALSE)</f>
        <v>10238.181790905255</v>
      </c>
      <c r="G49" s="32">
        <f>$A49*VLOOKUP($B49&amp;$D49,$B$13:$X$24,G$30+1,FALSE)*VLOOKUP($C49,Overlap!$A$3:$B$15,2,FALSE)</f>
        <v>10346.631539102265</v>
      </c>
      <c r="H49" s="32">
        <f>$A49*VLOOKUP($B49&amp;$D49,$B$13:$X$24,H$30+1,FALSE)*VLOOKUP($C49,Overlap!$A$3:$B$15,2,FALSE)</f>
        <v>10457.881750482466</v>
      </c>
      <c r="I49" s="32">
        <f>$A49*VLOOKUP($B49&amp;$D49,$B$13:$X$24,I$30+1,FALSE)*VLOOKUP($C49,Overlap!$A$3:$B$15,2,FALSE)</f>
        <v>10570.392853717023</v>
      </c>
      <c r="J49" s="32">
        <f>$A49*VLOOKUP($B49&amp;$D49,$B$13:$X$24,J$30+1,FALSE)*VLOOKUP($C49,Overlap!$A$3:$B$15,2,FALSE)</f>
        <v>10651.327599339244</v>
      </c>
      <c r="K49" s="32">
        <f>$A49*VLOOKUP($B49&amp;$D49,$B$13:$X$24,K$30+1,FALSE)*VLOOKUP($C49,Overlap!$A$3:$B$15,2,FALSE)</f>
        <v>10732.844412909781</v>
      </c>
      <c r="L49" s="32">
        <f>$A49*VLOOKUP($B49&amp;$D49,$B$13:$X$24,L$30+1,FALSE)*VLOOKUP($C49,Overlap!$A$3:$B$15,2,FALSE)</f>
        <v>10817.886835306419</v>
      </c>
      <c r="M49" s="32">
        <f>$A49*VLOOKUP($B49&amp;$D49,$B$13:$X$24,M$30+1,FALSE)*VLOOKUP($C49,Overlap!$A$3:$B$15,2,FALSE)</f>
        <v>10906.008317924325</v>
      </c>
      <c r="N49" s="32">
        <f>$A49*VLOOKUP($B49&amp;$D49,$B$13:$X$24,N$30+1,FALSE)*VLOOKUP($C49,Overlap!$A$3:$B$15,2,FALSE)</f>
        <v>10996.869375132566</v>
      </c>
      <c r="O49" s="32">
        <f>$A49*VLOOKUP($B49&amp;$D49,$B$13:$X$24,O$30+1,FALSE)*VLOOKUP($C49,Overlap!$A$3:$B$15,2,FALSE)</f>
        <v>11090.027797591698</v>
      </c>
      <c r="P49" s="32">
        <f>$A49*VLOOKUP($B49&amp;$D49,$B$13:$X$24,P$30+1,FALSE)*VLOOKUP($C49,Overlap!$A$3:$B$15,2,FALSE)</f>
        <v>11185.334237728088</v>
      </c>
      <c r="Q49" s="32">
        <f>$A49*VLOOKUP($B49&amp;$D49,$B$13:$X$24,Q$30+1,FALSE)*VLOOKUP($C49,Overlap!$A$3:$B$15,2,FALSE)</f>
        <v>11282.496798788534</v>
      </c>
      <c r="R49" s="32">
        <f>$A49*VLOOKUP($B49&amp;$D49,$B$13:$X$24,R$30+1,FALSE)*VLOOKUP($C49,Overlap!$A$3:$B$15,2,FALSE)</f>
        <v>11381.422634088658</v>
      </c>
      <c r="S49" s="32">
        <f>$A49*VLOOKUP($B49&amp;$D49,$B$13:$X$24,S$30+1,FALSE)*VLOOKUP($C49,Overlap!$A$3:$B$15,2,FALSE)</f>
        <v>11481.888577566682</v>
      </c>
      <c r="T49" s="32">
        <f>$A49*VLOOKUP($B49&amp;$D49,$B$13:$X$24,T$30+1,FALSE)*VLOOKUP($C49,Overlap!$A$3:$B$15,2,FALSE)</f>
        <v>11583.337454466895</v>
      </c>
      <c r="U49" s="32">
        <f>$A49*VLOOKUP($B49&amp;$D49,$B$13:$X$24,U$30+1,FALSE)*VLOOKUP($C49,Overlap!$A$3:$B$15,2,FALSE)</f>
        <v>11686.211421096978</v>
      </c>
      <c r="V49" s="32">
        <f>$A49*VLOOKUP($B49&amp;$D49,$B$13:$X$24,V$30+1,FALSE)*VLOOKUP($C49,Overlap!$A$3:$B$15,2,FALSE)</f>
        <v>11790.194226313903</v>
      </c>
      <c r="W49" s="32">
        <f>$A49*VLOOKUP($B49&amp;$D49,$B$13:$X$24,W$30+1,FALSE)*VLOOKUP($C49,Overlap!$A$3:$B$15,2,FALSE)</f>
        <v>11895.267008199764</v>
      </c>
      <c r="X49" s="32">
        <f>$A49*VLOOKUP($B49&amp;$D49,$B$13:$X$24,X$30+1,FALSE)*VLOOKUP($C49,Overlap!$A$3:$B$15,2,FALSE)</f>
        <v>12001.153033080707</v>
      </c>
      <c r="Y49" s="32"/>
      <c r="Z49" s="32" t="str">
        <f t="shared" si="3"/>
        <v>Wheel/hand line systems: Cut and pipe press repair of leaking hand-lines, wheel-lines, and portable main-lines Montana</v>
      </c>
      <c r="AA49" s="41">
        <f>VLOOKUP(B49&amp;D49,$B$13:$X$24,$X$30+1,FALSE)*$AA$29*A49*VLOOKUP($C49,Overlap!$A$3:$B$15,2,FALSE)</f>
        <v>10200.9800781186</v>
      </c>
    </row>
    <row r="50" spans="1:27">
      <c r="A50" s="50">
        <f>INDEX([2]APPLIC!$B$8:$F$67,MATCH($C50,[2]APPLIC!$B$9:$B$67,0)+1,MATCH($D50,[2]APPLIC!$C$8:$F$8,0)+1)</f>
        <v>0.30000000000000004</v>
      </c>
      <c r="B50" s="77" t="s">
        <v>1273</v>
      </c>
      <c r="C50" s="7" t="s">
        <v>1302</v>
      </c>
      <c r="D50" s="7" t="s">
        <v>149</v>
      </c>
      <c r="E50" s="32">
        <f>$A50*VLOOKUP($B50&amp;$D50,$B$13:$X$24,E$30+1,FALSE)*VLOOKUP($C50,Overlap!$A$3:$B$15,2,FALSE)</f>
        <v>762.41565664872508</v>
      </c>
      <c r="F50" s="32">
        <f>$A50*VLOOKUP($B50&amp;$D50,$B$13:$X$24,F$30+1,FALSE)*VLOOKUP($C50,Overlap!$A$3:$B$15,2,FALSE)</f>
        <v>770.68652642524205</v>
      </c>
      <c r="G50" s="32">
        <f>$A50*VLOOKUP($B50&amp;$D50,$B$13:$X$24,G$30+1,FALSE)*VLOOKUP($C50,Overlap!$A$3:$B$15,2,FALSE)</f>
        <v>778.85015952305355</v>
      </c>
      <c r="H50" s="32">
        <f>$A50*VLOOKUP($B50&amp;$D50,$B$13:$X$24,H$30+1,FALSE)*VLOOKUP($C50,Overlap!$A$3:$B$15,2,FALSE)</f>
        <v>787.2245995089545</v>
      </c>
      <c r="I50" s="32">
        <f>$A50*VLOOKUP($B50&amp;$D50,$B$13:$X$24,I$30+1,FALSE)*VLOOKUP($C50,Overlap!$A$3:$B$15,2,FALSE)</f>
        <v>795.69395403957435</v>
      </c>
      <c r="J50" s="32">
        <f>$A50*VLOOKUP($B50&amp;$D50,$B$13:$X$24,J$30+1,FALSE)*VLOOKUP($C50,Overlap!$A$3:$B$15,2,FALSE)</f>
        <v>801.78637545234017</v>
      </c>
      <c r="K50" s="32">
        <f>$A50*VLOOKUP($B50&amp;$D50,$B$13:$X$24,K$30+1,FALSE)*VLOOKUP($C50,Overlap!$A$3:$B$15,2,FALSE)</f>
        <v>807.92261245017698</v>
      </c>
      <c r="L50" s="32">
        <f>$A50*VLOOKUP($B50&amp;$D50,$B$13:$X$24,L$30+1,FALSE)*VLOOKUP($C50,Overlap!$A$3:$B$15,2,FALSE)</f>
        <v>814.32424219793893</v>
      </c>
      <c r="M50" s="32">
        <f>$A50*VLOOKUP($B50&amp;$D50,$B$13:$X$24,M$30+1,FALSE)*VLOOKUP($C50,Overlap!$A$3:$B$15,2,FALSE)</f>
        <v>820.9576504269827</v>
      </c>
      <c r="N50" s="32">
        <f>$A50*VLOOKUP($B50&amp;$D50,$B$13:$X$24,N$30+1,FALSE)*VLOOKUP($C50,Overlap!$A$3:$B$15,2,FALSE)</f>
        <v>827.79728211132635</v>
      </c>
      <c r="O50" s="32">
        <f>$A50*VLOOKUP($B50&amp;$D50,$B$13:$X$24,O$30+1,FALSE)*VLOOKUP($C50,Overlap!$A$3:$B$15,2,FALSE)</f>
        <v>834.80984962366142</v>
      </c>
      <c r="P50" s="32">
        <f>$A50*VLOOKUP($B50&amp;$D50,$B$13:$X$24,P$30+1,FALSE)*VLOOKUP($C50,Overlap!$A$3:$B$15,2,FALSE)</f>
        <v>841.98411071755197</v>
      </c>
      <c r="Q50" s="32">
        <f>$A50*VLOOKUP($B50&amp;$D50,$B$13:$X$24,Q$30+1,FALSE)*VLOOKUP($C50,Overlap!$A$3:$B$15,2,FALSE)</f>
        <v>849.2980926541469</v>
      </c>
      <c r="R50" s="32">
        <f>$A50*VLOOKUP($B50&amp;$D50,$B$13:$X$24,R$30+1,FALSE)*VLOOKUP($C50,Overlap!$A$3:$B$15,2,FALSE)</f>
        <v>856.74480633224312</v>
      </c>
      <c r="S50" s="32">
        <f>$A50*VLOOKUP($B50&amp;$D50,$B$13:$X$24,S$30+1,FALSE)*VLOOKUP($C50,Overlap!$A$3:$B$15,2,FALSE)</f>
        <v>864.30745276541074</v>
      </c>
      <c r="T50" s="32">
        <f>$A50*VLOOKUP($B50&amp;$D50,$B$13:$X$24,T$30+1,FALSE)*VLOOKUP($C50,Overlap!$A$3:$B$15,2,FALSE)</f>
        <v>871.94409022162597</v>
      </c>
      <c r="U50" s="32">
        <f>$A50*VLOOKUP($B50&amp;$D50,$B$13:$X$24,U$30+1,FALSE)*VLOOKUP($C50,Overlap!$A$3:$B$15,2,FALSE)</f>
        <v>879.68800233619243</v>
      </c>
      <c r="V50" s="32">
        <f>$A50*VLOOKUP($B50&amp;$D50,$B$13:$X$24,V$30+1,FALSE)*VLOOKUP($C50,Overlap!$A$3:$B$15,2,FALSE)</f>
        <v>887.51538307598082</v>
      </c>
      <c r="W50" s="32">
        <f>$A50*VLOOKUP($B50&amp;$D50,$B$13:$X$24,W$30+1,FALSE)*VLOOKUP($C50,Overlap!$A$3:$B$15,2,FALSE)</f>
        <v>895.42481259650231</v>
      </c>
      <c r="X50" s="32">
        <f>$A50*VLOOKUP($B50&amp;$D50,$B$13:$X$24,X$30+1,FALSE)*VLOOKUP($C50,Overlap!$A$3:$B$15,2,FALSE)</f>
        <v>903.39545957065184</v>
      </c>
      <c r="Y50" s="32"/>
      <c r="Z50" s="32" t="str">
        <f t="shared" si="3"/>
        <v>Thunderbird wheel line systems: Replace leaking hub with new hub Montana</v>
      </c>
      <c r="AA50" s="41">
        <f>VLOOKUP(B50&amp;D50,$B$13:$X$24,$X$30+1,FALSE)*$AA$29*A50*VLOOKUP($C50,Overlap!$A$3:$B$15,2,FALSE)</f>
        <v>767.88614063505395</v>
      </c>
    </row>
    <row r="51" spans="1:27">
      <c r="A51" s="50">
        <f>INDEX([2]APPLIC!$B$8:$F$67,MATCH($C51,[2]APPLIC!$B$9:$B$67,0)+1,MATCH($D51,[2]APPLIC!$C$8:$F$8,0)+1)</f>
        <v>0.30000000000000004</v>
      </c>
      <c r="B51" s="77" t="s">
        <v>1273</v>
      </c>
      <c r="C51" s="7" t="s">
        <v>1304</v>
      </c>
      <c r="D51" s="7" t="s">
        <v>149</v>
      </c>
      <c r="E51" s="32">
        <f>$A51*VLOOKUP($B51&amp;$D51,$B$13:$X$24,E$30+1,FALSE)*VLOOKUP($C51,Overlap!$A$3:$B$15,2,FALSE)</f>
        <v>762.41565664872508</v>
      </c>
      <c r="F51" s="32">
        <f>$A51*VLOOKUP($B51&amp;$D51,$B$13:$X$24,F$30+1,FALSE)*VLOOKUP($C51,Overlap!$A$3:$B$15,2,FALSE)</f>
        <v>770.68652642524205</v>
      </c>
      <c r="G51" s="32">
        <f>$A51*VLOOKUP($B51&amp;$D51,$B$13:$X$24,G$30+1,FALSE)*VLOOKUP($C51,Overlap!$A$3:$B$15,2,FALSE)</f>
        <v>778.85015952305355</v>
      </c>
      <c r="H51" s="32">
        <f>$A51*VLOOKUP($B51&amp;$D51,$B$13:$X$24,H$30+1,FALSE)*VLOOKUP($C51,Overlap!$A$3:$B$15,2,FALSE)</f>
        <v>787.2245995089545</v>
      </c>
      <c r="I51" s="32">
        <f>$A51*VLOOKUP($B51&amp;$D51,$B$13:$X$24,I$30+1,FALSE)*VLOOKUP($C51,Overlap!$A$3:$B$15,2,FALSE)</f>
        <v>795.69395403957435</v>
      </c>
      <c r="J51" s="32">
        <f>$A51*VLOOKUP($B51&amp;$D51,$B$13:$X$24,J$30+1,FALSE)*VLOOKUP($C51,Overlap!$A$3:$B$15,2,FALSE)</f>
        <v>801.78637545234017</v>
      </c>
      <c r="K51" s="32">
        <f>$A51*VLOOKUP($B51&amp;$D51,$B$13:$X$24,K$30+1,FALSE)*VLOOKUP($C51,Overlap!$A$3:$B$15,2,FALSE)</f>
        <v>807.92261245017698</v>
      </c>
      <c r="L51" s="32">
        <f>$A51*VLOOKUP($B51&amp;$D51,$B$13:$X$24,L$30+1,FALSE)*VLOOKUP($C51,Overlap!$A$3:$B$15,2,FALSE)</f>
        <v>814.32424219793893</v>
      </c>
      <c r="M51" s="32">
        <f>$A51*VLOOKUP($B51&amp;$D51,$B$13:$X$24,M$30+1,FALSE)*VLOOKUP($C51,Overlap!$A$3:$B$15,2,FALSE)</f>
        <v>820.9576504269827</v>
      </c>
      <c r="N51" s="32">
        <f>$A51*VLOOKUP($B51&amp;$D51,$B$13:$X$24,N$30+1,FALSE)*VLOOKUP($C51,Overlap!$A$3:$B$15,2,FALSE)</f>
        <v>827.79728211132635</v>
      </c>
      <c r="O51" s="32">
        <f>$A51*VLOOKUP($B51&amp;$D51,$B$13:$X$24,O$30+1,FALSE)*VLOOKUP($C51,Overlap!$A$3:$B$15,2,FALSE)</f>
        <v>834.80984962366142</v>
      </c>
      <c r="P51" s="32">
        <f>$A51*VLOOKUP($B51&amp;$D51,$B$13:$X$24,P$30+1,FALSE)*VLOOKUP($C51,Overlap!$A$3:$B$15,2,FALSE)</f>
        <v>841.98411071755197</v>
      </c>
      <c r="Q51" s="32">
        <f>$A51*VLOOKUP($B51&amp;$D51,$B$13:$X$24,Q$30+1,FALSE)*VLOOKUP($C51,Overlap!$A$3:$B$15,2,FALSE)</f>
        <v>849.2980926541469</v>
      </c>
      <c r="R51" s="32">
        <f>$A51*VLOOKUP($B51&amp;$D51,$B$13:$X$24,R$30+1,FALSE)*VLOOKUP($C51,Overlap!$A$3:$B$15,2,FALSE)</f>
        <v>856.74480633224312</v>
      </c>
      <c r="S51" s="32">
        <f>$A51*VLOOKUP($B51&amp;$D51,$B$13:$X$24,S$30+1,FALSE)*VLOOKUP($C51,Overlap!$A$3:$B$15,2,FALSE)</f>
        <v>864.30745276541074</v>
      </c>
      <c r="T51" s="32">
        <f>$A51*VLOOKUP($B51&amp;$D51,$B$13:$X$24,T$30+1,FALSE)*VLOOKUP($C51,Overlap!$A$3:$B$15,2,FALSE)</f>
        <v>871.94409022162597</v>
      </c>
      <c r="U51" s="32">
        <f>$A51*VLOOKUP($B51&amp;$D51,$B$13:$X$24,U$30+1,FALSE)*VLOOKUP($C51,Overlap!$A$3:$B$15,2,FALSE)</f>
        <v>879.68800233619243</v>
      </c>
      <c r="V51" s="32">
        <f>$A51*VLOOKUP($B51&amp;$D51,$B$13:$X$24,V$30+1,FALSE)*VLOOKUP($C51,Overlap!$A$3:$B$15,2,FALSE)</f>
        <v>887.51538307598082</v>
      </c>
      <c r="W51" s="32">
        <f>$A51*VLOOKUP($B51&amp;$D51,$B$13:$X$24,W$30+1,FALSE)*VLOOKUP($C51,Overlap!$A$3:$B$15,2,FALSE)</f>
        <v>895.42481259650231</v>
      </c>
      <c r="X51" s="32">
        <f>$A51*VLOOKUP($B51&amp;$D51,$B$13:$X$24,X$30+1,FALSE)*VLOOKUP($C51,Overlap!$A$3:$B$15,2,FALSE)</f>
        <v>903.39545957065184</v>
      </c>
      <c r="Y51" s="32"/>
      <c r="Z51" s="32" t="str">
        <f t="shared" si="3"/>
        <v>Wheel line systems: Rebuild or replace leaking or malfunctioning leveler with new or rebuilt leveler. Montana</v>
      </c>
      <c r="AA51" s="41">
        <f>VLOOKUP(B51&amp;D51,$B$13:$X$24,$X$30+1,FALSE)*$AA$29*A51*VLOOKUP($C51,Overlap!$A$3:$B$15,2,FALSE)</f>
        <v>767.88614063505395</v>
      </c>
    </row>
    <row r="52" spans="1:27">
      <c r="A52" s="50">
        <f>INDEX([2]APPLIC!$B$8:$F$67,MATCH($C52,[2]APPLIC!$B$9:$B$67,0)+1,MATCH($D52,[2]APPLIC!$C$8:$F$8,0)+1)</f>
        <v>0.30000000000000004</v>
      </c>
      <c r="B52" s="77" t="s">
        <v>1272</v>
      </c>
      <c r="C52" s="7" t="s">
        <v>1306</v>
      </c>
      <c r="D52" s="7" t="s">
        <v>149</v>
      </c>
      <c r="E52" s="32">
        <f>$A52*VLOOKUP($B52&amp;$D52,$B$13:$X$24,E$30+1,FALSE)*VLOOKUP($C52,Overlap!$A$3:$B$15,2,FALSE)</f>
        <v>32280.311434094987</v>
      </c>
      <c r="F52" s="32">
        <f>$A52*VLOOKUP($B52&amp;$D52,$B$13:$X$24,F$30+1,FALSE)*VLOOKUP($C52,Overlap!$A$3:$B$15,2,FALSE)</f>
        <v>32630.496074046343</v>
      </c>
      <c r="G52" s="32">
        <f>$A52*VLOOKUP($B52&amp;$D52,$B$13:$X$24,G$30+1,FALSE)*VLOOKUP($C52,Overlap!$A$3:$B$15,2,FALSE)</f>
        <v>32976.140364707142</v>
      </c>
      <c r="H52" s="32">
        <f>$A52*VLOOKUP($B52&amp;$D52,$B$13:$X$24,H$30+1,FALSE)*VLOOKUP($C52,Overlap!$A$3:$B$15,2,FALSE)</f>
        <v>33330.710117405142</v>
      </c>
      <c r="I52" s="32">
        <f>$A52*VLOOKUP($B52&amp;$D52,$B$13:$X$24,I$30+1,FALSE)*VLOOKUP($C52,Overlap!$A$3:$B$15,2,FALSE)</f>
        <v>33689.298506179715</v>
      </c>
      <c r="J52" s="32">
        <f>$A52*VLOOKUP($B52&amp;$D52,$B$13:$X$24,J$30+1,FALSE)*VLOOKUP($C52,Overlap!$A$3:$B$15,2,FALSE)</f>
        <v>33947.24869237643</v>
      </c>
      <c r="K52" s="32">
        <f>$A52*VLOOKUP($B52&amp;$D52,$B$13:$X$24,K$30+1,FALSE)*VLOOKUP($C52,Overlap!$A$3:$B$15,2,FALSE)</f>
        <v>34207.054009326857</v>
      </c>
      <c r="L52" s="32">
        <f>$A52*VLOOKUP($B52&amp;$D52,$B$13:$X$24,L$30+1,FALSE)*VLOOKUP($C52,Overlap!$A$3:$B$15,2,FALSE)</f>
        <v>34478.095927395349</v>
      </c>
      <c r="M52" s="32">
        <f>$A52*VLOOKUP($B52&amp;$D52,$B$13:$X$24,M$30+1,FALSE)*VLOOKUP($C52,Overlap!$A$3:$B$15,2,FALSE)</f>
        <v>34758.951234648928</v>
      </c>
      <c r="N52" s="32">
        <f>$A52*VLOOKUP($B52&amp;$D52,$B$13:$X$24,N$30+1,FALSE)*VLOOKUP($C52,Overlap!$A$3:$B$15,2,FALSE)</f>
        <v>35048.537943604511</v>
      </c>
      <c r="O52" s="32">
        <f>$A52*VLOOKUP($B52&amp;$D52,$B$13:$X$24,O$30+1,FALSE)*VLOOKUP($C52,Overlap!$A$3:$B$15,2,FALSE)</f>
        <v>35345.446672165803</v>
      </c>
      <c r="P52" s="32">
        <f>$A52*VLOOKUP($B52&amp;$D52,$B$13:$X$24,P$30+1,FALSE)*VLOOKUP($C52,Overlap!$A$3:$B$15,2,FALSE)</f>
        <v>35649.201429037224</v>
      </c>
      <c r="Q52" s="32">
        <f>$A52*VLOOKUP($B52&amp;$D52,$B$13:$X$24,Q$30+1,FALSE)*VLOOKUP($C52,Overlap!$A$3:$B$15,2,FALSE)</f>
        <v>35958.871899046222</v>
      </c>
      <c r="R52" s="32">
        <f>$A52*VLOOKUP($B52&amp;$D52,$B$13:$X$24,R$30+1,FALSE)*VLOOKUP($C52,Overlap!$A$3:$B$15,2,FALSE)</f>
        <v>36274.162167016453</v>
      </c>
      <c r="S52" s="32">
        <f>$A52*VLOOKUP($B52&amp;$D52,$B$13:$X$24,S$30+1,FALSE)*VLOOKUP($C52,Overlap!$A$3:$B$15,2,FALSE)</f>
        <v>36594.360971959257</v>
      </c>
      <c r="T52" s="32">
        <f>$A52*VLOOKUP($B52&amp;$D52,$B$13:$X$24,T$30+1,FALSE)*VLOOKUP($C52,Overlap!$A$3:$B$15,2,FALSE)</f>
        <v>36917.692521155754</v>
      </c>
      <c r="U52" s="32">
        <f>$A52*VLOOKUP($B52&amp;$D52,$B$13:$X$24,U$30+1,FALSE)*VLOOKUP($C52,Overlap!$A$3:$B$15,2,FALSE)</f>
        <v>37245.566027682704</v>
      </c>
      <c r="V52" s="32">
        <f>$A52*VLOOKUP($B52&amp;$D52,$B$13:$X$24,V$30+1,FALSE)*VLOOKUP($C52,Overlap!$A$3:$B$15,2,FALSE)</f>
        <v>37576.973555571421</v>
      </c>
      <c r="W52" s="32">
        <f>$A52*VLOOKUP($B52&amp;$D52,$B$13:$X$24,W$30+1,FALSE)*VLOOKUP($C52,Overlap!$A$3:$B$15,2,FALSE)</f>
        <v>37911.854989290579</v>
      </c>
      <c r="X52" s="32">
        <f>$A52*VLOOKUP($B52&amp;$D52,$B$13:$X$24,X$30+1,FALSE)*VLOOKUP($C52,Overlap!$A$3:$B$15,2,FALSE)</f>
        <v>38249.328340490807</v>
      </c>
      <c r="Y52" s="32"/>
      <c r="Z52" s="32" t="str">
        <f t="shared" si="3"/>
        <v>Center pivot/linear move systems: Install new sprinkler package on an existing system. Montana</v>
      </c>
      <c r="AA52" s="41">
        <f>VLOOKUP(B52&amp;D52,$B$13:$X$24,$X$30+1,FALSE)*$AA$29*A52*VLOOKUP($C52,Overlap!$A$3:$B$15,2,FALSE)</f>
        <v>32511.929089417183</v>
      </c>
    </row>
    <row r="53" spans="1:27">
      <c r="A53" s="50">
        <f>INDEX([2]APPLIC!$B$8:$F$67,MATCH($C53,[2]APPLIC!$B$9:$B$67,0)+1,MATCH($D53,[2]APPLIC!$C$8:$F$8,0)+1)</f>
        <v>0.30000000000000004</v>
      </c>
      <c r="B53" s="77" t="s">
        <v>1272</v>
      </c>
      <c r="C53" s="7" t="s">
        <v>1308</v>
      </c>
      <c r="D53" s="7" t="s">
        <v>149</v>
      </c>
      <c r="E53" s="32">
        <f>$A53*VLOOKUP($B53&amp;$D53,$B$13:$X$24,E$30+1,FALSE)*VLOOKUP($C53,Overlap!$A$3:$B$15,2,FALSE)</f>
        <v>32280.311434094987</v>
      </c>
      <c r="F53" s="32">
        <f>$A53*VLOOKUP($B53&amp;$D53,$B$13:$X$24,F$30+1,FALSE)*VLOOKUP($C53,Overlap!$A$3:$B$15,2,FALSE)</f>
        <v>32630.496074046343</v>
      </c>
      <c r="G53" s="32">
        <f>$A53*VLOOKUP($B53&amp;$D53,$B$13:$X$24,G$30+1,FALSE)*VLOOKUP($C53,Overlap!$A$3:$B$15,2,FALSE)</f>
        <v>32976.140364707142</v>
      </c>
      <c r="H53" s="32">
        <f>$A53*VLOOKUP($B53&amp;$D53,$B$13:$X$24,H$30+1,FALSE)*VLOOKUP($C53,Overlap!$A$3:$B$15,2,FALSE)</f>
        <v>33330.710117405142</v>
      </c>
      <c r="I53" s="32">
        <f>$A53*VLOOKUP($B53&amp;$D53,$B$13:$X$24,I$30+1,FALSE)*VLOOKUP($C53,Overlap!$A$3:$B$15,2,FALSE)</f>
        <v>33689.298506179715</v>
      </c>
      <c r="J53" s="32">
        <f>$A53*VLOOKUP($B53&amp;$D53,$B$13:$X$24,J$30+1,FALSE)*VLOOKUP($C53,Overlap!$A$3:$B$15,2,FALSE)</f>
        <v>33947.24869237643</v>
      </c>
      <c r="K53" s="32">
        <f>$A53*VLOOKUP($B53&amp;$D53,$B$13:$X$24,K$30+1,FALSE)*VLOOKUP($C53,Overlap!$A$3:$B$15,2,FALSE)</f>
        <v>34207.054009326857</v>
      </c>
      <c r="L53" s="32">
        <f>$A53*VLOOKUP($B53&amp;$D53,$B$13:$X$24,L$30+1,FALSE)*VLOOKUP($C53,Overlap!$A$3:$B$15,2,FALSE)</f>
        <v>34478.095927395349</v>
      </c>
      <c r="M53" s="32">
        <f>$A53*VLOOKUP($B53&amp;$D53,$B$13:$X$24,M$30+1,FALSE)*VLOOKUP($C53,Overlap!$A$3:$B$15,2,FALSE)</f>
        <v>34758.951234648928</v>
      </c>
      <c r="N53" s="32">
        <f>$A53*VLOOKUP($B53&amp;$D53,$B$13:$X$24,N$30+1,FALSE)*VLOOKUP($C53,Overlap!$A$3:$B$15,2,FALSE)</f>
        <v>35048.537943604511</v>
      </c>
      <c r="O53" s="32">
        <f>$A53*VLOOKUP($B53&amp;$D53,$B$13:$X$24,O$30+1,FALSE)*VLOOKUP($C53,Overlap!$A$3:$B$15,2,FALSE)</f>
        <v>35345.446672165803</v>
      </c>
      <c r="P53" s="32">
        <f>$A53*VLOOKUP($B53&amp;$D53,$B$13:$X$24,P$30+1,FALSE)*VLOOKUP($C53,Overlap!$A$3:$B$15,2,FALSE)</f>
        <v>35649.201429037224</v>
      </c>
      <c r="Q53" s="32">
        <f>$A53*VLOOKUP($B53&amp;$D53,$B$13:$X$24,Q$30+1,FALSE)*VLOOKUP($C53,Overlap!$A$3:$B$15,2,FALSE)</f>
        <v>35958.871899046222</v>
      </c>
      <c r="R53" s="32">
        <f>$A53*VLOOKUP($B53&amp;$D53,$B$13:$X$24,R$30+1,FALSE)*VLOOKUP($C53,Overlap!$A$3:$B$15,2,FALSE)</f>
        <v>36274.162167016453</v>
      </c>
      <c r="S53" s="32">
        <f>$A53*VLOOKUP($B53&amp;$D53,$B$13:$X$24,S$30+1,FALSE)*VLOOKUP($C53,Overlap!$A$3:$B$15,2,FALSE)</f>
        <v>36594.360971959257</v>
      </c>
      <c r="T53" s="32">
        <f>$A53*VLOOKUP($B53&amp;$D53,$B$13:$X$24,T$30+1,FALSE)*VLOOKUP($C53,Overlap!$A$3:$B$15,2,FALSE)</f>
        <v>36917.692521155754</v>
      </c>
      <c r="U53" s="32">
        <f>$A53*VLOOKUP($B53&amp;$D53,$B$13:$X$24,U$30+1,FALSE)*VLOOKUP($C53,Overlap!$A$3:$B$15,2,FALSE)</f>
        <v>37245.566027682704</v>
      </c>
      <c r="V53" s="32">
        <f>$A53*VLOOKUP($B53&amp;$D53,$B$13:$X$24,V$30+1,FALSE)*VLOOKUP($C53,Overlap!$A$3:$B$15,2,FALSE)</f>
        <v>37576.973555571421</v>
      </c>
      <c r="W53" s="32">
        <f>$A53*VLOOKUP($B53&amp;$D53,$B$13:$X$24,W$30+1,FALSE)*VLOOKUP($C53,Overlap!$A$3:$B$15,2,FALSE)</f>
        <v>37911.854989290579</v>
      </c>
      <c r="X53" s="32">
        <f>$A53*VLOOKUP($B53&amp;$D53,$B$13:$X$24,X$30+1,FALSE)*VLOOKUP($C53,Overlap!$A$3:$B$15,2,FALSE)</f>
        <v>38249.328340490807</v>
      </c>
      <c r="Y53" s="32"/>
      <c r="Z53" s="32" t="str">
        <f t="shared" si="3"/>
        <v>Center pivot/linear move systems: New gooseneck elbows Montana</v>
      </c>
      <c r="AA53" s="41">
        <f>VLOOKUP(B53&amp;D53,$B$13:$X$24,$X$30+1,FALSE)*$AA$29*A53*VLOOKUP($C53,Overlap!$A$3:$B$15,2,FALSE)</f>
        <v>32511.929089417183</v>
      </c>
    </row>
    <row r="54" spans="1:27">
      <c r="A54" s="50">
        <f>INDEX([2]APPLIC!$B$8:$F$67,MATCH($C54,[2]APPLIC!$B$9:$B$67,0)+1,MATCH($D54,[2]APPLIC!$C$8:$F$8,0)+1)</f>
        <v>0.30000000000000004</v>
      </c>
      <c r="B54" s="77" t="s">
        <v>1272</v>
      </c>
      <c r="C54" s="7" t="s">
        <v>1310</v>
      </c>
      <c r="D54" s="7" t="s">
        <v>149</v>
      </c>
      <c r="E54" s="32">
        <f>$A54*VLOOKUP($B54&amp;$D54,$B$13:$X$24,E$30+1,FALSE)*VLOOKUP($C54,Overlap!$A$3:$B$15,2,FALSE)</f>
        <v>32280.311434094987</v>
      </c>
      <c r="F54" s="32">
        <f>$A54*VLOOKUP($B54&amp;$D54,$B$13:$X$24,F$30+1,FALSE)*VLOOKUP($C54,Overlap!$A$3:$B$15,2,FALSE)</f>
        <v>32630.496074046343</v>
      </c>
      <c r="G54" s="32">
        <f>$A54*VLOOKUP($B54&amp;$D54,$B$13:$X$24,G$30+1,FALSE)*VLOOKUP($C54,Overlap!$A$3:$B$15,2,FALSE)</f>
        <v>32976.140364707142</v>
      </c>
      <c r="H54" s="32">
        <f>$A54*VLOOKUP($B54&amp;$D54,$B$13:$X$24,H$30+1,FALSE)*VLOOKUP($C54,Overlap!$A$3:$B$15,2,FALSE)</f>
        <v>33330.710117405142</v>
      </c>
      <c r="I54" s="32">
        <f>$A54*VLOOKUP($B54&amp;$D54,$B$13:$X$24,I$30+1,FALSE)*VLOOKUP($C54,Overlap!$A$3:$B$15,2,FALSE)</f>
        <v>33689.298506179715</v>
      </c>
      <c r="J54" s="32">
        <f>$A54*VLOOKUP($B54&amp;$D54,$B$13:$X$24,J$30+1,FALSE)*VLOOKUP($C54,Overlap!$A$3:$B$15,2,FALSE)</f>
        <v>33947.24869237643</v>
      </c>
      <c r="K54" s="32">
        <f>$A54*VLOOKUP($B54&amp;$D54,$B$13:$X$24,K$30+1,FALSE)*VLOOKUP($C54,Overlap!$A$3:$B$15,2,FALSE)</f>
        <v>34207.054009326857</v>
      </c>
      <c r="L54" s="32">
        <f>$A54*VLOOKUP($B54&amp;$D54,$B$13:$X$24,L$30+1,FALSE)*VLOOKUP($C54,Overlap!$A$3:$B$15,2,FALSE)</f>
        <v>34478.095927395349</v>
      </c>
      <c r="M54" s="32">
        <f>$A54*VLOOKUP($B54&amp;$D54,$B$13:$X$24,M$30+1,FALSE)*VLOOKUP($C54,Overlap!$A$3:$B$15,2,FALSE)</f>
        <v>34758.951234648928</v>
      </c>
      <c r="N54" s="32">
        <f>$A54*VLOOKUP($B54&amp;$D54,$B$13:$X$24,N$30+1,FALSE)*VLOOKUP($C54,Overlap!$A$3:$B$15,2,FALSE)</f>
        <v>35048.537943604511</v>
      </c>
      <c r="O54" s="32">
        <f>$A54*VLOOKUP($B54&amp;$D54,$B$13:$X$24,O$30+1,FALSE)*VLOOKUP($C54,Overlap!$A$3:$B$15,2,FALSE)</f>
        <v>35345.446672165803</v>
      </c>
      <c r="P54" s="32">
        <f>$A54*VLOOKUP($B54&amp;$D54,$B$13:$X$24,P$30+1,FALSE)*VLOOKUP($C54,Overlap!$A$3:$B$15,2,FALSE)</f>
        <v>35649.201429037224</v>
      </c>
      <c r="Q54" s="32">
        <f>$A54*VLOOKUP($B54&amp;$D54,$B$13:$X$24,Q$30+1,FALSE)*VLOOKUP($C54,Overlap!$A$3:$B$15,2,FALSE)</f>
        <v>35958.871899046222</v>
      </c>
      <c r="R54" s="32">
        <f>$A54*VLOOKUP($B54&amp;$D54,$B$13:$X$24,R$30+1,FALSE)*VLOOKUP($C54,Overlap!$A$3:$B$15,2,FALSE)</f>
        <v>36274.162167016453</v>
      </c>
      <c r="S54" s="32">
        <f>$A54*VLOOKUP($B54&amp;$D54,$B$13:$X$24,S$30+1,FALSE)*VLOOKUP($C54,Overlap!$A$3:$B$15,2,FALSE)</f>
        <v>36594.360971959257</v>
      </c>
      <c r="T54" s="32">
        <f>$A54*VLOOKUP($B54&amp;$D54,$B$13:$X$24,T$30+1,FALSE)*VLOOKUP($C54,Overlap!$A$3:$B$15,2,FALSE)</f>
        <v>36917.692521155754</v>
      </c>
      <c r="U54" s="32">
        <f>$A54*VLOOKUP($B54&amp;$D54,$B$13:$X$24,U$30+1,FALSE)*VLOOKUP($C54,Overlap!$A$3:$B$15,2,FALSE)</f>
        <v>37245.566027682704</v>
      </c>
      <c r="V54" s="32">
        <f>$A54*VLOOKUP($B54&amp;$D54,$B$13:$X$24,V$30+1,FALSE)*VLOOKUP($C54,Overlap!$A$3:$B$15,2,FALSE)</f>
        <v>37576.973555571421</v>
      </c>
      <c r="W54" s="32">
        <f>$A54*VLOOKUP($B54&amp;$D54,$B$13:$X$24,W$30+1,FALSE)*VLOOKUP($C54,Overlap!$A$3:$B$15,2,FALSE)</f>
        <v>37911.854989290579</v>
      </c>
      <c r="X54" s="32">
        <f>$A54*VLOOKUP($B54&amp;$D54,$B$13:$X$24,X$30+1,FALSE)*VLOOKUP($C54,Overlap!$A$3:$B$15,2,FALSE)</f>
        <v>38249.328340490807</v>
      </c>
      <c r="Y54" s="32"/>
      <c r="Z54" s="32" t="str">
        <f t="shared" si="3"/>
        <v>Center pivot/linear move systems: New drop tubes (3 feet minimum) Montana</v>
      </c>
      <c r="AA54" s="41">
        <f>VLOOKUP(B54&amp;D54,$B$13:$X$24,$X$30+1,FALSE)*$AA$29*A54*VLOOKUP($C54,Overlap!$A$3:$B$15,2,FALSE)</f>
        <v>32511.929089417183</v>
      </c>
    </row>
    <row r="55" spans="1:27">
      <c r="A55" s="50">
        <f>INDEX([2]APPLIC!$B$8:$F$67,MATCH($C55,[2]APPLIC!$B$9:$B$67,0)+1,MATCH($D55,[2]APPLIC!$C$8:$F$8,0)+1)</f>
        <v>0.30000000000000004</v>
      </c>
      <c r="B55" s="77" t="s">
        <v>1272</v>
      </c>
      <c r="C55" s="7" t="s">
        <v>1312</v>
      </c>
      <c r="D55" s="7" t="s">
        <v>149</v>
      </c>
      <c r="E55" s="32">
        <f>$A55*VLOOKUP($B55&amp;$D55,$B$13:$X$24,E$30+1,FALSE)*VLOOKUP($C55,Overlap!$A$3:$B$15,2,FALSE)</f>
        <v>32280.311434094987</v>
      </c>
      <c r="F55" s="32">
        <f>$A55*VLOOKUP($B55&amp;$D55,$B$13:$X$24,F$30+1,FALSE)*VLOOKUP($C55,Overlap!$A$3:$B$15,2,FALSE)</f>
        <v>32630.496074046343</v>
      </c>
      <c r="G55" s="32">
        <f>$A55*VLOOKUP($B55&amp;$D55,$B$13:$X$24,G$30+1,FALSE)*VLOOKUP($C55,Overlap!$A$3:$B$15,2,FALSE)</f>
        <v>32976.140364707142</v>
      </c>
      <c r="H55" s="32">
        <f>$A55*VLOOKUP($B55&amp;$D55,$B$13:$X$24,H$30+1,FALSE)*VLOOKUP($C55,Overlap!$A$3:$B$15,2,FALSE)</f>
        <v>33330.710117405142</v>
      </c>
      <c r="I55" s="32">
        <f>$A55*VLOOKUP($B55&amp;$D55,$B$13:$X$24,I$30+1,FALSE)*VLOOKUP($C55,Overlap!$A$3:$B$15,2,FALSE)</f>
        <v>33689.298506179715</v>
      </c>
      <c r="J55" s="32">
        <f>$A55*VLOOKUP($B55&amp;$D55,$B$13:$X$24,J$30+1,FALSE)*VLOOKUP($C55,Overlap!$A$3:$B$15,2,FALSE)</f>
        <v>33947.24869237643</v>
      </c>
      <c r="K55" s="32">
        <f>$A55*VLOOKUP($B55&amp;$D55,$B$13:$X$24,K$30+1,FALSE)*VLOOKUP($C55,Overlap!$A$3:$B$15,2,FALSE)</f>
        <v>34207.054009326857</v>
      </c>
      <c r="L55" s="32">
        <f>$A55*VLOOKUP($B55&amp;$D55,$B$13:$X$24,L$30+1,FALSE)*VLOOKUP($C55,Overlap!$A$3:$B$15,2,FALSE)</f>
        <v>34478.095927395349</v>
      </c>
      <c r="M55" s="32">
        <f>$A55*VLOOKUP($B55&amp;$D55,$B$13:$X$24,M$30+1,FALSE)*VLOOKUP($C55,Overlap!$A$3:$B$15,2,FALSE)</f>
        <v>34758.951234648928</v>
      </c>
      <c r="N55" s="32">
        <f>$A55*VLOOKUP($B55&amp;$D55,$B$13:$X$24,N$30+1,FALSE)*VLOOKUP($C55,Overlap!$A$3:$B$15,2,FALSE)</f>
        <v>35048.537943604511</v>
      </c>
      <c r="O55" s="32">
        <f>$A55*VLOOKUP($B55&amp;$D55,$B$13:$X$24,O$30+1,FALSE)*VLOOKUP($C55,Overlap!$A$3:$B$15,2,FALSE)</f>
        <v>35345.446672165803</v>
      </c>
      <c r="P55" s="32">
        <f>$A55*VLOOKUP($B55&amp;$D55,$B$13:$X$24,P$30+1,FALSE)*VLOOKUP($C55,Overlap!$A$3:$B$15,2,FALSE)</f>
        <v>35649.201429037224</v>
      </c>
      <c r="Q55" s="32">
        <f>$A55*VLOOKUP($B55&amp;$D55,$B$13:$X$24,Q$30+1,FALSE)*VLOOKUP($C55,Overlap!$A$3:$B$15,2,FALSE)</f>
        <v>35958.871899046222</v>
      </c>
      <c r="R55" s="32">
        <f>$A55*VLOOKUP($B55&amp;$D55,$B$13:$X$24,R$30+1,FALSE)*VLOOKUP($C55,Overlap!$A$3:$B$15,2,FALSE)</f>
        <v>36274.162167016453</v>
      </c>
      <c r="S55" s="32">
        <f>$A55*VLOOKUP($B55&amp;$D55,$B$13:$X$24,S$30+1,FALSE)*VLOOKUP($C55,Overlap!$A$3:$B$15,2,FALSE)</f>
        <v>36594.360971959257</v>
      </c>
      <c r="T55" s="32">
        <f>$A55*VLOOKUP($B55&amp;$D55,$B$13:$X$24,T$30+1,FALSE)*VLOOKUP($C55,Overlap!$A$3:$B$15,2,FALSE)</f>
        <v>36917.692521155754</v>
      </c>
      <c r="U55" s="32">
        <f>$A55*VLOOKUP($B55&amp;$D55,$B$13:$X$24,U$30+1,FALSE)*VLOOKUP($C55,Overlap!$A$3:$B$15,2,FALSE)</f>
        <v>37245.566027682704</v>
      </c>
      <c r="V55" s="32">
        <f>$A55*VLOOKUP($B55&amp;$D55,$B$13:$X$24,V$30+1,FALSE)*VLOOKUP($C55,Overlap!$A$3:$B$15,2,FALSE)</f>
        <v>37576.973555571421</v>
      </c>
      <c r="W55" s="32">
        <f>$A55*VLOOKUP($B55&amp;$D55,$B$13:$X$24,W$30+1,FALSE)*VLOOKUP($C55,Overlap!$A$3:$B$15,2,FALSE)</f>
        <v>37911.854989290579</v>
      </c>
      <c r="X55" s="32">
        <f>$A55*VLOOKUP($B55&amp;$D55,$B$13:$X$24,X$30+1,FALSE)*VLOOKUP($C55,Overlap!$A$3:$B$15,2,FALSE)</f>
        <v>38249.328340490807</v>
      </c>
      <c r="Y55" s="32"/>
      <c r="Z55" s="32" t="str">
        <f t="shared" si="3"/>
        <v>Center pivot/linear move systems: Replace leaking pivot boot gasket with new pivot boot gasket Montana</v>
      </c>
      <c r="AA55" s="41">
        <f>VLOOKUP(B55&amp;D55,$B$13:$X$24,$X$30+1,FALSE)*$AA$29*A55*VLOOKUP($C55,Overlap!$A$3:$B$15,2,FALSE)</f>
        <v>32511.929089417183</v>
      </c>
    </row>
    <row r="56" spans="1:27">
      <c r="A56" s="50">
        <f>INDEX([2]APPLIC!$B$8:$F$67,MATCH($C56,[2]APPLIC!$B$9:$B$67,0)+1,MATCH($D56,[2]APPLIC!$C$8:$F$8,0)+1)</f>
        <v>0.30000000000000004</v>
      </c>
      <c r="B56" s="77" t="s">
        <v>1272</v>
      </c>
      <c r="C56" s="7" t="s">
        <v>1314</v>
      </c>
      <c r="D56" s="7" t="s">
        <v>149</v>
      </c>
      <c r="E56" s="32">
        <f>$A56*VLOOKUP($B56&amp;$D56,$B$13:$X$24,E$30+1,FALSE)*VLOOKUP($C56,Overlap!$A$3:$B$15,2,FALSE)</f>
        <v>32280.311434094987</v>
      </c>
      <c r="F56" s="32">
        <f>$A56*VLOOKUP($B56&amp;$D56,$B$13:$X$24,F$30+1,FALSE)*VLOOKUP($C56,Overlap!$A$3:$B$15,2,FALSE)</f>
        <v>32630.496074046343</v>
      </c>
      <c r="G56" s="32">
        <f>$A56*VLOOKUP($B56&amp;$D56,$B$13:$X$24,G$30+1,FALSE)*VLOOKUP($C56,Overlap!$A$3:$B$15,2,FALSE)</f>
        <v>32976.140364707142</v>
      </c>
      <c r="H56" s="32">
        <f>$A56*VLOOKUP($B56&amp;$D56,$B$13:$X$24,H$30+1,FALSE)*VLOOKUP($C56,Overlap!$A$3:$B$15,2,FALSE)</f>
        <v>33330.710117405142</v>
      </c>
      <c r="I56" s="32">
        <f>$A56*VLOOKUP($B56&amp;$D56,$B$13:$X$24,I$30+1,FALSE)*VLOOKUP($C56,Overlap!$A$3:$B$15,2,FALSE)</f>
        <v>33689.298506179715</v>
      </c>
      <c r="J56" s="32">
        <f>$A56*VLOOKUP($B56&amp;$D56,$B$13:$X$24,J$30+1,FALSE)*VLOOKUP($C56,Overlap!$A$3:$B$15,2,FALSE)</f>
        <v>33947.24869237643</v>
      </c>
      <c r="K56" s="32">
        <f>$A56*VLOOKUP($B56&amp;$D56,$B$13:$X$24,K$30+1,FALSE)*VLOOKUP($C56,Overlap!$A$3:$B$15,2,FALSE)</f>
        <v>34207.054009326857</v>
      </c>
      <c r="L56" s="32">
        <f>$A56*VLOOKUP($B56&amp;$D56,$B$13:$X$24,L$30+1,FALSE)*VLOOKUP($C56,Overlap!$A$3:$B$15,2,FALSE)</f>
        <v>34478.095927395349</v>
      </c>
      <c r="M56" s="32">
        <f>$A56*VLOOKUP($B56&amp;$D56,$B$13:$X$24,M$30+1,FALSE)*VLOOKUP($C56,Overlap!$A$3:$B$15,2,FALSE)</f>
        <v>34758.951234648928</v>
      </c>
      <c r="N56" s="32">
        <f>$A56*VLOOKUP($B56&amp;$D56,$B$13:$X$24,N$30+1,FALSE)*VLOOKUP($C56,Overlap!$A$3:$B$15,2,FALSE)</f>
        <v>35048.537943604511</v>
      </c>
      <c r="O56" s="32">
        <f>$A56*VLOOKUP($B56&amp;$D56,$B$13:$X$24,O$30+1,FALSE)*VLOOKUP($C56,Overlap!$A$3:$B$15,2,FALSE)</f>
        <v>35345.446672165803</v>
      </c>
      <c r="P56" s="32">
        <f>$A56*VLOOKUP($B56&amp;$D56,$B$13:$X$24,P$30+1,FALSE)*VLOOKUP($C56,Overlap!$A$3:$B$15,2,FALSE)</f>
        <v>35649.201429037224</v>
      </c>
      <c r="Q56" s="32">
        <f>$A56*VLOOKUP($B56&amp;$D56,$B$13:$X$24,Q$30+1,FALSE)*VLOOKUP($C56,Overlap!$A$3:$B$15,2,FALSE)</f>
        <v>35958.871899046222</v>
      </c>
      <c r="R56" s="32">
        <f>$A56*VLOOKUP($B56&amp;$D56,$B$13:$X$24,R$30+1,FALSE)*VLOOKUP($C56,Overlap!$A$3:$B$15,2,FALSE)</f>
        <v>36274.162167016453</v>
      </c>
      <c r="S56" s="32">
        <f>$A56*VLOOKUP($B56&amp;$D56,$B$13:$X$24,S$30+1,FALSE)*VLOOKUP($C56,Overlap!$A$3:$B$15,2,FALSE)</f>
        <v>36594.360971959257</v>
      </c>
      <c r="T56" s="32">
        <f>$A56*VLOOKUP($B56&amp;$D56,$B$13:$X$24,T$30+1,FALSE)*VLOOKUP($C56,Overlap!$A$3:$B$15,2,FALSE)</f>
        <v>36917.692521155754</v>
      </c>
      <c r="U56" s="32">
        <f>$A56*VLOOKUP($B56&amp;$D56,$B$13:$X$24,U$30+1,FALSE)*VLOOKUP($C56,Overlap!$A$3:$B$15,2,FALSE)</f>
        <v>37245.566027682704</v>
      </c>
      <c r="V56" s="32">
        <f>$A56*VLOOKUP($B56&amp;$D56,$B$13:$X$24,V$30+1,FALSE)*VLOOKUP($C56,Overlap!$A$3:$B$15,2,FALSE)</f>
        <v>37576.973555571421</v>
      </c>
      <c r="W56" s="32">
        <f>$A56*VLOOKUP($B56&amp;$D56,$B$13:$X$24,W$30+1,FALSE)*VLOOKUP($C56,Overlap!$A$3:$B$15,2,FALSE)</f>
        <v>37911.854989290579</v>
      </c>
      <c r="X56" s="32">
        <f>$A56*VLOOKUP($B56&amp;$D56,$B$13:$X$24,X$30+1,FALSE)*VLOOKUP($C56,Overlap!$A$3:$B$15,2,FALSE)</f>
        <v>38249.328340490807</v>
      </c>
      <c r="Y56" s="32"/>
      <c r="Z56" s="32" t="str">
        <f t="shared" si="3"/>
        <v>Center pivot/linear move systems: Replace leaking tower gasket with new tower gasket Montana</v>
      </c>
      <c r="AA56" s="41">
        <f>VLOOKUP(B56&amp;D56,$B$13:$X$24,$X$30+1,FALSE)*$AA$29*A56*VLOOKUP($C56,Overlap!$A$3:$B$15,2,FALSE)</f>
        <v>32511.929089417183</v>
      </c>
    </row>
    <row r="57" spans="1:27">
      <c r="A57" s="50">
        <f>INDEX([2]APPLIC!$B$8:$F$67,MATCH($C57,[2]APPLIC!$B$9:$B$67,0)+1,MATCH($D57,[2]APPLIC!$C$8:$F$8,0)+1)</f>
        <v>0.30000000000000004</v>
      </c>
      <c r="B57" s="77" t="s">
        <v>1271</v>
      </c>
      <c r="C57" s="7" t="s">
        <v>1290</v>
      </c>
      <c r="D57" s="7" t="s">
        <v>433</v>
      </c>
      <c r="E57" s="32">
        <f>$A57*VLOOKUP($B57&amp;$D57,$B$13:$X$24,E$30+1,FALSE)*VLOOKUP($C57,Overlap!$A$3:$B$15,2,FALSE)</f>
        <v>25192.050000000003</v>
      </c>
      <c r="F57" s="32">
        <f>$A57*VLOOKUP($B57&amp;$D57,$B$13:$X$24,F$30+1,FALSE)*VLOOKUP($C57,Overlap!$A$3:$B$15,2,FALSE)</f>
        <v>25460.650715725213</v>
      </c>
      <c r="G57" s="32">
        <f>$A57*VLOOKUP($B57&amp;$D57,$B$13:$X$24,G$30+1,FALSE)*VLOOKUP($C57,Overlap!$A$3:$B$15,2,FALSE)</f>
        <v>25738.967680532067</v>
      </c>
      <c r="H57" s="32">
        <f>$A57*VLOOKUP($B57&amp;$D57,$B$13:$X$24,H$30+1,FALSE)*VLOOKUP($C57,Overlap!$A$3:$B$15,2,FALSE)</f>
        <v>26026.568767041335</v>
      </c>
      <c r="I57" s="32">
        <f>$A57*VLOOKUP($B57&amp;$D57,$B$13:$X$24,I$30+1,FALSE)*VLOOKUP($C57,Overlap!$A$3:$B$15,2,FALSE)</f>
        <v>26498.024420054237</v>
      </c>
      <c r="J57" s="32">
        <f>$A57*VLOOKUP($B57&amp;$D57,$B$13:$X$24,J$30+1,FALSE)*VLOOKUP($C57,Overlap!$A$3:$B$15,2,FALSE)</f>
        <v>26826.599637001949</v>
      </c>
      <c r="K57" s="32">
        <f>$A57*VLOOKUP($B57&amp;$D57,$B$13:$X$24,K$30+1,FALSE)*VLOOKUP($C57,Overlap!$A$3:$B$15,2,FALSE)</f>
        <v>27146.9055602152</v>
      </c>
      <c r="L57" s="32">
        <f>$A57*VLOOKUP($B57&amp;$D57,$B$13:$X$24,L$30+1,FALSE)*VLOOKUP($C57,Overlap!$A$3:$B$15,2,FALSE)</f>
        <v>27480.494468803226</v>
      </c>
      <c r="M57" s="32">
        <f>$A57*VLOOKUP($B57&amp;$D57,$B$13:$X$24,M$30+1,FALSE)*VLOOKUP($C57,Overlap!$A$3:$B$15,2,FALSE)</f>
        <v>27805.924701860218</v>
      </c>
      <c r="N57" s="32">
        <f>$A57*VLOOKUP($B57&amp;$D57,$B$13:$X$24,N$30+1,FALSE)*VLOOKUP($C57,Overlap!$A$3:$B$15,2,FALSE)</f>
        <v>28353.205300555961</v>
      </c>
      <c r="O57" s="32">
        <f>$A57*VLOOKUP($B57&amp;$D57,$B$13:$X$24,O$30+1,FALSE)*VLOOKUP($C57,Overlap!$A$3:$B$15,2,FALSE)</f>
        <v>28681.882319048935</v>
      </c>
      <c r="P57" s="32">
        <f>$A57*VLOOKUP($B57&amp;$D57,$B$13:$X$24,P$30+1,FALSE)*VLOOKUP($C57,Overlap!$A$3:$B$15,2,FALSE)</f>
        <v>29001.623469448292</v>
      </c>
      <c r="Q57" s="32">
        <f>$A57*VLOOKUP($B57&amp;$D57,$B$13:$X$24,Q$30+1,FALSE)*VLOOKUP($C57,Overlap!$A$3:$B$15,2,FALSE)</f>
        <v>29332.995584700697</v>
      </c>
      <c r="R57" s="32">
        <f>$A57*VLOOKUP($B57&amp;$D57,$B$13:$X$24,R$30+1,FALSE)*VLOOKUP($C57,Overlap!$A$3:$B$15,2,FALSE)</f>
        <v>29655.242301971542</v>
      </c>
      <c r="S57" s="32">
        <f>$A57*VLOOKUP($B57&amp;$D57,$B$13:$X$24,S$30+1,FALSE)*VLOOKUP($C57,Overlap!$A$3:$B$15,2,FALSE)</f>
        <v>30186.967569315424</v>
      </c>
      <c r="T57" s="32">
        <f>$A57*VLOOKUP($B57&amp;$D57,$B$13:$X$24,T$30+1,FALSE)*VLOOKUP($C57,Overlap!$A$3:$B$15,2,FALSE)</f>
        <v>30541.25254996508</v>
      </c>
      <c r="U57" s="32">
        <f>$A57*VLOOKUP($B57&amp;$D57,$B$13:$X$24,U$30+1,FALSE)*VLOOKUP($C57,Overlap!$A$3:$B$15,2,FALSE)</f>
        <v>30907.200757460581</v>
      </c>
      <c r="V57" s="32">
        <f>$A57*VLOOKUP($B57&amp;$D57,$B$13:$X$24,V$30+1,FALSE)*VLOOKUP($C57,Overlap!$A$3:$B$15,2,FALSE)</f>
        <v>31273.841263244649</v>
      </c>
      <c r="W57" s="32">
        <f>$A57*VLOOKUP($B57&amp;$D57,$B$13:$X$24,W$30+1,FALSE)*VLOOKUP($C57,Overlap!$A$3:$B$15,2,FALSE)</f>
        <v>31630.927025294775</v>
      </c>
      <c r="X57" s="32">
        <f>$A57*VLOOKUP($B57&amp;$D57,$B$13:$X$24,X$30+1,FALSE)*VLOOKUP($C57,Overlap!$A$3:$B$15,2,FALSE)</f>
        <v>32226.795416400764</v>
      </c>
      <c r="Y57" s="32"/>
      <c r="Z57" s="32" t="str">
        <f t="shared" si="3"/>
        <v>Wheel/hand line systems: Replace worn nozzle with new flow controlling type nozzle for impact sprinklers Washington</v>
      </c>
      <c r="AA57" s="41">
        <f>VLOOKUP(B57&amp;D57,$B$13:$X$24,$X$30+1,FALSE)*$AA$29*A57*VLOOKUP($C57,Overlap!$A$3:$B$15,2,FALSE)</f>
        <v>27392.776103940647</v>
      </c>
    </row>
    <row r="58" spans="1:27">
      <c r="A58" s="50">
        <f>INDEX([2]APPLIC!$B$8:$F$67,MATCH($C58,[2]APPLIC!$B$9:$B$67,0)+1,MATCH($D58,[2]APPLIC!$C$8:$F$8,0)+1)</f>
        <v>0.30000000000000004</v>
      </c>
      <c r="B58" s="77" t="s">
        <v>1271</v>
      </c>
      <c r="C58" s="7" t="s">
        <v>1292</v>
      </c>
      <c r="D58" s="7" t="s">
        <v>433</v>
      </c>
      <c r="E58" s="32">
        <f>$A58*VLOOKUP($B58&amp;$D58,$B$13:$X$24,E$30+1,FALSE)*VLOOKUP($C58,Overlap!$A$3:$B$15,2,FALSE)</f>
        <v>25192.050000000003</v>
      </c>
      <c r="F58" s="32">
        <f>$A58*VLOOKUP($B58&amp;$D58,$B$13:$X$24,F$30+1,FALSE)*VLOOKUP($C58,Overlap!$A$3:$B$15,2,FALSE)</f>
        <v>25460.650715725213</v>
      </c>
      <c r="G58" s="32">
        <f>$A58*VLOOKUP($B58&amp;$D58,$B$13:$X$24,G$30+1,FALSE)*VLOOKUP($C58,Overlap!$A$3:$B$15,2,FALSE)</f>
        <v>25738.967680532067</v>
      </c>
      <c r="H58" s="32">
        <f>$A58*VLOOKUP($B58&amp;$D58,$B$13:$X$24,H$30+1,FALSE)*VLOOKUP($C58,Overlap!$A$3:$B$15,2,FALSE)</f>
        <v>26026.568767041335</v>
      </c>
      <c r="I58" s="32">
        <f>$A58*VLOOKUP($B58&amp;$D58,$B$13:$X$24,I$30+1,FALSE)*VLOOKUP($C58,Overlap!$A$3:$B$15,2,FALSE)</f>
        <v>26498.024420054237</v>
      </c>
      <c r="J58" s="32">
        <f>$A58*VLOOKUP($B58&amp;$D58,$B$13:$X$24,J$30+1,FALSE)*VLOOKUP($C58,Overlap!$A$3:$B$15,2,FALSE)</f>
        <v>26826.599637001949</v>
      </c>
      <c r="K58" s="32">
        <f>$A58*VLOOKUP($B58&amp;$D58,$B$13:$X$24,K$30+1,FALSE)*VLOOKUP($C58,Overlap!$A$3:$B$15,2,FALSE)</f>
        <v>27146.9055602152</v>
      </c>
      <c r="L58" s="32">
        <f>$A58*VLOOKUP($B58&amp;$D58,$B$13:$X$24,L$30+1,FALSE)*VLOOKUP($C58,Overlap!$A$3:$B$15,2,FALSE)</f>
        <v>27480.494468803226</v>
      </c>
      <c r="M58" s="32">
        <f>$A58*VLOOKUP($B58&amp;$D58,$B$13:$X$24,M$30+1,FALSE)*VLOOKUP($C58,Overlap!$A$3:$B$15,2,FALSE)</f>
        <v>27805.924701860218</v>
      </c>
      <c r="N58" s="32">
        <f>$A58*VLOOKUP($B58&amp;$D58,$B$13:$X$24,N$30+1,FALSE)*VLOOKUP($C58,Overlap!$A$3:$B$15,2,FALSE)</f>
        <v>28353.205300555961</v>
      </c>
      <c r="O58" s="32">
        <f>$A58*VLOOKUP($B58&amp;$D58,$B$13:$X$24,O$30+1,FALSE)*VLOOKUP($C58,Overlap!$A$3:$B$15,2,FALSE)</f>
        <v>28681.882319048935</v>
      </c>
      <c r="P58" s="32">
        <f>$A58*VLOOKUP($B58&amp;$D58,$B$13:$X$24,P$30+1,FALSE)*VLOOKUP($C58,Overlap!$A$3:$B$15,2,FALSE)</f>
        <v>29001.623469448292</v>
      </c>
      <c r="Q58" s="32">
        <f>$A58*VLOOKUP($B58&amp;$D58,$B$13:$X$24,Q$30+1,FALSE)*VLOOKUP($C58,Overlap!$A$3:$B$15,2,FALSE)</f>
        <v>29332.995584700697</v>
      </c>
      <c r="R58" s="32">
        <f>$A58*VLOOKUP($B58&amp;$D58,$B$13:$X$24,R$30+1,FALSE)*VLOOKUP($C58,Overlap!$A$3:$B$15,2,FALSE)</f>
        <v>29655.242301971542</v>
      </c>
      <c r="S58" s="32">
        <f>$A58*VLOOKUP($B58&amp;$D58,$B$13:$X$24,S$30+1,FALSE)*VLOOKUP($C58,Overlap!$A$3:$B$15,2,FALSE)</f>
        <v>30186.967569315424</v>
      </c>
      <c r="T58" s="32">
        <f>$A58*VLOOKUP($B58&amp;$D58,$B$13:$X$24,T$30+1,FALSE)*VLOOKUP($C58,Overlap!$A$3:$B$15,2,FALSE)</f>
        <v>30541.25254996508</v>
      </c>
      <c r="U58" s="32">
        <f>$A58*VLOOKUP($B58&amp;$D58,$B$13:$X$24,U$30+1,FALSE)*VLOOKUP($C58,Overlap!$A$3:$B$15,2,FALSE)</f>
        <v>30907.200757460581</v>
      </c>
      <c r="V58" s="32">
        <f>$A58*VLOOKUP($B58&amp;$D58,$B$13:$X$24,V$30+1,FALSE)*VLOOKUP($C58,Overlap!$A$3:$B$15,2,FALSE)</f>
        <v>31273.841263244649</v>
      </c>
      <c r="W58" s="32">
        <f>$A58*VLOOKUP($B58&amp;$D58,$B$13:$X$24,W$30+1,FALSE)*VLOOKUP($C58,Overlap!$A$3:$B$15,2,FALSE)</f>
        <v>31630.927025294775</v>
      </c>
      <c r="X58" s="32">
        <f>$A58*VLOOKUP($B58&amp;$D58,$B$13:$X$24,X$30+1,FALSE)*VLOOKUP($C58,Overlap!$A$3:$B$15,2,FALSE)</f>
        <v>32226.795416400764</v>
      </c>
      <c r="Y58" s="32"/>
      <c r="Z58" s="32" t="str">
        <f t="shared" si="3"/>
        <v>Wheel/hand line systems: Replace worn nozzle with new nozzle Washington</v>
      </c>
      <c r="AA58" s="41">
        <f>VLOOKUP(B58&amp;D58,$B$13:$X$24,$X$30+1,FALSE)*$AA$29*A58*VLOOKUP($C58,Overlap!$A$3:$B$15,2,FALSE)</f>
        <v>27392.776103940647</v>
      </c>
    </row>
    <row r="59" spans="1:27">
      <c r="A59" s="50">
        <f>INDEX([2]APPLIC!$B$8:$F$67,MATCH($C59,[2]APPLIC!$B$9:$B$67,0)+1,MATCH($D59,[2]APPLIC!$C$8:$F$8,0)+1)</f>
        <v>0.30000000000000004</v>
      </c>
      <c r="B59" s="77" t="s">
        <v>1271</v>
      </c>
      <c r="C59" s="7" t="s">
        <v>1294</v>
      </c>
      <c r="D59" s="7" t="s">
        <v>433</v>
      </c>
      <c r="E59" s="32">
        <f>$A59*VLOOKUP($B59&amp;$D59,$B$13:$X$24,E$30+1,FALSE)*VLOOKUP($C59,Overlap!$A$3:$B$15,2,FALSE)</f>
        <v>50384.100000000006</v>
      </c>
      <c r="F59" s="32">
        <f>$A59*VLOOKUP($B59&amp;$D59,$B$13:$X$24,F$30+1,FALSE)*VLOOKUP($C59,Overlap!$A$3:$B$15,2,FALSE)</f>
        <v>50921.301431450425</v>
      </c>
      <c r="G59" s="32">
        <f>$A59*VLOOKUP($B59&amp;$D59,$B$13:$X$24,G$30+1,FALSE)*VLOOKUP($C59,Overlap!$A$3:$B$15,2,FALSE)</f>
        <v>51477.935361064134</v>
      </c>
      <c r="H59" s="32">
        <f>$A59*VLOOKUP($B59&amp;$D59,$B$13:$X$24,H$30+1,FALSE)*VLOOKUP($C59,Overlap!$A$3:$B$15,2,FALSE)</f>
        <v>52053.137534082671</v>
      </c>
      <c r="I59" s="32">
        <f>$A59*VLOOKUP($B59&amp;$D59,$B$13:$X$24,I$30+1,FALSE)*VLOOKUP($C59,Overlap!$A$3:$B$15,2,FALSE)</f>
        <v>52996.048840108473</v>
      </c>
      <c r="J59" s="32">
        <f>$A59*VLOOKUP($B59&amp;$D59,$B$13:$X$24,J$30+1,FALSE)*VLOOKUP($C59,Overlap!$A$3:$B$15,2,FALSE)</f>
        <v>53653.199274003899</v>
      </c>
      <c r="K59" s="32">
        <f>$A59*VLOOKUP($B59&amp;$D59,$B$13:$X$24,K$30+1,FALSE)*VLOOKUP($C59,Overlap!$A$3:$B$15,2,FALSE)</f>
        <v>54293.8111204304</v>
      </c>
      <c r="L59" s="32">
        <f>$A59*VLOOKUP($B59&amp;$D59,$B$13:$X$24,L$30+1,FALSE)*VLOOKUP($C59,Overlap!$A$3:$B$15,2,FALSE)</f>
        <v>54960.988937606453</v>
      </c>
      <c r="M59" s="32">
        <f>$A59*VLOOKUP($B59&amp;$D59,$B$13:$X$24,M$30+1,FALSE)*VLOOKUP($C59,Overlap!$A$3:$B$15,2,FALSE)</f>
        <v>55611.849403720436</v>
      </c>
      <c r="N59" s="32">
        <f>$A59*VLOOKUP($B59&amp;$D59,$B$13:$X$24,N$30+1,FALSE)*VLOOKUP($C59,Overlap!$A$3:$B$15,2,FALSE)</f>
        <v>56706.410601111922</v>
      </c>
      <c r="O59" s="32">
        <f>$A59*VLOOKUP($B59&amp;$D59,$B$13:$X$24,O$30+1,FALSE)*VLOOKUP($C59,Overlap!$A$3:$B$15,2,FALSE)</f>
        <v>57363.764638097869</v>
      </c>
      <c r="P59" s="32">
        <f>$A59*VLOOKUP($B59&amp;$D59,$B$13:$X$24,P$30+1,FALSE)*VLOOKUP($C59,Overlap!$A$3:$B$15,2,FALSE)</f>
        <v>58003.246938896584</v>
      </c>
      <c r="Q59" s="32">
        <f>$A59*VLOOKUP($B59&amp;$D59,$B$13:$X$24,Q$30+1,FALSE)*VLOOKUP($C59,Overlap!$A$3:$B$15,2,FALSE)</f>
        <v>58665.991169401394</v>
      </c>
      <c r="R59" s="32">
        <f>$A59*VLOOKUP($B59&amp;$D59,$B$13:$X$24,R$30+1,FALSE)*VLOOKUP($C59,Overlap!$A$3:$B$15,2,FALSE)</f>
        <v>59310.484603943085</v>
      </c>
      <c r="S59" s="32">
        <f>$A59*VLOOKUP($B59&amp;$D59,$B$13:$X$24,S$30+1,FALSE)*VLOOKUP($C59,Overlap!$A$3:$B$15,2,FALSE)</f>
        <v>60373.935138630848</v>
      </c>
      <c r="T59" s="32">
        <f>$A59*VLOOKUP($B59&amp;$D59,$B$13:$X$24,T$30+1,FALSE)*VLOOKUP($C59,Overlap!$A$3:$B$15,2,FALSE)</f>
        <v>61082.50509993016</v>
      </c>
      <c r="U59" s="32">
        <f>$A59*VLOOKUP($B59&amp;$D59,$B$13:$X$24,U$30+1,FALSE)*VLOOKUP($C59,Overlap!$A$3:$B$15,2,FALSE)</f>
        <v>61814.401514921163</v>
      </c>
      <c r="V59" s="32">
        <f>$A59*VLOOKUP($B59&amp;$D59,$B$13:$X$24,V$30+1,FALSE)*VLOOKUP($C59,Overlap!$A$3:$B$15,2,FALSE)</f>
        <v>62547.682526489298</v>
      </c>
      <c r="W59" s="32">
        <f>$A59*VLOOKUP($B59&amp;$D59,$B$13:$X$24,W$30+1,FALSE)*VLOOKUP($C59,Overlap!$A$3:$B$15,2,FALSE)</f>
        <v>63261.854050589551</v>
      </c>
      <c r="X59" s="32">
        <f>$A59*VLOOKUP($B59&amp;$D59,$B$13:$X$24,X$30+1,FALSE)*VLOOKUP($C59,Overlap!$A$3:$B$15,2,FALSE)</f>
        <v>64453.590832801528</v>
      </c>
      <c r="Y59" s="32"/>
      <c r="Z59" s="32" t="str">
        <f t="shared" si="3"/>
        <v>Wheel/hand line systems: Rebuild or replace leaking impact sprinkler with new or rebuilt impact sprinkler Washington</v>
      </c>
      <c r="AA59" s="41">
        <f>VLOOKUP(B59&amp;D59,$B$13:$X$24,$X$30+1,FALSE)*$AA$29*A59*VLOOKUP($C59,Overlap!$A$3:$B$15,2,FALSE)</f>
        <v>54785.552207881294</v>
      </c>
    </row>
    <row r="60" spans="1:27">
      <c r="A60" s="50">
        <f>INDEX([2]APPLIC!$B$8:$F$67,MATCH($C60,[2]APPLIC!$B$9:$B$67,0)+1,MATCH($D60,[2]APPLIC!$C$8:$F$8,0)+1)</f>
        <v>0.30000000000000004</v>
      </c>
      <c r="B60" s="77" t="s">
        <v>1271</v>
      </c>
      <c r="C60" s="7" t="s">
        <v>1296</v>
      </c>
      <c r="D60" s="7" t="s">
        <v>433</v>
      </c>
      <c r="E60" s="32">
        <f>$A60*VLOOKUP($B60&amp;$D60,$B$13:$X$24,E$30+1,FALSE)*VLOOKUP($C60,Overlap!$A$3:$B$15,2,FALSE)</f>
        <v>50384.100000000006</v>
      </c>
      <c r="F60" s="32">
        <f>$A60*VLOOKUP($B60&amp;$D60,$B$13:$X$24,F$30+1,FALSE)*VLOOKUP($C60,Overlap!$A$3:$B$15,2,FALSE)</f>
        <v>50921.301431450425</v>
      </c>
      <c r="G60" s="32">
        <f>$A60*VLOOKUP($B60&amp;$D60,$B$13:$X$24,G$30+1,FALSE)*VLOOKUP($C60,Overlap!$A$3:$B$15,2,FALSE)</f>
        <v>51477.935361064134</v>
      </c>
      <c r="H60" s="32">
        <f>$A60*VLOOKUP($B60&amp;$D60,$B$13:$X$24,H$30+1,FALSE)*VLOOKUP($C60,Overlap!$A$3:$B$15,2,FALSE)</f>
        <v>52053.137534082671</v>
      </c>
      <c r="I60" s="32">
        <f>$A60*VLOOKUP($B60&amp;$D60,$B$13:$X$24,I$30+1,FALSE)*VLOOKUP($C60,Overlap!$A$3:$B$15,2,FALSE)</f>
        <v>52996.048840108473</v>
      </c>
      <c r="J60" s="32">
        <f>$A60*VLOOKUP($B60&amp;$D60,$B$13:$X$24,J$30+1,FALSE)*VLOOKUP($C60,Overlap!$A$3:$B$15,2,FALSE)</f>
        <v>53653.199274003899</v>
      </c>
      <c r="K60" s="32">
        <f>$A60*VLOOKUP($B60&amp;$D60,$B$13:$X$24,K$30+1,FALSE)*VLOOKUP($C60,Overlap!$A$3:$B$15,2,FALSE)</f>
        <v>54293.8111204304</v>
      </c>
      <c r="L60" s="32">
        <f>$A60*VLOOKUP($B60&amp;$D60,$B$13:$X$24,L$30+1,FALSE)*VLOOKUP($C60,Overlap!$A$3:$B$15,2,FALSE)</f>
        <v>54960.988937606453</v>
      </c>
      <c r="M60" s="32">
        <f>$A60*VLOOKUP($B60&amp;$D60,$B$13:$X$24,M$30+1,FALSE)*VLOOKUP($C60,Overlap!$A$3:$B$15,2,FALSE)</f>
        <v>55611.849403720436</v>
      </c>
      <c r="N60" s="32">
        <f>$A60*VLOOKUP($B60&amp;$D60,$B$13:$X$24,N$30+1,FALSE)*VLOOKUP($C60,Overlap!$A$3:$B$15,2,FALSE)</f>
        <v>56706.410601111922</v>
      </c>
      <c r="O60" s="32">
        <f>$A60*VLOOKUP($B60&amp;$D60,$B$13:$X$24,O$30+1,FALSE)*VLOOKUP($C60,Overlap!$A$3:$B$15,2,FALSE)</f>
        <v>57363.764638097869</v>
      </c>
      <c r="P60" s="32">
        <f>$A60*VLOOKUP($B60&amp;$D60,$B$13:$X$24,P$30+1,FALSE)*VLOOKUP($C60,Overlap!$A$3:$B$15,2,FALSE)</f>
        <v>58003.246938896584</v>
      </c>
      <c r="Q60" s="32">
        <f>$A60*VLOOKUP($B60&amp;$D60,$B$13:$X$24,Q$30+1,FALSE)*VLOOKUP($C60,Overlap!$A$3:$B$15,2,FALSE)</f>
        <v>58665.991169401394</v>
      </c>
      <c r="R60" s="32">
        <f>$A60*VLOOKUP($B60&amp;$D60,$B$13:$X$24,R$30+1,FALSE)*VLOOKUP($C60,Overlap!$A$3:$B$15,2,FALSE)</f>
        <v>59310.484603943085</v>
      </c>
      <c r="S60" s="32">
        <f>$A60*VLOOKUP($B60&amp;$D60,$B$13:$X$24,S$30+1,FALSE)*VLOOKUP($C60,Overlap!$A$3:$B$15,2,FALSE)</f>
        <v>60373.935138630848</v>
      </c>
      <c r="T60" s="32">
        <f>$A60*VLOOKUP($B60&amp;$D60,$B$13:$X$24,T$30+1,FALSE)*VLOOKUP($C60,Overlap!$A$3:$B$15,2,FALSE)</f>
        <v>61082.50509993016</v>
      </c>
      <c r="U60" s="32">
        <f>$A60*VLOOKUP($B60&amp;$D60,$B$13:$X$24,U$30+1,FALSE)*VLOOKUP($C60,Overlap!$A$3:$B$15,2,FALSE)</f>
        <v>61814.401514921163</v>
      </c>
      <c r="V60" s="32">
        <f>$A60*VLOOKUP($B60&amp;$D60,$B$13:$X$24,V$30+1,FALSE)*VLOOKUP($C60,Overlap!$A$3:$B$15,2,FALSE)</f>
        <v>62547.682526489298</v>
      </c>
      <c r="W60" s="32">
        <f>$A60*VLOOKUP($B60&amp;$D60,$B$13:$X$24,W$30+1,FALSE)*VLOOKUP($C60,Overlap!$A$3:$B$15,2,FALSE)</f>
        <v>63261.854050589551</v>
      </c>
      <c r="X60" s="32">
        <f>$A60*VLOOKUP($B60&amp;$D60,$B$13:$X$24,X$30+1,FALSE)*VLOOKUP($C60,Overlap!$A$3:$B$15,2,FALSE)</f>
        <v>64453.590832801528</v>
      </c>
      <c r="Y60" s="32"/>
      <c r="Z60" s="32" t="str">
        <f t="shared" si="3"/>
        <v>Wheel/hand line systems: Replace leaking gasket with new gasket Washington</v>
      </c>
      <c r="AA60" s="41">
        <f>VLOOKUP(B60&amp;D60,$B$13:$X$24,$X$30+1,FALSE)*$AA$29*A60*VLOOKUP($C60,Overlap!$A$3:$B$15,2,FALSE)</f>
        <v>54785.552207881294</v>
      </c>
    </row>
    <row r="61" spans="1:27">
      <c r="A61" s="50">
        <f>INDEX([2]APPLIC!$B$8:$F$67,MATCH($C61,[2]APPLIC!$B$9:$B$67,0)+1,MATCH($D61,[2]APPLIC!$C$8:$F$8,0)+1)</f>
        <v>0.30000000000000004</v>
      </c>
      <c r="B61" s="77" t="s">
        <v>1271</v>
      </c>
      <c r="C61" s="7" t="s">
        <v>1298</v>
      </c>
      <c r="D61" s="7" t="s">
        <v>433</v>
      </c>
      <c r="E61" s="32">
        <f>$A61*VLOOKUP($B61&amp;$D61,$B$13:$X$24,E$30+1,FALSE)*VLOOKUP($C61,Overlap!$A$3:$B$15,2,FALSE)</f>
        <v>50384.100000000006</v>
      </c>
      <c r="F61" s="32">
        <f>$A61*VLOOKUP($B61&amp;$D61,$B$13:$X$24,F$30+1,FALSE)*VLOOKUP($C61,Overlap!$A$3:$B$15,2,FALSE)</f>
        <v>50921.301431450425</v>
      </c>
      <c r="G61" s="32">
        <f>$A61*VLOOKUP($B61&amp;$D61,$B$13:$X$24,G$30+1,FALSE)*VLOOKUP($C61,Overlap!$A$3:$B$15,2,FALSE)</f>
        <v>51477.935361064134</v>
      </c>
      <c r="H61" s="32">
        <f>$A61*VLOOKUP($B61&amp;$D61,$B$13:$X$24,H$30+1,FALSE)*VLOOKUP($C61,Overlap!$A$3:$B$15,2,FALSE)</f>
        <v>52053.137534082671</v>
      </c>
      <c r="I61" s="32">
        <f>$A61*VLOOKUP($B61&amp;$D61,$B$13:$X$24,I$30+1,FALSE)*VLOOKUP($C61,Overlap!$A$3:$B$15,2,FALSE)</f>
        <v>52996.048840108473</v>
      </c>
      <c r="J61" s="32">
        <f>$A61*VLOOKUP($B61&amp;$D61,$B$13:$X$24,J$30+1,FALSE)*VLOOKUP($C61,Overlap!$A$3:$B$15,2,FALSE)</f>
        <v>53653.199274003899</v>
      </c>
      <c r="K61" s="32">
        <f>$A61*VLOOKUP($B61&amp;$D61,$B$13:$X$24,K$30+1,FALSE)*VLOOKUP($C61,Overlap!$A$3:$B$15,2,FALSE)</f>
        <v>54293.8111204304</v>
      </c>
      <c r="L61" s="32">
        <f>$A61*VLOOKUP($B61&amp;$D61,$B$13:$X$24,L$30+1,FALSE)*VLOOKUP($C61,Overlap!$A$3:$B$15,2,FALSE)</f>
        <v>54960.988937606453</v>
      </c>
      <c r="M61" s="32">
        <f>$A61*VLOOKUP($B61&amp;$D61,$B$13:$X$24,M$30+1,FALSE)*VLOOKUP($C61,Overlap!$A$3:$B$15,2,FALSE)</f>
        <v>55611.849403720436</v>
      </c>
      <c r="N61" s="32">
        <f>$A61*VLOOKUP($B61&amp;$D61,$B$13:$X$24,N$30+1,FALSE)*VLOOKUP($C61,Overlap!$A$3:$B$15,2,FALSE)</f>
        <v>56706.410601111922</v>
      </c>
      <c r="O61" s="32">
        <f>$A61*VLOOKUP($B61&amp;$D61,$B$13:$X$24,O$30+1,FALSE)*VLOOKUP($C61,Overlap!$A$3:$B$15,2,FALSE)</f>
        <v>57363.764638097869</v>
      </c>
      <c r="P61" s="32">
        <f>$A61*VLOOKUP($B61&amp;$D61,$B$13:$X$24,P$30+1,FALSE)*VLOOKUP($C61,Overlap!$A$3:$B$15,2,FALSE)</f>
        <v>58003.246938896584</v>
      </c>
      <c r="Q61" s="32">
        <f>$A61*VLOOKUP($B61&amp;$D61,$B$13:$X$24,Q$30+1,FALSE)*VLOOKUP($C61,Overlap!$A$3:$B$15,2,FALSE)</f>
        <v>58665.991169401394</v>
      </c>
      <c r="R61" s="32">
        <f>$A61*VLOOKUP($B61&amp;$D61,$B$13:$X$24,R$30+1,FALSE)*VLOOKUP($C61,Overlap!$A$3:$B$15,2,FALSE)</f>
        <v>59310.484603943085</v>
      </c>
      <c r="S61" s="32">
        <f>$A61*VLOOKUP($B61&amp;$D61,$B$13:$X$24,S$30+1,FALSE)*VLOOKUP($C61,Overlap!$A$3:$B$15,2,FALSE)</f>
        <v>60373.935138630848</v>
      </c>
      <c r="T61" s="32">
        <f>$A61*VLOOKUP($B61&amp;$D61,$B$13:$X$24,T$30+1,FALSE)*VLOOKUP($C61,Overlap!$A$3:$B$15,2,FALSE)</f>
        <v>61082.50509993016</v>
      </c>
      <c r="U61" s="32">
        <f>$A61*VLOOKUP($B61&amp;$D61,$B$13:$X$24,U$30+1,FALSE)*VLOOKUP($C61,Overlap!$A$3:$B$15,2,FALSE)</f>
        <v>61814.401514921163</v>
      </c>
      <c r="V61" s="32">
        <f>$A61*VLOOKUP($B61&amp;$D61,$B$13:$X$24,V$30+1,FALSE)*VLOOKUP($C61,Overlap!$A$3:$B$15,2,FALSE)</f>
        <v>62547.682526489298</v>
      </c>
      <c r="W61" s="32">
        <f>$A61*VLOOKUP($B61&amp;$D61,$B$13:$X$24,W$30+1,FALSE)*VLOOKUP($C61,Overlap!$A$3:$B$15,2,FALSE)</f>
        <v>63261.854050589551</v>
      </c>
      <c r="X61" s="32">
        <f>$A61*VLOOKUP($B61&amp;$D61,$B$13:$X$24,X$30+1,FALSE)*VLOOKUP($C61,Overlap!$A$3:$B$15,2,FALSE)</f>
        <v>64453.590832801528</v>
      </c>
      <c r="Y61" s="32"/>
      <c r="Z61" s="32" t="str">
        <f t="shared" si="3"/>
        <v>Wheel/hand line systems: Replace leaking drain with new drain Washington</v>
      </c>
      <c r="AA61" s="41">
        <f>VLOOKUP(B61&amp;D61,$B$13:$X$24,$X$30+1,FALSE)*$AA$29*A61*VLOOKUP($C61,Overlap!$A$3:$B$15,2,FALSE)</f>
        <v>54785.552207881294</v>
      </c>
    </row>
    <row r="62" spans="1:27">
      <c r="A62" s="50">
        <f>INDEX([2]APPLIC!$B$8:$F$67,MATCH($C62,[2]APPLIC!$B$9:$B$67,0)+1,MATCH($D62,[2]APPLIC!$C$8:$F$8,0)+1)</f>
        <v>0.30000000000000004</v>
      </c>
      <c r="B62" s="77" t="s">
        <v>1271</v>
      </c>
      <c r="C62" s="7" t="s">
        <v>1300</v>
      </c>
      <c r="D62" s="7" t="s">
        <v>433</v>
      </c>
      <c r="E62" s="32">
        <f>$A62*VLOOKUP($B62&amp;$D62,$B$13:$X$24,E$30+1,FALSE)*VLOOKUP($C62,Overlap!$A$3:$B$15,2,FALSE)</f>
        <v>50384.100000000006</v>
      </c>
      <c r="F62" s="32">
        <f>$A62*VLOOKUP($B62&amp;$D62,$B$13:$X$24,F$30+1,FALSE)*VLOOKUP($C62,Overlap!$A$3:$B$15,2,FALSE)</f>
        <v>50921.301431450425</v>
      </c>
      <c r="G62" s="32">
        <f>$A62*VLOOKUP($B62&amp;$D62,$B$13:$X$24,G$30+1,FALSE)*VLOOKUP($C62,Overlap!$A$3:$B$15,2,FALSE)</f>
        <v>51477.935361064134</v>
      </c>
      <c r="H62" s="32">
        <f>$A62*VLOOKUP($B62&amp;$D62,$B$13:$X$24,H$30+1,FALSE)*VLOOKUP($C62,Overlap!$A$3:$B$15,2,FALSE)</f>
        <v>52053.137534082671</v>
      </c>
      <c r="I62" s="32">
        <f>$A62*VLOOKUP($B62&amp;$D62,$B$13:$X$24,I$30+1,FALSE)*VLOOKUP($C62,Overlap!$A$3:$B$15,2,FALSE)</f>
        <v>52996.048840108473</v>
      </c>
      <c r="J62" s="32">
        <f>$A62*VLOOKUP($B62&amp;$D62,$B$13:$X$24,J$30+1,FALSE)*VLOOKUP($C62,Overlap!$A$3:$B$15,2,FALSE)</f>
        <v>53653.199274003899</v>
      </c>
      <c r="K62" s="32">
        <f>$A62*VLOOKUP($B62&amp;$D62,$B$13:$X$24,K$30+1,FALSE)*VLOOKUP($C62,Overlap!$A$3:$B$15,2,FALSE)</f>
        <v>54293.8111204304</v>
      </c>
      <c r="L62" s="32">
        <f>$A62*VLOOKUP($B62&amp;$D62,$B$13:$X$24,L$30+1,FALSE)*VLOOKUP($C62,Overlap!$A$3:$B$15,2,FALSE)</f>
        <v>54960.988937606453</v>
      </c>
      <c r="M62" s="32">
        <f>$A62*VLOOKUP($B62&amp;$D62,$B$13:$X$24,M$30+1,FALSE)*VLOOKUP($C62,Overlap!$A$3:$B$15,2,FALSE)</f>
        <v>55611.849403720436</v>
      </c>
      <c r="N62" s="32">
        <f>$A62*VLOOKUP($B62&amp;$D62,$B$13:$X$24,N$30+1,FALSE)*VLOOKUP($C62,Overlap!$A$3:$B$15,2,FALSE)</f>
        <v>56706.410601111922</v>
      </c>
      <c r="O62" s="32">
        <f>$A62*VLOOKUP($B62&amp;$D62,$B$13:$X$24,O$30+1,FALSE)*VLOOKUP($C62,Overlap!$A$3:$B$15,2,FALSE)</f>
        <v>57363.764638097869</v>
      </c>
      <c r="P62" s="32">
        <f>$A62*VLOOKUP($B62&amp;$D62,$B$13:$X$24,P$30+1,FALSE)*VLOOKUP($C62,Overlap!$A$3:$B$15,2,FALSE)</f>
        <v>58003.246938896584</v>
      </c>
      <c r="Q62" s="32">
        <f>$A62*VLOOKUP($B62&amp;$D62,$B$13:$X$24,Q$30+1,FALSE)*VLOOKUP($C62,Overlap!$A$3:$B$15,2,FALSE)</f>
        <v>58665.991169401394</v>
      </c>
      <c r="R62" s="32">
        <f>$A62*VLOOKUP($B62&amp;$D62,$B$13:$X$24,R$30+1,FALSE)*VLOOKUP($C62,Overlap!$A$3:$B$15,2,FALSE)</f>
        <v>59310.484603943085</v>
      </c>
      <c r="S62" s="32">
        <f>$A62*VLOOKUP($B62&amp;$D62,$B$13:$X$24,S$30+1,FALSE)*VLOOKUP($C62,Overlap!$A$3:$B$15,2,FALSE)</f>
        <v>60373.935138630848</v>
      </c>
      <c r="T62" s="32">
        <f>$A62*VLOOKUP($B62&amp;$D62,$B$13:$X$24,T$30+1,FALSE)*VLOOKUP($C62,Overlap!$A$3:$B$15,2,FALSE)</f>
        <v>61082.50509993016</v>
      </c>
      <c r="U62" s="32">
        <f>$A62*VLOOKUP($B62&amp;$D62,$B$13:$X$24,U$30+1,FALSE)*VLOOKUP($C62,Overlap!$A$3:$B$15,2,FALSE)</f>
        <v>61814.401514921163</v>
      </c>
      <c r="V62" s="32">
        <f>$A62*VLOOKUP($B62&amp;$D62,$B$13:$X$24,V$30+1,FALSE)*VLOOKUP($C62,Overlap!$A$3:$B$15,2,FALSE)</f>
        <v>62547.682526489298</v>
      </c>
      <c r="W62" s="32">
        <f>$A62*VLOOKUP($B62&amp;$D62,$B$13:$X$24,W$30+1,FALSE)*VLOOKUP($C62,Overlap!$A$3:$B$15,2,FALSE)</f>
        <v>63261.854050589551</v>
      </c>
      <c r="X62" s="32">
        <f>$A62*VLOOKUP($B62&amp;$D62,$B$13:$X$24,X$30+1,FALSE)*VLOOKUP($C62,Overlap!$A$3:$B$15,2,FALSE)</f>
        <v>64453.590832801528</v>
      </c>
      <c r="Y62" s="32"/>
      <c r="Z62" s="32" t="str">
        <f t="shared" si="3"/>
        <v>Wheel/hand line systems: Cut and pipe press repair of leaking hand-lines, wheel-lines, and portable main-lines Washington</v>
      </c>
      <c r="AA62" s="41">
        <f>VLOOKUP(B62&amp;D62,$B$13:$X$24,$X$30+1,FALSE)*$AA$29*A62*VLOOKUP($C62,Overlap!$A$3:$B$15,2,FALSE)</f>
        <v>54785.552207881294</v>
      </c>
    </row>
    <row r="63" spans="1:27">
      <c r="A63" s="50">
        <f>INDEX([2]APPLIC!$B$8:$F$67,MATCH($C63,[2]APPLIC!$B$9:$B$67,0)+1,MATCH($D63,[2]APPLIC!$C$8:$F$8,0)+1)</f>
        <v>0.30000000000000004</v>
      </c>
      <c r="B63" s="77" t="s">
        <v>1273</v>
      </c>
      <c r="C63" s="7" t="s">
        <v>1302</v>
      </c>
      <c r="D63" s="7" t="s">
        <v>433</v>
      </c>
      <c r="E63" s="32">
        <f>$A63*VLOOKUP($B63&amp;$D63,$B$13:$X$24,E$30+1,FALSE)*VLOOKUP($C63,Overlap!$A$3:$B$15,2,FALSE)</f>
        <v>5886.0000000000009</v>
      </c>
      <c r="F63" s="32">
        <f>$A63*VLOOKUP($B63&amp;$D63,$B$13:$X$24,F$30+1,FALSE)*VLOOKUP($C63,Overlap!$A$3:$B$15,2,FALSE)</f>
        <v>5948.757251305813</v>
      </c>
      <c r="G63" s="32">
        <f>$A63*VLOOKUP($B63&amp;$D63,$B$13:$X$24,G$30+1,FALSE)*VLOOKUP($C63,Overlap!$A$3:$B$15,2,FALSE)</f>
        <v>6013.7846569696294</v>
      </c>
      <c r="H63" s="32">
        <f>$A63*VLOOKUP($B63&amp;$D63,$B$13:$X$24,H$30+1,FALSE)*VLOOKUP($C63,Overlap!$A$3:$B$15,2,FALSE)</f>
        <v>6080.981252530275</v>
      </c>
      <c r="I63" s="32">
        <f>$A63*VLOOKUP($B63&amp;$D63,$B$13:$X$24,I$30+1,FALSE)*VLOOKUP($C63,Overlap!$A$3:$B$15,2,FALSE)</f>
        <v>6191.1345736626927</v>
      </c>
      <c r="J63" s="32">
        <f>$A63*VLOOKUP($B63&amp;$D63,$B$13:$X$24,J$30+1,FALSE)*VLOOKUP($C63,Overlap!$A$3:$B$15,2,FALSE)</f>
        <v>6267.904575586087</v>
      </c>
      <c r="K63" s="32">
        <f>$A63*VLOOKUP($B63&amp;$D63,$B$13:$X$24,K$30+1,FALSE)*VLOOKUP($C63,Overlap!$A$3:$B$15,2,FALSE)</f>
        <v>6342.7424972333201</v>
      </c>
      <c r="L63" s="32">
        <f>$A63*VLOOKUP($B63&amp;$D63,$B$13:$X$24,L$30+1,FALSE)*VLOOKUP($C63,Overlap!$A$3:$B$15,2,FALSE)</f>
        <v>6420.6839238321527</v>
      </c>
      <c r="M63" s="32">
        <f>$A63*VLOOKUP($B63&amp;$D63,$B$13:$X$24,M$30+1,FALSE)*VLOOKUP($C63,Overlap!$A$3:$B$15,2,FALSE)</f>
        <v>6496.719115560235</v>
      </c>
      <c r="N63" s="32">
        <f>$A63*VLOOKUP($B63&amp;$D63,$B$13:$X$24,N$30+1,FALSE)*VLOOKUP($C63,Overlap!$A$3:$B$15,2,FALSE)</f>
        <v>6624.5885665943151</v>
      </c>
      <c r="O63" s="32">
        <f>$A63*VLOOKUP($B63&amp;$D63,$B$13:$X$24,O$30+1,FALSE)*VLOOKUP($C63,Overlap!$A$3:$B$15,2,FALSE)</f>
        <v>6701.3823539538062</v>
      </c>
      <c r="P63" s="32">
        <f>$A63*VLOOKUP($B63&amp;$D63,$B$13:$X$24,P$30+1,FALSE)*VLOOKUP($C63,Overlap!$A$3:$B$15,2,FALSE)</f>
        <v>6776.0883191789708</v>
      </c>
      <c r="Q63" s="32">
        <f>$A63*VLOOKUP($B63&amp;$D63,$B$13:$X$24,Q$30+1,FALSE)*VLOOKUP($C63,Overlap!$A$3:$B$15,2,FALSE)</f>
        <v>6853.5118027928747</v>
      </c>
      <c r="R63" s="32">
        <f>$A63*VLOOKUP($B63&amp;$D63,$B$13:$X$24,R$30+1,FALSE)*VLOOKUP($C63,Overlap!$A$3:$B$15,2,FALSE)</f>
        <v>6928.8031815356208</v>
      </c>
      <c r="S63" s="32">
        <f>$A63*VLOOKUP($B63&amp;$D63,$B$13:$X$24,S$30+1,FALSE)*VLOOKUP($C63,Overlap!$A$3:$B$15,2,FALSE)</f>
        <v>7053.0382050285907</v>
      </c>
      <c r="T63" s="32">
        <f>$A63*VLOOKUP($B63&amp;$D63,$B$13:$X$24,T$30+1,FALSE)*VLOOKUP($C63,Overlap!$A$3:$B$15,2,FALSE)</f>
        <v>7135.8151682413454</v>
      </c>
      <c r="U63" s="32">
        <f>$A63*VLOOKUP($B63&amp;$D63,$B$13:$X$24,U$30+1,FALSE)*VLOOKUP($C63,Overlap!$A$3:$B$15,2,FALSE)</f>
        <v>7221.3171877005998</v>
      </c>
      <c r="V63" s="32">
        <f>$A63*VLOOKUP($B63&amp;$D63,$B$13:$X$24,V$30+1,FALSE)*VLOOKUP($C63,Overlap!$A$3:$B$15,2,FALSE)</f>
        <v>7306.9809592890588</v>
      </c>
      <c r="W63" s="32">
        <f>$A63*VLOOKUP($B63&amp;$D63,$B$13:$X$24,W$30+1,FALSE)*VLOOKUP($C63,Overlap!$A$3:$B$15,2,FALSE)</f>
        <v>7390.4123114587719</v>
      </c>
      <c r="X63" s="32">
        <f>$A63*VLOOKUP($B63&amp;$D63,$B$13:$X$24,X$30+1,FALSE)*VLOOKUP($C63,Overlap!$A$3:$B$15,2,FALSE)</f>
        <v>7529.6340639580658</v>
      </c>
      <c r="Y63" s="32"/>
      <c r="Z63" s="32" t="str">
        <f t="shared" si="3"/>
        <v>Thunderbird wheel line systems: Replace leaking hub with new hub Washington</v>
      </c>
      <c r="AA63" s="41">
        <f>VLOOKUP(B63&amp;D63,$B$13:$X$24,$X$30+1,FALSE)*$AA$29*A63*VLOOKUP($C63,Overlap!$A$3:$B$15,2,FALSE)</f>
        <v>6400.1889543643556</v>
      </c>
    </row>
    <row r="64" spans="1:27">
      <c r="A64" s="50">
        <f>INDEX([2]APPLIC!$B$8:$F$67,MATCH($C64,[2]APPLIC!$B$9:$B$67,0)+1,MATCH($D64,[2]APPLIC!$C$8:$F$8,0)+1)</f>
        <v>0.30000000000000004</v>
      </c>
      <c r="B64" s="77" t="s">
        <v>1273</v>
      </c>
      <c r="C64" s="7" t="s">
        <v>1304</v>
      </c>
      <c r="D64" s="7" t="s">
        <v>433</v>
      </c>
      <c r="E64" s="32">
        <f>$A64*VLOOKUP($B64&amp;$D64,$B$13:$X$24,E$30+1,FALSE)*VLOOKUP($C64,Overlap!$A$3:$B$15,2,FALSE)</f>
        <v>5886.0000000000009</v>
      </c>
      <c r="F64" s="32">
        <f>$A64*VLOOKUP($B64&amp;$D64,$B$13:$X$24,F$30+1,FALSE)*VLOOKUP($C64,Overlap!$A$3:$B$15,2,FALSE)</f>
        <v>5948.757251305813</v>
      </c>
      <c r="G64" s="32">
        <f>$A64*VLOOKUP($B64&amp;$D64,$B$13:$X$24,G$30+1,FALSE)*VLOOKUP($C64,Overlap!$A$3:$B$15,2,FALSE)</f>
        <v>6013.7846569696294</v>
      </c>
      <c r="H64" s="32">
        <f>$A64*VLOOKUP($B64&amp;$D64,$B$13:$X$24,H$30+1,FALSE)*VLOOKUP($C64,Overlap!$A$3:$B$15,2,FALSE)</f>
        <v>6080.981252530275</v>
      </c>
      <c r="I64" s="32">
        <f>$A64*VLOOKUP($B64&amp;$D64,$B$13:$X$24,I$30+1,FALSE)*VLOOKUP($C64,Overlap!$A$3:$B$15,2,FALSE)</f>
        <v>6191.1345736626927</v>
      </c>
      <c r="J64" s="32">
        <f>$A64*VLOOKUP($B64&amp;$D64,$B$13:$X$24,J$30+1,FALSE)*VLOOKUP($C64,Overlap!$A$3:$B$15,2,FALSE)</f>
        <v>6267.904575586087</v>
      </c>
      <c r="K64" s="32">
        <f>$A64*VLOOKUP($B64&amp;$D64,$B$13:$X$24,K$30+1,FALSE)*VLOOKUP($C64,Overlap!$A$3:$B$15,2,FALSE)</f>
        <v>6342.7424972333201</v>
      </c>
      <c r="L64" s="32">
        <f>$A64*VLOOKUP($B64&amp;$D64,$B$13:$X$24,L$30+1,FALSE)*VLOOKUP($C64,Overlap!$A$3:$B$15,2,FALSE)</f>
        <v>6420.6839238321527</v>
      </c>
      <c r="M64" s="32">
        <f>$A64*VLOOKUP($B64&amp;$D64,$B$13:$X$24,M$30+1,FALSE)*VLOOKUP($C64,Overlap!$A$3:$B$15,2,FALSE)</f>
        <v>6496.719115560235</v>
      </c>
      <c r="N64" s="32">
        <f>$A64*VLOOKUP($B64&amp;$D64,$B$13:$X$24,N$30+1,FALSE)*VLOOKUP($C64,Overlap!$A$3:$B$15,2,FALSE)</f>
        <v>6624.5885665943151</v>
      </c>
      <c r="O64" s="32">
        <f>$A64*VLOOKUP($B64&amp;$D64,$B$13:$X$24,O$30+1,FALSE)*VLOOKUP($C64,Overlap!$A$3:$B$15,2,FALSE)</f>
        <v>6701.3823539538062</v>
      </c>
      <c r="P64" s="32">
        <f>$A64*VLOOKUP($B64&amp;$D64,$B$13:$X$24,P$30+1,FALSE)*VLOOKUP($C64,Overlap!$A$3:$B$15,2,FALSE)</f>
        <v>6776.0883191789708</v>
      </c>
      <c r="Q64" s="32">
        <f>$A64*VLOOKUP($B64&amp;$D64,$B$13:$X$24,Q$30+1,FALSE)*VLOOKUP($C64,Overlap!$A$3:$B$15,2,FALSE)</f>
        <v>6853.5118027928747</v>
      </c>
      <c r="R64" s="32">
        <f>$A64*VLOOKUP($B64&amp;$D64,$B$13:$X$24,R$30+1,FALSE)*VLOOKUP($C64,Overlap!$A$3:$B$15,2,FALSE)</f>
        <v>6928.8031815356208</v>
      </c>
      <c r="S64" s="32">
        <f>$A64*VLOOKUP($B64&amp;$D64,$B$13:$X$24,S$30+1,FALSE)*VLOOKUP($C64,Overlap!$A$3:$B$15,2,FALSE)</f>
        <v>7053.0382050285907</v>
      </c>
      <c r="T64" s="32">
        <f>$A64*VLOOKUP($B64&amp;$D64,$B$13:$X$24,T$30+1,FALSE)*VLOOKUP($C64,Overlap!$A$3:$B$15,2,FALSE)</f>
        <v>7135.8151682413454</v>
      </c>
      <c r="U64" s="32">
        <f>$A64*VLOOKUP($B64&amp;$D64,$B$13:$X$24,U$30+1,FALSE)*VLOOKUP($C64,Overlap!$A$3:$B$15,2,FALSE)</f>
        <v>7221.3171877005998</v>
      </c>
      <c r="V64" s="32">
        <f>$A64*VLOOKUP($B64&amp;$D64,$B$13:$X$24,V$30+1,FALSE)*VLOOKUP($C64,Overlap!$A$3:$B$15,2,FALSE)</f>
        <v>7306.9809592890588</v>
      </c>
      <c r="W64" s="32">
        <f>$A64*VLOOKUP($B64&amp;$D64,$B$13:$X$24,W$30+1,FALSE)*VLOOKUP($C64,Overlap!$A$3:$B$15,2,FALSE)</f>
        <v>7390.4123114587719</v>
      </c>
      <c r="X64" s="32">
        <f>$A64*VLOOKUP($B64&amp;$D64,$B$13:$X$24,X$30+1,FALSE)*VLOOKUP($C64,Overlap!$A$3:$B$15,2,FALSE)</f>
        <v>7529.6340639580658</v>
      </c>
      <c r="Y64" s="32"/>
      <c r="Z64" s="32" t="str">
        <f t="shared" si="3"/>
        <v>Wheel line systems: Rebuild or replace leaking or malfunctioning leveler with new or rebuilt leveler. Washington</v>
      </c>
      <c r="AA64" s="41">
        <f>VLOOKUP(B64&amp;D64,$B$13:$X$24,$X$30+1,FALSE)*$AA$29*A64*VLOOKUP($C64,Overlap!$A$3:$B$15,2,FALSE)</f>
        <v>6400.1889543643556</v>
      </c>
    </row>
    <row r="65" spans="1:27">
      <c r="A65" s="50">
        <f>INDEX([2]APPLIC!$B$8:$F$67,MATCH($C65,[2]APPLIC!$B$9:$B$67,0)+1,MATCH($D65,[2]APPLIC!$C$8:$F$8,0)+1)</f>
        <v>0.30000000000000004</v>
      </c>
      <c r="B65" s="77" t="s">
        <v>1272</v>
      </c>
      <c r="C65" s="7" t="s">
        <v>1306</v>
      </c>
      <c r="D65" s="7" t="s">
        <v>433</v>
      </c>
      <c r="E65" s="32">
        <f>$A65*VLOOKUP($B65&amp;$D65,$B$13:$X$24,E$30+1,FALSE)*VLOOKUP($C65,Overlap!$A$3:$B$15,2,FALSE)</f>
        <v>297022.20000000007</v>
      </c>
      <c r="F65" s="32">
        <f>$A65*VLOOKUP($B65&amp;$D65,$B$13:$X$24,F$30+1,FALSE)*VLOOKUP($C65,Overlap!$A$3:$B$15,2,FALSE)</f>
        <v>300189.08699436043</v>
      </c>
      <c r="G65" s="32">
        <f>$A65*VLOOKUP($B65&amp;$D65,$B$13:$X$24,G$30+1,FALSE)*VLOOKUP($C65,Overlap!$A$3:$B$15,2,FALSE)</f>
        <v>303470.53162408504</v>
      </c>
      <c r="H65" s="32">
        <f>$A65*VLOOKUP($B65&amp;$D65,$B$13:$X$24,H$30+1,FALSE)*VLOOKUP($C65,Overlap!$A$3:$B$15,2,FALSE)</f>
        <v>306861.43897133839</v>
      </c>
      <c r="I65" s="32">
        <f>$A65*VLOOKUP($B65&amp;$D65,$B$13:$X$24,I$30+1,FALSE)*VLOOKUP($C65,Overlap!$A$3:$B$15,2,FALSE)</f>
        <v>312420.04953539843</v>
      </c>
      <c r="J65" s="32">
        <f>$A65*VLOOKUP($B65&amp;$D65,$B$13:$X$24,J$30+1,FALSE)*VLOOKUP($C65,Overlap!$A$3:$B$15,2,FALSE)</f>
        <v>316294.05477924668</v>
      </c>
      <c r="K65" s="32">
        <f>$A65*VLOOKUP($B65&amp;$D65,$B$13:$X$24,K$30+1,FALSE)*VLOOKUP($C65,Overlap!$A$3:$B$15,2,FALSE)</f>
        <v>320070.56244677788</v>
      </c>
      <c r="L65" s="32">
        <f>$A65*VLOOKUP($B65&amp;$D65,$B$13:$X$24,L$30+1,FALSE)*VLOOKUP($C65,Overlap!$A$3:$B$15,2,FALSE)</f>
        <v>324003.68069338403</v>
      </c>
      <c r="M65" s="32">
        <f>$A65*VLOOKUP($B65&amp;$D65,$B$13:$X$24,M$30+1,FALSE)*VLOOKUP($C65,Overlap!$A$3:$B$15,2,FALSE)</f>
        <v>327840.60558711441</v>
      </c>
      <c r="N65" s="32">
        <f>$A65*VLOOKUP($B65&amp;$D65,$B$13:$X$24,N$30+1,FALSE)*VLOOKUP($C65,Overlap!$A$3:$B$15,2,FALSE)</f>
        <v>334293.21613059647</v>
      </c>
      <c r="O65" s="32">
        <f>$A65*VLOOKUP($B65&amp;$D65,$B$13:$X$24,O$30+1,FALSE)*VLOOKUP($C65,Overlap!$A$3:$B$15,2,FALSE)</f>
        <v>338168.4216467106</v>
      </c>
      <c r="P65" s="32">
        <f>$A65*VLOOKUP($B65&amp;$D65,$B$13:$X$24,P$30+1,FALSE)*VLOOKUP($C65,Overlap!$A$3:$B$15,2,FALSE)</f>
        <v>341938.27046497463</v>
      </c>
      <c r="Q65" s="32">
        <f>$A65*VLOOKUP($B65&amp;$D65,$B$13:$X$24,Q$30+1,FALSE)*VLOOKUP($C65,Overlap!$A$3:$B$15,2,FALSE)</f>
        <v>345845.25202030345</v>
      </c>
      <c r="R65" s="32">
        <f>$A65*VLOOKUP($B65&amp;$D65,$B$13:$X$24,R$30+1,FALSE)*VLOOKUP($C65,Overlap!$A$3:$B$15,2,FALSE)</f>
        <v>349644.642260739</v>
      </c>
      <c r="S65" s="32">
        <f>$A65*VLOOKUP($B65&amp;$D65,$B$13:$X$24,S$30+1,FALSE)*VLOOKUP($C65,Overlap!$A$3:$B$15,2,FALSE)</f>
        <v>355913.85055073799</v>
      </c>
      <c r="T65" s="32">
        <f>$A65*VLOOKUP($B65&amp;$D65,$B$13:$X$24,T$30+1,FALSE)*VLOOKUP($C65,Overlap!$A$3:$B$15,2,FALSE)</f>
        <v>360090.98200210923</v>
      </c>
      <c r="U65" s="32">
        <f>$A65*VLOOKUP($B65&amp;$D65,$B$13:$X$24,U$30+1,FALSE)*VLOOKUP($C65,Overlap!$A$3:$B$15,2,FALSE)</f>
        <v>364405.62656959658</v>
      </c>
      <c r="V65" s="32">
        <f>$A65*VLOOKUP($B65&amp;$D65,$B$13:$X$24,V$30+1,FALSE)*VLOOKUP($C65,Overlap!$A$3:$B$15,2,FALSE)</f>
        <v>368728.43355184287</v>
      </c>
      <c r="W65" s="32">
        <f>$A65*VLOOKUP($B65&amp;$D65,$B$13:$X$24,W$30+1,FALSE)*VLOOKUP($C65,Overlap!$A$3:$B$15,2,FALSE)</f>
        <v>372938.5870976164</v>
      </c>
      <c r="X65" s="32">
        <f>$A65*VLOOKUP($B65&amp;$D65,$B$13:$X$24,X$30+1,FALSE)*VLOOKUP($C65,Overlap!$A$3:$B$15,2,FALSE)</f>
        <v>379964.06300913455</v>
      </c>
      <c r="Y65" s="32"/>
      <c r="Z65" s="32" t="str">
        <f t="shared" si="3"/>
        <v>Center pivot/linear move systems: Install new sprinkler package on an existing system. Washington</v>
      </c>
      <c r="AA65" s="41">
        <f>VLOOKUP(B65&amp;D65,$B$13:$X$24,$X$30+1,FALSE)*$AA$29*A65*VLOOKUP($C65,Overlap!$A$3:$B$15,2,FALSE)</f>
        <v>322969.45355776435</v>
      </c>
    </row>
    <row r="66" spans="1:27">
      <c r="A66" s="50">
        <f>INDEX([2]APPLIC!$B$8:$F$67,MATCH($C66,[2]APPLIC!$B$9:$B$67,0)+1,MATCH($D66,[2]APPLIC!$C$8:$F$8,0)+1)</f>
        <v>0.30000000000000004</v>
      </c>
      <c r="B66" s="77" t="s">
        <v>1272</v>
      </c>
      <c r="C66" s="7" t="s">
        <v>1308</v>
      </c>
      <c r="D66" s="7" t="s">
        <v>433</v>
      </c>
      <c r="E66" s="32">
        <f>$A66*VLOOKUP($B66&amp;$D66,$B$13:$X$24,E$30+1,FALSE)*VLOOKUP($C66,Overlap!$A$3:$B$15,2,FALSE)</f>
        <v>297022.20000000007</v>
      </c>
      <c r="F66" s="32">
        <f>$A66*VLOOKUP($B66&amp;$D66,$B$13:$X$24,F$30+1,FALSE)*VLOOKUP($C66,Overlap!$A$3:$B$15,2,FALSE)</f>
        <v>300189.08699436043</v>
      </c>
      <c r="G66" s="32">
        <f>$A66*VLOOKUP($B66&amp;$D66,$B$13:$X$24,G$30+1,FALSE)*VLOOKUP($C66,Overlap!$A$3:$B$15,2,FALSE)</f>
        <v>303470.53162408504</v>
      </c>
      <c r="H66" s="32">
        <f>$A66*VLOOKUP($B66&amp;$D66,$B$13:$X$24,H$30+1,FALSE)*VLOOKUP($C66,Overlap!$A$3:$B$15,2,FALSE)</f>
        <v>306861.43897133839</v>
      </c>
      <c r="I66" s="32">
        <f>$A66*VLOOKUP($B66&amp;$D66,$B$13:$X$24,I$30+1,FALSE)*VLOOKUP($C66,Overlap!$A$3:$B$15,2,FALSE)</f>
        <v>312420.04953539843</v>
      </c>
      <c r="J66" s="32">
        <f>$A66*VLOOKUP($B66&amp;$D66,$B$13:$X$24,J$30+1,FALSE)*VLOOKUP($C66,Overlap!$A$3:$B$15,2,FALSE)</f>
        <v>316294.05477924668</v>
      </c>
      <c r="K66" s="32">
        <f>$A66*VLOOKUP($B66&amp;$D66,$B$13:$X$24,K$30+1,FALSE)*VLOOKUP($C66,Overlap!$A$3:$B$15,2,FALSE)</f>
        <v>320070.56244677788</v>
      </c>
      <c r="L66" s="32">
        <f>$A66*VLOOKUP($B66&amp;$D66,$B$13:$X$24,L$30+1,FALSE)*VLOOKUP($C66,Overlap!$A$3:$B$15,2,FALSE)</f>
        <v>324003.68069338403</v>
      </c>
      <c r="M66" s="32">
        <f>$A66*VLOOKUP($B66&amp;$D66,$B$13:$X$24,M$30+1,FALSE)*VLOOKUP($C66,Overlap!$A$3:$B$15,2,FALSE)</f>
        <v>327840.60558711441</v>
      </c>
      <c r="N66" s="32">
        <f>$A66*VLOOKUP($B66&amp;$D66,$B$13:$X$24,N$30+1,FALSE)*VLOOKUP($C66,Overlap!$A$3:$B$15,2,FALSE)</f>
        <v>334293.21613059647</v>
      </c>
      <c r="O66" s="32">
        <f>$A66*VLOOKUP($B66&amp;$D66,$B$13:$X$24,O$30+1,FALSE)*VLOOKUP($C66,Overlap!$A$3:$B$15,2,FALSE)</f>
        <v>338168.4216467106</v>
      </c>
      <c r="P66" s="32">
        <f>$A66*VLOOKUP($B66&amp;$D66,$B$13:$X$24,P$30+1,FALSE)*VLOOKUP($C66,Overlap!$A$3:$B$15,2,FALSE)</f>
        <v>341938.27046497463</v>
      </c>
      <c r="Q66" s="32">
        <f>$A66*VLOOKUP($B66&amp;$D66,$B$13:$X$24,Q$30+1,FALSE)*VLOOKUP($C66,Overlap!$A$3:$B$15,2,FALSE)</f>
        <v>345845.25202030345</v>
      </c>
      <c r="R66" s="32">
        <f>$A66*VLOOKUP($B66&amp;$D66,$B$13:$X$24,R$30+1,FALSE)*VLOOKUP($C66,Overlap!$A$3:$B$15,2,FALSE)</f>
        <v>349644.642260739</v>
      </c>
      <c r="S66" s="32">
        <f>$A66*VLOOKUP($B66&amp;$D66,$B$13:$X$24,S$30+1,FALSE)*VLOOKUP($C66,Overlap!$A$3:$B$15,2,FALSE)</f>
        <v>355913.85055073799</v>
      </c>
      <c r="T66" s="32">
        <f>$A66*VLOOKUP($B66&amp;$D66,$B$13:$X$24,T$30+1,FALSE)*VLOOKUP($C66,Overlap!$A$3:$B$15,2,FALSE)</f>
        <v>360090.98200210923</v>
      </c>
      <c r="U66" s="32">
        <f>$A66*VLOOKUP($B66&amp;$D66,$B$13:$X$24,U$30+1,FALSE)*VLOOKUP($C66,Overlap!$A$3:$B$15,2,FALSE)</f>
        <v>364405.62656959658</v>
      </c>
      <c r="V66" s="32">
        <f>$A66*VLOOKUP($B66&amp;$D66,$B$13:$X$24,V$30+1,FALSE)*VLOOKUP($C66,Overlap!$A$3:$B$15,2,FALSE)</f>
        <v>368728.43355184287</v>
      </c>
      <c r="W66" s="32">
        <f>$A66*VLOOKUP($B66&amp;$D66,$B$13:$X$24,W$30+1,FALSE)*VLOOKUP($C66,Overlap!$A$3:$B$15,2,FALSE)</f>
        <v>372938.5870976164</v>
      </c>
      <c r="X66" s="32">
        <f>$A66*VLOOKUP($B66&amp;$D66,$B$13:$X$24,X$30+1,FALSE)*VLOOKUP($C66,Overlap!$A$3:$B$15,2,FALSE)</f>
        <v>379964.06300913455</v>
      </c>
      <c r="Y66" s="32"/>
      <c r="Z66" s="32" t="str">
        <f t="shared" si="3"/>
        <v>Center pivot/linear move systems: New gooseneck elbows Washington</v>
      </c>
      <c r="AA66" s="41">
        <f>VLOOKUP(B66&amp;D66,$B$13:$X$24,$X$30+1,FALSE)*$AA$29*A66*VLOOKUP($C66,Overlap!$A$3:$B$15,2,FALSE)</f>
        <v>322969.45355776435</v>
      </c>
    </row>
    <row r="67" spans="1:27">
      <c r="A67" s="50">
        <f>INDEX([2]APPLIC!$B$8:$F$67,MATCH($C67,[2]APPLIC!$B$9:$B$67,0)+1,MATCH($D67,[2]APPLIC!$C$8:$F$8,0)+1)</f>
        <v>0.30000000000000004</v>
      </c>
      <c r="B67" s="77" t="s">
        <v>1272</v>
      </c>
      <c r="C67" s="7" t="s">
        <v>1310</v>
      </c>
      <c r="D67" s="7" t="s">
        <v>433</v>
      </c>
      <c r="E67" s="32">
        <f>$A67*VLOOKUP($B67&amp;$D67,$B$13:$X$24,E$30+1,FALSE)*VLOOKUP($C67,Overlap!$A$3:$B$15,2,FALSE)</f>
        <v>297022.20000000007</v>
      </c>
      <c r="F67" s="32">
        <f>$A67*VLOOKUP($B67&amp;$D67,$B$13:$X$24,F$30+1,FALSE)*VLOOKUP($C67,Overlap!$A$3:$B$15,2,FALSE)</f>
        <v>300189.08699436043</v>
      </c>
      <c r="G67" s="32">
        <f>$A67*VLOOKUP($B67&amp;$D67,$B$13:$X$24,G$30+1,FALSE)*VLOOKUP($C67,Overlap!$A$3:$B$15,2,FALSE)</f>
        <v>303470.53162408504</v>
      </c>
      <c r="H67" s="32">
        <f>$A67*VLOOKUP($B67&amp;$D67,$B$13:$X$24,H$30+1,FALSE)*VLOOKUP($C67,Overlap!$A$3:$B$15,2,FALSE)</f>
        <v>306861.43897133839</v>
      </c>
      <c r="I67" s="32">
        <f>$A67*VLOOKUP($B67&amp;$D67,$B$13:$X$24,I$30+1,FALSE)*VLOOKUP($C67,Overlap!$A$3:$B$15,2,FALSE)</f>
        <v>312420.04953539843</v>
      </c>
      <c r="J67" s="32">
        <f>$A67*VLOOKUP($B67&amp;$D67,$B$13:$X$24,J$30+1,FALSE)*VLOOKUP($C67,Overlap!$A$3:$B$15,2,FALSE)</f>
        <v>316294.05477924668</v>
      </c>
      <c r="K67" s="32">
        <f>$A67*VLOOKUP($B67&amp;$D67,$B$13:$X$24,K$30+1,FALSE)*VLOOKUP($C67,Overlap!$A$3:$B$15,2,FALSE)</f>
        <v>320070.56244677788</v>
      </c>
      <c r="L67" s="32">
        <f>$A67*VLOOKUP($B67&amp;$D67,$B$13:$X$24,L$30+1,FALSE)*VLOOKUP($C67,Overlap!$A$3:$B$15,2,FALSE)</f>
        <v>324003.68069338403</v>
      </c>
      <c r="M67" s="32">
        <f>$A67*VLOOKUP($B67&amp;$D67,$B$13:$X$24,M$30+1,FALSE)*VLOOKUP($C67,Overlap!$A$3:$B$15,2,FALSE)</f>
        <v>327840.60558711441</v>
      </c>
      <c r="N67" s="32">
        <f>$A67*VLOOKUP($B67&amp;$D67,$B$13:$X$24,N$30+1,FALSE)*VLOOKUP($C67,Overlap!$A$3:$B$15,2,FALSE)</f>
        <v>334293.21613059647</v>
      </c>
      <c r="O67" s="32">
        <f>$A67*VLOOKUP($B67&amp;$D67,$B$13:$X$24,O$30+1,FALSE)*VLOOKUP($C67,Overlap!$A$3:$B$15,2,FALSE)</f>
        <v>338168.4216467106</v>
      </c>
      <c r="P67" s="32">
        <f>$A67*VLOOKUP($B67&amp;$D67,$B$13:$X$24,P$30+1,FALSE)*VLOOKUP($C67,Overlap!$A$3:$B$15,2,FALSE)</f>
        <v>341938.27046497463</v>
      </c>
      <c r="Q67" s="32">
        <f>$A67*VLOOKUP($B67&amp;$D67,$B$13:$X$24,Q$30+1,FALSE)*VLOOKUP($C67,Overlap!$A$3:$B$15,2,FALSE)</f>
        <v>345845.25202030345</v>
      </c>
      <c r="R67" s="32">
        <f>$A67*VLOOKUP($B67&amp;$D67,$B$13:$X$24,R$30+1,FALSE)*VLOOKUP($C67,Overlap!$A$3:$B$15,2,FALSE)</f>
        <v>349644.642260739</v>
      </c>
      <c r="S67" s="32">
        <f>$A67*VLOOKUP($B67&amp;$D67,$B$13:$X$24,S$30+1,FALSE)*VLOOKUP($C67,Overlap!$A$3:$B$15,2,FALSE)</f>
        <v>355913.85055073799</v>
      </c>
      <c r="T67" s="32">
        <f>$A67*VLOOKUP($B67&amp;$D67,$B$13:$X$24,T$30+1,FALSE)*VLOOKUP($C67,Overlap!$A$3:$B$15,2,FALSE)</f>
        <v>360090.98200210923</v>
      </c>
      <c r="U67" s="32">
        <f>$A67*VLOOKUP($B67&amp;$D67,$B$13:$X$24,U$30+1,FALSE)*VLOOKUP($C67,Overlap!$A$3:$B$15,2,FALSE)</f>
        <v>364405.62656959658</v>
      </c>
      <c r="V67" s="32">
        <f>$A67*VLOOKUP($B67&amp;$D67,$B$13:$X$24,V$30+1,FALSE)*VLOOKUP($C67,Overlap!$A$3:$B$15,2,FALSE)</f>
        <v>368728.43355184287</v>
      </c>
      <c r="W67" s="32">
        <f>$A67*VLOOKUP($B67&amp;$D67,$B$13:$X$24,W$30+1,FALSE)*VLOOKUP($C67,Overlap!$A$3:$B$15,2,FALSE)</f>
        <v>372938.5870976164</v>
      </c>
      <c r="X67" s="32">
        <f>$A67*VLOOKUP($B67&amp;$D67,$B$13:$X$24,X$30+1,FALSE)*VLOOKUP($C67,Overlap!$A$3:$B$15,2,FALSE)</f>
        <v>379964.06300913455</v>
      </c>
      <c r="Y67" s="32"/>
      <c r="Z67" s="32" t="str">
        <f t="shared" si="3"/>
        <v>Center pivot/linear move systems: New drop tubes (3 feet minimum) Washington</v>
      </c>
      <c r="AA67" s="41">
        <f>VLOOKUP(B67&amp;D67,$B$13:$X$24,$X$30+1,FALSE)*$AA$29*A67*VLOOKUP($C67,Overlap!$A$3:$B$15,2,FALSE)</f>
        <v>322969.45355776435</v>
      </c>
    </row>
    <row r="68" spans="1:27">
      <c r="A68" s="50">
        <f>INDEX([2]APPLIC!$B$8:$F$67,MATCH($C68,[2]APPLIC!$B$9:$B$67,0)+1,MATCH($D68,[2]APPLIC!$C$8:$F$8,0)+1)</f>
        <v>0.30000000000000004</v>
      </c>
      <c r="B68" s="77" t="s">
        <v>1272</v>
      </c>
      <c r="C68" s="7" t="s">
        <v>1312</v>
      </c>
      <c r="D68" s="7" t="s">
        <v>433</v>
      </c>
      <c r="E68" s="32">
        <f>$A68*VLOOKUP($B68&amp;$D68,$B$13:$X$24,E$30+1,FALSE)*VLOOKUP($C68,Overlap!$A$3:$B$15,2,FALSE)</f>
        <v>297022.20000000007</v>
      </c>
      <c r="F68" s="32">
        <f>$A68*VLOOKUP($B68&amp;$D68,$B$13:$X$24,F$30+1,FALSE)*VLOOKUP($C68,Overlap!$A$3:$B$15,2,FALSE)</f>
        <v>300189.08699436043</v>
      </c>
      <c r="G68" s="32">
        <f>$A68*VLOOKUP($B68&amp;$D68,$B$13:$X$24,G$30+1,FALSE)*VLOOKUP($C68,Overlap!$A$3:$B$15,2,FALSE)</f>
        <v>303470.53162408504</v>
      </c>
      <c r="H68" s="32">
        <f>$A68*VLOOKUP($B68&amp;$D68,$B$13:$X$24,H$30+1,FALSE)*VLOOKUP($C68,Overlap!$A$3:$B$15,2,FALSE)</f>
        <v>306861.43897133839</v>
      </c>
      <c r="I68" s="32">
        <f>$A68*VLOOKUP($B68&amp;$D68,$B$13:$X$24,I$30+1,FALSE)*VLOOKUP($C68,Overlap!$A$3:$B$15,2,FALSE)</f>
        <v>312420.04953539843</v>
      </c>
      <c r="J68" s="32">
        <f>$A68*VLOOKUP($B68&amp;$D68,$B$13:$X$24,J$30+1,FALSE)*VLOOKUP($C68,Overlap!$A$3:$B$15,2,FALSE)</f>
        <v>316294.05477924668</v>
      </c>
      <c r="K68" s="32">
        <f>$A68*VLOOKUP($B68&amp;$D68,$B$13:$X$24,K$30+1,FALSE)*VLOOKUP($C68,Overlap!$A$3:$B$15,2,FALSE)</f>
        <v>320070.56244677788</v>
      </c>
      <c r="L68" s="32">
        <f>$A68*VLOOKUP($B68&amp;$D68,$B$13:$X$24,L$30+1,FALSE)*VLOOKUP($C68,Overlap!$A$3:$B$15,2,FALSE)</f>
        <v>324003.68069338403</v>
      </c>
      <c r="M68" s="32">
        <f>$A68*VLOOKUP($B68&amp;$D68,$B$13:$X$24,M$30+1,FALSE)*VLOOKUP($C68,Overlap!$A$3:$B$15,2,FALSE)</f>
        <v>327840.60558711441</v>
      </c>
      <c r="N68" s="32">
        <f>$A68*VLOOKUP($B68&amp;$D68,$B$13:$X$24,N$30+1,FALSE)*VLOOKUP($C68,Overlap!$A$3:$B$15,2,FALSE)</f>
        <v>334293.21613059647</v>
      </c>
      <c r="O68" s="32">
        <f>$A68*VLOOKUP($B68&amp;$D68,$B$13:$X$24,O$30+1,FALSE)*VLOOKUP($C68,Overlap!$A$3:$B$15,2,FALSE)</f>
        <v>338168.4216467106</v>
      </c>
      <c r="P68" s="32">
        <f>$A68*VLOOKUP($B68&amp;$D68,$B$13:$X$24,P$30+1,FALSE)*VLOOKUP($C68,Overlap!$A$3:$B$15,2,FALSE)</f>
        <v>341938.27046497463</v>
      </c>
      <c r="Q68" s="32">
        <f>$A68*VLOOKUP($B68&amp;$D68,$B$13:$X$24,Q$30+1,FALSE)*VLOOKUP($C68,Overlap!$A$3:$B$15,2,FALSE)</f>
        <v>345845.25202030345</v>
      </c>
      <c r="R68" s="32">
        <f>$A68*VLOOKUP($B68&amp;$D68,$B$13:$X$24,R$30+1,FALSE)*VLOOKUP($C68,Overlap!$A$3:$B$15,2,FALSE)</f>
        <v>349644.642260739</v>
      </c>
      <c r="S68" s="32">
        <f>$A68*VLOOKUP($B68&amp;$D68,$B$13:$X$24,S$30+1,FALSE)*VLOOKUP($C68,Overlap!$A$3:$B$15,2,FALSE)</f>
        <v>355913.85055073799</v>
      </c>
      <c r="T68" s="32">
        <f>$A68*VLOOKUP($B68&amp;$D68,$B$13:$X$24,T$30+1,FALSE)*VLOOKUP($C68,Overlap!$A$3:$B$15,2,FALSE)</f>
        <v>360090.98200210923</v>
      </c>
      <c r="U68" s="32">
        <f>$A68*VLOOKUP($B68&amp;$D68,$B$13:$X$24,U$30+1,FALSE)*VLOOKUP($C68,Overlap!$A$3:$B$15,2,FALSE)</f>
        <v>364405.62656959658</v>
      </c>
      <c r="V68" s="32">
        <f>$A68*VLOOKUP($B68&amp;$D68,$B$13:$X$24,V$30+1,FALSE)*VLOOKUP($C68,Overlap!$A$3:$B$15,2,FALSE)</f>
        <v>368728.43355184287</v>
      </c>
      <c r="W68" s="32">
        <f>$A68*VLOOKUP($B68&amp;$D68,$B$13:$X$24,W$30+1,FALSE)*VLOOKUP($C68,Overlap!$A$3:$B$15,2,FALSE)</f>
        <v>372938.5870976164</v>
      </c>
      <c r="X68" s="32">
        <f>$A68*VLOOKUP($B68&amp;$D68,$B$13:$X$24,X$30+1,FALSE)*VLOOKUP($C68,Overlap!$A$3:$B$15,2,FALSE)</f>
        <v>379964.06300913455</v>
      </c>
      <c r="Y68" s="32"/>
      <c r="Z68" s="32" t="str">
        <f t="shared" si="3"/>
        <v>Center pivot/linear move systems: Replace leaking pivot boot gasket with new pivot boot gasket Washington</v>
      </c>
      <c r="AA68" s="41">
        <f>VLOOKUP(B68&amp;D68,$B$13:$X$24,$X$30+1,FALSE)*$AA$29*A68*VLOOKUP($C68,Overlap!$A$3:$B$15,2,FALSE)</f>
        <v>322969.45355776435</v>
      </c>
    </row>
    <row r="69" spans="1:27">
      <c r="A69" s="50">
        <f>INDEX([2]APPLIC!$B$8:$F$67,MATCH($C69,[2]APPLIC!$B$9:$B$67,0)+1,MATCH($D69,[2]APPLIC!$C$8:$F$8,0)+1)</f>
        <v>0.30000000000000004</v>
      </c>
      <c r="B69" s="77" t="s">
        <v>1272</v>
      </c>
      <c r="C69" s="7" t="s">
        <v>1314</v>
      </c>
      <c r="D69" s="7" t="s">
        <v>433</v>
      </c>
      <c r="E69" s="32">
        <f>$A69*VLOOKUP($B69&amp;$D69,$B$13:$X$24,E$30+1,FALSE)*VLOOKUP($C69,Overlap!$A$3:$B$15,2,FALSE)</f>
        <v>297022.20000000007</v>
      </c>
      <c r="F69" s="32">
        <f>$A69*VLOOKUP($B69&amp;$D69,$B$13:$X$24,F$30+1,FALSE)*VLOOKUP($C69,Overlap!$A$3:$B$15,2,FALSE)</f>
        <v>300189.08699436043</v>
      </c>
      <c r="G69" s="32">
        <f>$A69*VLOOKUP($B69&amp;$D69,$B$13:$X$24,G$30+1,FALSE)*VLOOKUP($C69,Overlap!$A$3:$B$15,2,FALSE)</f>
        <v>303470.53162408504</v>
      </c>
      <c r="H69" s="32">
        <f>$A69*VLOOKUP($B69&amp;$D69,$B$13:$X$24,H$30+1,FALSE)*VLOOKUP($C69,Overlap!$A$3:$B$15,2,FALSE)</f>
        <v>306861.43897133839</v>
      </c>
      <c r="I69" s="32">
        <f>$A69*VLOOKUP($B69&amp;$D69,$B$13:$X$24,I$30+1,FALSE)*VLOOKUP($C69,Overlap!$A$3:$B$15,2,FALSE)</f>
        <v>312420.04953539843</v>
      </c>
      <c r="J69" s="32">
        <f>$A69*VLOOKUP($B69&amp;$D69,$B$13:$X$24,J$30+1,FALSE)*VLOOKUP($C69,Overlap!$A$3:$B$15,2,FALSE)</f>
        <v>316294.05477924668</v>
      </c>
      <c r="K69" s="32">
        <f>$A69*VLOOKUP($B69&amp;$D69,$B$13:$X$24,K$30+1,FALSE)*VLOOKUP($C69,Overlap!$A$3:$B$15,2,FALSE)</f>
        <v>320070.56244677788</v>
      </c>
      <c r="L69" s="32">
        <f>$A69*VLOOKUP($B69&amp;$D69,$B$13:$X$24,L$30+1,FALSE)*VLOOKUP($C69,Overlap!$A$3:$B$15,2,FALSE)</f>
        <v>324003.68069338403</v>
      </c>
      <c r="M69" s="32">
        <f>$A69*VLOOKUP($B69&amp;$D69,$B$13:$X$24,M$30+1,FALSE)*VLOOKUP($C69,Overlap!$A$3:$B$15,2,FALSE)</f>
        <v>327840.60558711441</v>
      </c>
      <c r="N69" s="32">
        <f>$A69*VLOOKUP($B69&amp;$D69,$B$13:$X$24,N$30+1,FALSE)*VLOOKUP($C69,Overlap!$A$3:$B$15,2,FALSE)</f>
        <v>334293.21613059647</v>
      </c>
      <c r="O69" s="32">
        <f>$A69*VLOOKUP($B69&amp;$D69,$B$13:$X$24,O$30+1,FALSE)*VLOOKUP($C69,Overlap!$A$3:$B$15,2,FALSE)</f>
        <v>338168.4216467106</v>
      </c>
      <c r="P69" s="32">
        <f>$A69*VLOOKUP($B69&amp;$D69,$B$13:$X$24,P$30+1,FALSE)*VLOOKUP($C69,Overlap!$A$3:$B$15,2,FALSE)</f>
        <v>341938.27046497463</v>
      </c>
      <c r="Q69" s="32">
        <f>$A69*VLOOKUP($B69&amp;$D69,$B$13:$X$24,Q$30+1,FALSE)*VLOOKUP($C69,Overlap!$A$3:$B$15,2,FALSE)</f>
        <v>345845.25202030345</v>
      </c>
      <c r="R69" s="32">
        <f>$A69*VLOOKUP($B69&amp;$D69,$B$13:$X$24,R$30+1,FALSE)*VLOOKUP($C69,Overlap!$A$3:$B$15,2,FALSE)</f>
        <v>349644.642260739</v>
      </c>
      <c r="S69" s="32">
        <f>$A69*VLOOKUP($B69&amp;$D69,$B$13:$X$24,S$30+1,FALSE)*VLOOKUP($C69,Overlap!$A$3:$B$15,2,FALSE)</f>
        <v>355913.85055073799</v>
      </c>
      <c r="T69" s="32">
        <f>$A69*VLOOKUP($B69&amp;$D69,$B$13:$X$24,T$30+1,FALSE)*VLOOKUP($C69,Overlap!$A$3:$B$15,2,FALSE)</f>
        <v>360090.98200210923</v>
      </c>
      <c r="U69" s="32">
        <f>$A69*VLOOKUP($B69&amp;$D69,$B$13:$X$24,U$30+1,FALSE)*VLOOKUP($C69,Overlap!$A$3:$B$15,2,FALSE)</f>
        <v>364405.62656959658</v>
      </c>
      <c r="V69" s="32">
        <f>$A69*VLOOKUP($B69&amp;$D69,$B$13:$X$24,V$30+1,FALSE)*VLOOKUP($C69,Overlap!$A$3:$B$15,2,FALSE)</f>
        <v>368728.43355184287</v>
      </c>
      <c r="W69" s="32">
        <f>$A69*VLOOKUP($B69&amp;$D69,$B$13:$X$24,W$30+1,FALSE)*VLOOKUP($C69,Overlap!$A$3:$B$15,2,FALSE)</f>
        <v>372938.5870976164</v>
      </c>
      <c r="X69" s="32">
        <f>$A69*VLOOKUP($B69&amp;$D69,$B$13:$X$24,X$30+1,FALSE)*VLOOKUP($C69,Overlap!$A$3:$B$15,2,FALSE)</f>
        <v>379964.06300913455</v>
      </c>
      <c r="Y69" s="32"/>
      <c r="Z69" s="32" t="str">
        <f t="shared" si="3"/>
        <v>Center pivot/linear move systems: Replace leaking tower gasket with new tower gasket Washington</v>
      </c>
      <c r="AA69" s="41">
        <f>VLOOKUP(B69&amp;D69,$B$13:$X$24,$X$30+1,FALSE)*$AA$29*A69*VLOOKUP($C69,Overlap!$A$3:$B$15,2,FALSE)</f>
        <v>322969.45355776435</v>
      </c>
    </row>
    <row r="70" spans="1:27">
      <c r="A70" s="50">
        <f>INDEX([2]APPLIC!$B$8:$F$67,MATCH($C70,[2]APPLIC!$B$9:$B$67,0)+1,MATCH($D70,[2]APPLIC!$C$8:$F$8,0)+1)</f>
        <v>0.30000000000000004</v>
      </c>
      <c r="B70" s="77" t="s">
        <v>1271</v>
      </c>
      <c r="C70" s="7" t="s">
        <v>1290</v>
      </c>
      <c r="D70" s="7" t="str">
        <f>D21</f>
        <v>Oregon</v>
      </c>
      <c r="E70" s="32">
        <f>$A70*VLOOKUP($B70&amp;$D70,$B$13:$X$24,E$30+1,FALSE)*VLOOKUP($C70,Overlap!$A$3:$B$15,2,FALSE)</f>
        <v>56010.750000000007</v>
      </c>
      <c r="F70" s="32">
        <f>$A70*VLOOKUP($B70&amp;$D70,$B$13:$X$24,F$30+1,FALSE)*VLOOKUP($C70,Overlap!$A$3:$B$15,2,FALSE)</f>
        <v>56577.065881689894</v>
      </c>
      <c r="G70" s="32">
        <f>$A70*VLOOKUP($B70&amp;$D70,$B$13:$X$24,G$30+1,FALSE)*VLOOKUP($C70,Overlap!$A$3:$B$15,2,FALSE)</f>
        <v>57146.186893193575</v>
      </c>
      <c r="H70" s="32">
        <f>$A70*VLOOKUP($B70&amp;$D70,$B$13:$X$24,H$30+1,FALSE)*VLOOKUP($C70,Overlap!$A$3:$B$15,2,FALSE)</f>
        <v>57784.902169437009</v>
      </c>
      <c r="I70" s="32">
        <f>$A70*VLOOKUP($B70&amp;$D70,$B$13:$X$24,I$30+1,FALSE)*VLOOKUP($C70,Overlap!$A$3:$B$15,2,FALSE)</f>
        <v>58929.222516946924</v>
      </c>
      <c r="J70" s="32">
        <f>$A70*VLOOKUP($B70&amp;$D70,$B$13:$X$24,J$30+1,FALSE)*VLOOKUP($C70,Overlap!$A$3:$B$15,2,FALSE)</f>
        <v>59641.018469184201</v>
      </c>
      <c r="K70" s="32">
        <f>$A70*VLOOKUP($B70&amp;$D70,$B$13:$X$24,K$30+1,FALSE)*VLOOKUP($C70,Overlap!$A$3:$B$15,2,FALSE)</f>
        <v>60361.178842102963</v>
      </c>
      <c r="L70" s="32">
        <f>$A70*VLOOKUP($B70&amp;$D70,$B$13:$X$24,L$30+1,FALSE)*VLOOKUP($C70,Overlap!$A$3:$B$15,2,FALSE)</f>
        <v>61135.190785328639</v>
      </c>
      <c r="M70" s="32">
        <f>$A70*VLOOKUP($B70&amp;$D70,$B$13:$X$24,M$30+1,FALSE)*VLOOKUP($C70,Overlap!$A$3:$B$15,2,FALSE)</f>
        <v>61872.765228397715</v>
      </c>
      <c r="N70" s="32">
        <f>$A70*VLOOKUP($B70&amp;$D70,$B$13:$X$24,N$30+1,FALSE)*VLOOKUP($C70,Overlap!$A$3:$B$15,2,FALSE)</f>
        <v>63194.357000786142</v>
      </c>
      <c r="O70" s="32">
        <f>$A70*VLOOKUP($B70&amp;$D70,$B$13:$X$24,O$30+1,FALSE)*VLOOKUP($C70,Overlap!$A$3:$B$15,2,FALSE)</f>
        <v>63944.112526330653</v>
      </c>
      <c r="P70" s="32">
        <f>$A70*VLOOKUP($B70&amp;$D70,$B$13:$X$24,P$30+1,FALSE)*VLOOKUP($C70,Overlap!$A$3:$B$15,2,FALSE)</f>
        <v>64699.407986136823</v>
      </c>
      <c r="Q70" s="32">
        <f>$A70*VLOOKUP($B70&amp;$D70,$B$13:$X$24,Q$30+1,FALSE)*VLOOKUP($C70,Overlap!$A$3:$B$15,2,FALSE)</f>
        <v>65415.013410152053</v>
      </c>
      <c r="R70" s="32">
        <f>$A70*VLOOKUP($B70&amp;$D70,$B$13:$X$24,R$30+1,FALSE)*VLOOKUP($C70,Overlap!$A$3:$B$15,2,FALSE)</f>
        <v>66179.662664129079</v>
      </c>
      <c r="S70" s="32">
        <f>$A70*VLOOKUP($B70&amp;$D70,$B$13:$X$24,S$30+1,FALSE)*VLOOKUP($C70,Overlap!$A$3:$B$15,2,FALSE)</f>
        <v>67478.319725142093</v>
      </c>
      <c r="T70" s="32">
        <f>$A70*VLOOKUP($B70&amp;$D70,$B$13:$X$24,T$30+1,FALSE)*VLOOKUP($C70,Overlap!$A$3:$B$15,2,FALSE)</f>
        <v>68291.713865219048</v>
      </c>
      <c r="U70" s="32">
        <f>$A70*VLOOKUP($B70&amp;$D70,$B$13:$X$24,U$30+1,FALSE)*VLOOKUP($C70,Overlap!$A$3:$B$15,2,FALSE)</f>
        <v>69153.263608245223</v>
      </c>
      <c r="V70" s="32">
        <f>$A70*VLOOKUP($B70&amp;$D70,$B$13:$X$24,V$30+1,FALSE)*VLOOKUP($C70,Overlap!$A$3:$B$15,2,FALSE)</f>
        <v>70017.436065951479</v>
      </c>
      <c r="W70" s="32">
        <f>$A70*VLOOKUP($B70&amp;$D70,$B$13:$X$24,W$30+1,FALSE)*VLOOKUP($C70,Overlap!$A$3:$B$15,2,FALSE)</f>
        <v>70840.38011176404</v>
      </c>
      <c r="X70" s="32">
        <f>$A70*VLOOKUP($B70&amp;$D70,$B$13:$X$24,X$30+1,FALSE)*VLOOKUP($C70,Overlap!$A$3:$B$15,2,FALSE)</f>
        <v>72324.207310213489</v>
      </c>
      <c r="Y70" s="32"/>
      <c r="Z70" s="32" t="str">
        <f t="shared" si="3"/>
        <v>Wheel/hand line systems: Replace worn nozzle with new flow controlling type nozzle for impact sprinklers Oregon</v>
      </c>
      <c r="AA70" s="41">
        <f>VLOOKUP(B70&amp;D70,$B$13:$X$24,$X$30+1,FALSE)*$AA$29*A70*VLOOKUP($C70,Overlap!$A$3:$B$15,2,FALSE)</f>
        <v>61475.576213681466</v>
      </c>
    </row>
    <row r="71" spans="1:27">
      <c r="A71" s="50">
        <f>INDEX([2]APPLIC!$B$8:$F$67,MATCH($C71,[2]APPLIC!$B$9:$B$67,0)+1,MATCH($D71,[2]APPLIC!$C$8:$F$8,0)+1)</f>
        <v>0.30000000000000004</v>
      </c>
      <c r="B71" s="77" t="s">
        <v>1271</v>
      </c>
      <c r="C71" s="7" t="s">
        <v>1292</v>
      </c>
      <c r="D71" s="7" t="s">
        <v>432</v>
      </c>
      <c r="E71" s="32">
        <f>$A71*VLOOKUP($B71&amp;$D71,$B$13:$X$24,E$30+1,FALSE)*VLOOKUP($C71,Overlap!$A$3:$B$15,2,FALSE)</f>
        <v>56010.750000000007</v>
      </c>
      <c r="F71" s="32">
        <f>$A71*VLOOKUP($B71&amp;$D71,$B$13:$X$24,F$30+1,FALSE)*VLOOKUP($C71,Overlap!$A$3:$B$15,2,FALSE)</f>
        <v>56577.065881689894</v>
      </c>
      <c r="G71" s="32">
        <f>$A71*VLOOKUP($B71&amp;$D71,$B$13:$X$24,G$30+1,FALSE)*VLOOKUP($C71,Overlap!$A$3:$B$15,2,FALSE)</f>
        <v>57146.186893193575</v>
      </c>
      <c r="H71" s="32">
        <f>$A71*VLOOKUP($B71&amp;$D71,$B$13:$X$24,H$30+1,FALSE)*VLOOKUP($C71,Overlap!$A$3:$B$15,2,FALSE)</f>
        <v>57784.902169437009</v>
      </c>
      <c r="I71" s="32">
        <f>$A71*VLOOKUP($B71&amp;$D71,$B$13:$X$24,I$30+1,FALSE)*VLOOKUP($C71,Overlap!$A$3:$B$15,2,FALSE)</f>
        <v>58929.222516946924</v>
      </c>
      <c r="J71" s="32">
        <f>$A71*VLOOKUP($B71&amp;$D71,$B$13:$X$24,J$30+1,FALSE)*VLOOKUP($C71,Overlap!$A$3:$B$15,2,FALSE)</f>
        <v>59641.018469184201</v>
      </c>
      <c r="K71" s="32">
        <f>$A71*VLOOKUP($B71&amp;$D71,$B$13:$X$24,K$30+1,FALSE)*VLOOKUP($C71,Overlap!$A$3:$B$15,2,FALSE)</f>
        <v>60361.178842102963</v>
      </c>
      <c r="L71" s="32">
        <f>$A71*VLOOKUP($B71&amp;$D71,$B$13:$X$24,L$30+1,FALSE)*VLOOKUP($C71,Overlap!$A$3:$B$15,2,FALSE)</f>
        <v>61135.190785328639</v>
      </c>
      <c r="M71" s="32">
        <f>$A71*VLOOKUP($B71&amp;$D71,$B$13:$X$24,M$30+1,FALSE)*VLOOKUP($C71,Overlap!$A$3:$B$15,2,FALSE)</f>
        <v>61872.765228397715</v>
      </c>
      <c r="N71" s="32">
        <f>$A71*VLOOKUP($B71&amp;$D71,$B$13:$X$24,N$30+1,FALSE)*VLOOKUP($C71,Overlap!$A$3:$B$15,2,FALSE)</f>
        <v>63194.357000786142</v>
      </c>
      <c r="O71" s="32">
        <f>$A71*VLOOKUP($B71&amp;$D71,$B$13:$X$24,O$30+1,FALSE)*VLOOKUP($C71,Overlap!$A$3:$B$15,2,FALSE)</f>
        <v>63944.112526330653</v>
      </c>
      <c r="P71" s="32">
        <f>$A71*VLOOKUP($B71&amp;$D71,$B$13:$X$24,P$30+1,FALSE)*VLOOKUP($C71,Overlap!$A$3:$B$15,2,FALSE)</f>
        <v>64699.407986136823</v>
      </c>
      <c r="Q71" s="32">
        <f>$A71*VLOOKUP($B71&amp;$D71,$B$13:$X$24,Q$30+1,FALSE)*VLOOKUP($C71,Overlap!$A$3:$B$15,2,FALSE)</f>
        <v>65415.013410152053</v>
      </c>
      <c r="R71" s="32">
        <f>$A71*VLOOKUP($B71&amp;$D71,$B$13:$X$24,R$30+1,FALSE)*VLOOKUP($C71,Overlap!$A$3:$B$15,2,FALSE)</f>
        <v>66179.662664129079</v>
      </c>
      <c r="S71" s="32">
        <f>$A71*VLOOKUP($B71&amp;$D71,$B$13:$X$24,S$30+1,FALSE)*VLOOKUP($C71,Overlap!$A$3:$B$15,2,FALSE)</f>
        <v>67478.319725142093</v>
      </c>
      <c r="T71" s="32">
        <f>$A71*VLOOKUP($B71&amp;$D71,$B$13:$X$24,T$30+1,FALSE)*VLOOKUP($C71,Overlap!$A$3:$B$15,2,FALSE)</f>
        <v>68291.713865219048</v>
      </c>
      <c r="U71" s="32">
        <f>$A71*VLOOKUP($B71&amp;$D71,$B$13:$X$24,U$30+1,FALSE)*VLOOKUP($C71,Overlap!$A$3:$B$15,2,FALSE)</f>
        <v>69153.263608245223</v>
      </c>
      <c r="V71" s="32">
        <f>$A71*VLOOKUP($B71&amp;$D71,$B$13:$X$24,V$30+1,FALSE)*VLOOKUP($C71,Overlap!$A$3:$B$15,2,FALSE)</f>
        <v>70017.436065951479</v>
      </c>
      <c r="W71" s="32">
        <f>$A71*VLOOKUP($B71&amp;$D71,$B$13:$X$24,W$30+1,FALSE)*VLOOKUP($C71,Overlap!$A$3:$B$15,2,FALSE)</f>
        <v>70840.38011176404</v>
      </c>
      <c r="X71" s="32">
        <f>$A71*VLOOKUP($B71&amp;$D71,$B$13:$X$24,X$30+1,FALSE)*VLOOKUP($C71,Overlap!$A$3:$B$15,2,FALSE)</f>
        <v>72324.207310213489</v>
      </c>
      <c r="Y71" s="32"/>
      <c r="Z71" s="32" t="str">
        <f t="shared" si="3"/>
        <v>Wheel/hand line systems: Replace worn nozzle with new nozzle Oregon</v>
      </c>
      <c r="AA71" s="41">
        <f>VLOOKUP(B71&amp;D71,$B$13:$X$24,$X$30+1,FALSE)*$AA$29*A71*VLOOKUP($C71,Overlap!$A$3:$B$15,2,FALSE)</f>
        <v>61475.576213681466</v>
      </c>
    </row>
    <row r="72" spans="1:27">
      <c r="A72" s="50">
        <f>INDEX([2]APPLIC!$B$8:$F$67,MATCH($C72,[2]APPLIC!$B$9:$B$67,0)+1,MATCH($D72,[2]APPLIC!$C$8:$F$8,0)+1)</f>
        <v>0.30000000000000004</v>
      </c>
      <c r="B72" s="77" t="s">
        <v>1271</v>
      </c>
      <c r="C72" s="7" t="s">
        <v>1294</v>
      </c>
      <c r="D72" s="7" t="s">
        <v>432</v>
      </c>
      <c r="E72" s="32">
        <f>$A72*VLOOKUP($B72&amp;$D72,$B$13:$X$24,E$30+1,FALSE)*VLOOKUP($C72,Overlap!$A$3:$B$15,2,FALSE)</f>
        <v>112021.50000000001</v>
      </c>
      <c r="F72" s="32">
        <f>$A72*VLOOKUP($B72&amp;$D72,$B$13:$X$24,F$30+1,FALSE)*VLOOKUP($C72,Overlap!$A$3:$B$15,2,FALSE)</f>
        <v>113154.13176337979</v>
      </c>
      <c r="G72" s="32">
        <f>$A72*VLOOKUP($B72&amp;$D72,$B$13:$X$24,G$30+1,FALSE)*VLOOKUP($C72,Overlap!$A$3:$B$15,2,FALSE)</f>
        <v>114292.37378638715</v>
      </c>
      <c r="H72" s="32">
        <f>$A72*VLOOKUP($B72&amp;$D72,$B$13:$X$24,H$30+1,FALSE)*VLOOKUP($C72,Overlap!$A$3:$B$15,2,FALSE)</f>
        <v>115569.80433887402</v>
      </c>
      <c r="I72" s="32">
        <f>$A72*VLOOKUP($B72&amp;$D72,$B$13:$X$24,I$30+1,FALSE)*VLOOKUP($C72,Overlap!$A$3:$B$15,2,FALSE)</f>
        <v>117858.44503389385</v>
      </c>
      <c r="J72" s="32">
        <f>$A72*VLOOKUP($B72&amp;$D72,$B$13:$X$24,J$30+1,FALSE)*VLOOKUP($C72,Overlap!$A$3:$B$15,2,FALSE)</f>
        <v>119282.0369383684</v>
      </c>
      <c r="K72" s="32">
        <f>$A72*VLOOKUP($B72&amp;$D72,$B$13:$X$24,K$30+1,FALSE)*VLOOKUP($C72,Overlap!$A$3:$B$15,2,FALSE)</f>
        <v>120722.35768420593</v>
      </c>
      <c r="L72" s="32">
        <f>$A72*VLOOKUP($B72&amp;$D72,$B$13:$X$24,L$30+1,FALSE)*VLOOKUP($C72,Overlap!$A$3:$B$15,2,FALSE)</f>
        <v>122270.38157065728</v>
      </c>
      <c r="M72" s="32">
        <f>$A72*VLOOKUP($B72&amp;$D72,$B$13:$X$24,M$30+1,FALSE)*VLOOKUP($C72,Overlap!$A$3:$B$15,2,FALSE)</f>
        <v>123745.53045679543</v>
      </c>
      <c r="N72" s="32">
        <f>$A72*VLOOKUP($B72&amp;$D72,$B$13:$X$24,N$30+1,FALSE)*VLOOKUP($C72,Overlap!$A$3:$B$15,2,FALSE)</f>
        <v>126388.71400157228</v>
      </c>
      <c r="O72" s="32">
        <f>$A72*VLOOKUP($B72&amp;$D72,$B$13:$X$24,O$30+1,FALSE)*VLOOKUP($C72,Overlap!$A$3:$B$15,2,FALSE)</f>
        <v>127888.22505266131</v>
      </c>
      <c r="P72" s="32">
        <f>$A72*VLOOKUP($B72&amp;$D72,$B$13:$X$24,P$30+1,FALSE)*VLOOKUP($C72,Overlap!$A$3:$B$15,2,FALSE)</f>
        <v>129398.81597227365</v>
      </c>
      <c r="Q72" s="32">
        <f>$A72*VLOOKUP($B72&amp;$D72,$B$13:$X$24,Q$30+1,FALSE)*VLOOKUP($C72,Overlap!$A$3:$B$15,2,FALSE)</f>
        <v>130830.02682030411</v>
      </c>
      <c r="R72" s="32">
        <f>$A72*VLOOKUP($B72&amp;$D72,$B$13:$X$24,R$30+1,FALSE)*VLOOKUP($C72,Overlap!$A$3:$B$15,2,FALSE)</f>
        <v>132359.32532825816</v>
      </c>
      <c r="S72" s="32">
        <f>$A72*VLOOKUP($B72&amp;$D72,$B$13:$X$24,S$30+1,FALSE)*VLOOKUP($C72,Overlap!$A$3:$B$15,2,FALSE)</f>
        <v>134956.63945028419</v>
      </c>
      <c r="T72" s="32">
        <f>$A72*VLOOKUP($B72&amp;$D72,$B$13:$X$24,T$30+1,FALSE)*VLOOKUP($C72,Overlap!$A$3:$B$15,2,FALSE)</f>
        <v>136583.4277304381</v>
      </c>
      <c r="U72" s="32">
        <f>$A72*VLOOKUP($B72&amp;$D72,$B$13:$X$24,U$30+1,FALSE)*VLOOKUP($C72,Overlap!$A$3:$B$15,2,FALSE)</f>
        <v>138306.52721649045</v>
      </c>
      <c r="V72" s="32">
        <f>$A72*VLOOKUP($B72&amp;$D72,$B$13:$X$24,V$30+1,FALSE)*VLOOKUP($C72,Overlap!$A$3:$B$15,2,FALSE)</f>
        <v>140034.87213190296</v>
      </c>
      <c r="W72" s="32">
        <f>$A72*VLOOKUP($B72&amp;$D72,$B$13:$X$24,W$30+1,FALSE)*VLOOKUP($C72,Overlap!$A$3:$B$15,2,FALSE)</f>
        <v>141680.76022352808</v>
      </c>
      <c r="X72" s="32">
        <f>$A72*VLOOKUP($B72&amp;$D72,$B$13:$X$24,X$30+1,FALSE)*VLOOKUP($C72,Overlap!$A$3:$B$15,2,FALSE)</f>
        <v>144648.41462042698</v>
      </c>
      <c r="Y72" s="32"/>
      <c r="Z72" s="32" t="str">
        <f t="shared" si="3"/>
        <v>Wheel/hand line systems: Rebuild or replace leaking impact sprinkler with new or rebuilt impact sprinkler Oregon</v>
      </c>
      <c r="AA72" s="41">
        <f>VLOOKUP(B72&amp;D72,$B$13:$X$24,$X$30+1,FALSE)*$AA$29*A72*VLOOKUP($C72,Overlap!$A$3:$B$15,2,FALSE)</f>
        <v>122951.15242736293</v>
      </c>
    </row>
    <row r="73" spans="1:27">
      <c r="A73" s="50">
        <f>INDEX([2]APPLIC!$B$8:$F$67,MATCH($C73,[2]APPLIC!$B$9:$B$67,0)+1,MATCH($D73,[2]APPLIC!$C$8:$F$8,0)+1)</f>
        <v>0.30000000000000004</v>
      </c>
      <c r="B73" s="77" t="s">
        <v>1271</v>
      </c>
      <c r="C73" s="7" t="s">
        <v>1296</v>
      </c>
      <c r="D73" s="7" t="s">
        <v>432</v>
      </c>
      <c r="E73" s="32">
        <f>$A73*VLOOKUP($B73&amp;$D73,$B$13:$X$24,E$30+1,FALSE)*VLOOKUP($C73,Overlap!$A$3:$B$15,2,FALSE)</f>
        <v>112021.50000000001</v>
      </c>
      <c r="F73" s="32">
        <f>$A73*VLOOKUP($B73&amp;$D73,$B$13:$X$24,F$30+1,FALSE)*VLOOKUP($C73,Overlap!$A$3:$B$15,2,FALSE)</f>
        <v>113154.13176337979</v>
      </c>
      <c r="G73" s="32">
        <f>$A73*VLOOKUP($B73&amp;$D73,$B$13:$X$24,G$30+1,FALSE)*VLOOKUP($C73,Overlap!$A$3:$B$15,2,FALSE)</f>
        <v>114292.37378638715</v>
      </c>
      <c r="H73" s="32">
        <f>$A73*VLOOKUP($B73&amp;$D73,$B$13:$X$24,H$30+1,FALSE)*VLOOKUP($C73,Overlap!$A$3:$B$15,2,FALSE)</f>
        <v>115569.80433887402</v>
      </c>
      <c r="I73" s="32">
        <f>$A73*VLOOKUP($B73&amp;$D73,$B$13:$X$24,I$30+1,FALSE)*VLOOKUP($C73,Overlap!$A$3:$B$15,2,FALSE)</f>
        <v>117858.44503389385</v>
      </c>
      <c r="J73" s="32">
        <f>$A73*VLOOKUP($B73&amp;$D73,$B$13:$X$24,J$30+1,FALSE)*VLOOKUP($C73,Overlap!$A$3:$B$15,2,FALSE)</f>
        <v>119282.0369383684</v>
      </c>
      <c r="K73" s="32">
        <f>$A73*VLOOKUP($B73&amp;$D73,$B$13:$X$24,K$30+1,FALSE)*VLOOKUP($C73,Overlap!$A$3:$B$15,2,FALSE)</f>
        <v>120722.35768420593</v>
      </c>
      <c r="L73" s="32">
        <f>$A73*VLOOKUP($B73&amp;$D73,$B$13:$X$24,L$30+1,FALSE)*VLOOKUP($C73,Overlap!$A$3:$B$15,2,FALSE)</f>
        <v>122270.38157065728</v>
      </c>
      <c r="M73" s="32">
        <f>$A73*VLOOKUP($B73&amp;$D73,$B$13:$X$24,M$30+1,FALSE)*VLOOKUP($C73,Overlap!$A$3:$B$15,2,FALSE)</f>
        <v>123745.53045679543</v>
      </c>
      <c r="N73" s="32">
        <f>$A73*VLOOKUP($B73&amp;$D73,$B$13:$X$24,N$30+1,FALSE)*VLOOKUP($C73,Overlap!$A$3:$B$15,2,FALSE)</f>
        <v>126388.71400157228</v>
      </c>
      <c r="O73" s="32">
        <f>$A73*VLOOKUP($B73&amp;$D73,$B$13:$X$24,O$30+1,FALSE)*VLOOKUP($C73,Overlap!$A$3:$B$15,2,FALSE)</f>
        <v>127888.22505266131</v>
      </c>
      <c r="P73" s="32">
        <f>$A73*VLOOKUP($B73&amp;$D73,$B$13:$X$24,P$30+1,FALSE)*VLOOKUP($C73,Overlap!$A$3:$B$15,2,FALSE)</f>
        <v>129398.81597227365</v>
      </c>
      <c r="Q73" s="32">
        <f>$A73*VLOOKUP($B73&amp;$D73,$B$13:$X$24,Q$30+1,FALSE)*VLOOKUP($C73,Overlap!$A$3:$B$15,2,FALSE)</f>
        <v>130830.02682030411</v>
      </c>
      <c r="R73" s="32">
        <f>$A73*VLOOKUP($B73&amp;$D73,$B$13:$X$24,R$30+1,FALSE)*VLOOKUP($C73,Overlap!$A$3:$B$15,2,FALSE)</f>
        <v>132359.32532825816</v>
      </c>
      <c r="S73" s="32">
        <f>$A73*VLOOKUP($B73&amp;$D73,$B$13:$X$24,S$30+1,FALSE)*VLOOKUP($C73,Overlap!$A$3:$B$15,2,FALSE)</f>
        <v>134956.63945028419</v>
      </c>
      <c r="T73" s="32">
        <f>$A73*VLOOKUP($B73&amp;$D73,$B$13:$X$24,T$30+1,FALSE)*VLOOKUP($C73,Overlap!$A$3:$B$15,2,FALSE)</f>
        <v>136583.4277304381</v>
      </c>
      <c r="U73" s="32">
        <f>$A73*VLOOKUP($B73&amp;$D73,$B$13:$X$24,U$30+1,FALSE)*VLOOKUP($C73,Overlap!$A$3:$B$15,2,FALSE)</f>
        <v>138306.52721649045</v>
      </c>
      <c r="V73" s="32">
        <f>$A73*VLOOKUP($B73&amp;$D73,$B$13:$X$24,V$30+1,FALSE)*VLOOKUP($C73,Overlap!$A$3:$B$15,2,FALSE)</f>
        <v>140034.87213190296</v>
      </c>
      <c r="W73" s="32">
        <f>$A73*VLOOKUP($B73&amp;$D73,$B$13:$X$24,W$30+1,FALSE)*VLOOKUP($C73,Overlap!$A$3:$B$15,2,FALSE)</f>
        <v>141680.76022352808</v>
      </c>
      <c r="X73" s="32">
        <f>$A73*VLOOKUP($B73&amp;$D73,$B$13:$X$24,X$30+1,FALSE)*VLOOKUP($C73,Overlap!$A$3:$B$15,2,FALSE)</f>
        <v>144648.41462042698</v>
      </c>
      <c r="Y73" s="32"/>
      <c r="Z73" s="32" t="str">
        <f t="shared" si="3"/>
        <v>Wheel/hand line systems: Replace leaking gasket with new gasket Oregon</v>
      </c>
      <c r="AA73" s="41">
        <f>VLOOKUP(B73&amp;D73,$B$13:$X$24,$X$30+1,FALSE)*$AA$29*A73*VLOOKUP($C73,Overlap!$A$3:$B$15,2,FALSE)</f>
        <v>122951.15242736293</v>
      </c>
    </row>
    <row r="74" spans="1:27">
      <c r="A74" s="50">
        <f>INDEX([2]APPLIC!$B$8:$F$67,MATCH($C74,[2]APPLIC!$B$9:$B$67,0)+1,MATCH($D74,[2]APPLIC!$C$8:$F$8,0)+1)</f>
        <v>0.30000000000000004</v>
      </c>
      <c r="B74" s="77" t="s">
        <v>1271</v>
      </c>
      <c r="C74" s="7" t="s">
        <v>1298</v>
      </c>
      <c r="D74" s="7" t="s">
        <v>432</v>
      </c>
      <c r="E74" s="32">
        <f>$A74*VLOOKUP($B74&amp;$D74,$B$13:$X$24,E$30+1,FALSE)*VLOOKUP($C74,Overlap!$A$3:$B$15,2,FALSE)</f>
        <v>112021.50000000001</v>
      </c>
      <c r="F74" s="32">
        <f>$A74*VLOOKUP($B74&amp;$D74,$B$13:$X$24,F$30+1,FALSE)*VLOOKUP($C74,Overlap!$A$3:$B$15,2,FALSE)</f>
        <v>113154.13176337979</v>
      </c>
      <c r="G74" s="32">
        <f>$A74*VLOOKUP($B74&amp;$D74,$B$13:$X$24,G$30+1,FALSE)*VLOOKUP($C74,Overlap!$A$3:$B$15,2,FALSE)</f>
        <v>114292.37378638715</v>
      </c>
      <c r="H74" s="32">
        <f>$A74*VLOOKUP($B74&amp;$D74,$B$13:$X$24,H$30+1,FALSE)*VLOOKUP($C74,Overlap!$A$3:$B$15,2,FALSE)</f>
        <v>115569.80433887402</v>
      </c>
      <c r="I74" s="32">
        <f>$A74*VLOOKUP($B74&amp;$D74,$B$13:$X$24,I$30+1,FALSE)*VLOOKUP($C74,Overlap!$A$3:$B$15,2,FALSE)</f>
        <v>117858.44503389385</v>
      </c>
      <c r="J74" s="32">
        <f>$A74*VLOOKUP($B74&amp;$D74,$B$13:$X$24,J$30+1,FALSE)*VLOOKUP($C74,Overlap!$A$3:$B$15,2,FALSE)</f>
        <v>119282.0369383684</v>
      </c>
      <c r="K74" s="32">
        <f>$A74*VLOOKUP($B74&amp;$D74,$B$13:$X$24,K$30+1,FALSE)*VLOOKUP($C74,Overlap!$A$3:$B$15,2,FALSE)</f>
        <v>120722.35768420593</v>
      </c>
      <c r="L74" s="32">
        <f>$A74*VLOOKUP($B74&amp;$D74,$B$13:$X$24,L$30+1,FALSE)*VLOOKUP($C74,Overlap!$A$3:$B$15,2,FALSE)</f>
        <v>122270.38157065728</v>
      </c>
      <c r="M74" s="32">
        <f>$A74*VLOOKUP($B74&amp;$D74,$B$13:$X$24,M$30+1,FALSE)*VLOOKUP($C74,Overlap!$A$3:$B$15,2,FALSE)</f>
        <v>123745.53045679543</v>
      </c>
      <c r="N74" s="32">
        <f>$A74*VLOOKUP($B74&amp;$D74,$B$13:$X$24,N$30+1,FALSE)*VLOOKUP($C74,Overlap!$A$3:$B$15,2,FALSE)</f>
        <v>126388.71400157228</v>
      </c>
      <c r="O74" s="32">
        <f>$A74*VLOOKUP($B74&amp;$D74,$B$13:$X$24,O$30+1,FALSE)*VLOOKUP($C74,Overlap!$A$3:$B$15,2,FALSE)</f>
        <v>127888.22505266131</v>
      </c>
      <c r="P74" s="32">
        <f>$A74*VLOOKUP($B74&amp;$D74,$B$13:$X$24,P$30+1,FALSE)*VLOOKUP($C74,Overlap!$A$3:$B$15,2,FALSE)</f>
        <v>129398.81597227365</v>
      </c>
      <c r="Q74" s="32">
        <f>$A74*VLOOKUP($B74&amp;$D74,$B$13:$X$24,Q$30+1,FALSE)*VLOOKUP($C74,Overlap!$A$3:$B$15,2,FALSE)</f>
        <v>130830.02682030411</v>
      </c>
      <c r="R74" s="32">
        <f>$A74*VLOOKUP($B74&amp;$D74,$B$13:$X$24,R$30+1,FALSE)*VLOOKUP($C74,Overlap!$A$3:$B$15,2,FALSE)</f>
        <v>132359.32532825816</v>
      </c>
      <c r="S74" s="32">
        <f>$A74*VLOOKUP($B74&amp;$D74,$B$13:$X$24,S$30+1,FALSE)*VLOOKUP($C74,Overlap!$A$3:$B$15,2,FALSE)</f>
        <v>134956.63945028419</v>
      </c>
      <c r="T74" s="32">
        <f>$A74*VLOOKUP($B74&amp;$D74,$B$13:$X$24,T$30+1,FALSE)*VLOOKUP($C74,Overlap!$A$3:$B$15,2,FALSE)</f>
        <v>136583.4277304381</v>
      </c>
      <c r="U74" s="32">
        <f>$A74*VLOOKUP($B74&amp;$D74,$B$13:$X$24,U$30+1,FALSE)*VLOOKUP($C74,Overlap!$A$3:$B$15,2,FALSE)</f>
        <v>138306.52721649045</v>
      </c>
      <c r="V74" s="32">
        <f>$A74*VLOOKUP($B74&amp;$D74,$B$13:$X$24,V$30+1,FALSE)*VLOOKUP($C74,Overlap!$A$3:$B$15,2,FALSE)</f>
        <v>140034.87213190296</v>
      </c>
      <c r="W74" s="32">
        <f>$A74*VLOOKUP($B74&amp;$D74,$B$13:$X$24,W$30+1,FALSE)*VLOOKUP($C74,Overlap!$A$3:$B$15,2,FALSE)</f>
        <v>141680.76022352808</v>
      </c>
      <c r="X74" s="32">
        <f>$A74*VLOOKUP($B74&amp;$D74,$B$13:$X$24,X$30+1,FALSE)*VLOOKUP($C74,Overlap!$A$3:$B$15,2,FALSE)</f>
        <v>144648.41462042698</v>
      </c>
      <c r="Y74" s="32"/>
      <c r="Z74" s="32" t="str">
        <f t="shared" si="3"/>
        <v>Wheel/hand line systems: Replace leaking drain with new drain Oregon</v>
      </c>
      <c r="AA74" s="41">
        <f>VLOOKUP(B74&amp;D74,$B$13:$X$24,$X$30+1,FALSE)*$AA$29*A74*VLOOKUP($C74,Overlap!$A$3:$B$15,2,FALSE)</f>
        <v>122951.15242736293</v>
      </c>
    </row>
    <row r="75" spans="1:27">
      <c r="A75" s="50">
        <f>INDEX([2]APPLIC!$B$8:$F$67,MATCH($C75,[2]APPLIC!$B$9:$B$67,0)+1,MATCH($D75,[2]APPLIC!$C$8:$F$8,0)+1)</f>
        <v>0.30000000000000004</v>
      </c>
      <c r="B75" s="77" t="s">
        <v>1271</v>
      </c>
      <c r="C75" s="7" t="s">
        <v>1300</v>
      </c>
      <c r="D75" s="7" t="s">
        <v>432</v>
      </c>
      <c r="E75" s="32">
        <f>$A75*VLOOKUP($B75&amp;$D75,$B$13:$X$24,E$30+1,FALSE)*VLOOKUP($C75,Overlap!$A$3:$B$15,2,FALSE)</f>
        <v>112021.50000000001</v>
      </c>
      <c r="F75" s="32">
        <f>$A75*VLOOKUP($B75&amp;$D75,$B$13:$X$24,F$30+1,FALSE)*VLOOKUP($C75,Overlap!$A$3:$B$15,2,FALSE)</f>
        <v>113154.13176337979</v>
      </c>
      <c r="G75" s="32">
        <f>$A75*VLOOKUP($B75&amp;$D75,$B$13:$X$24,G$30+1,FALSE)*VLOOKUP($C75,Overlap!$A$3:$B$15,2,FALSE)</f>
        <v>114292.37378638715</v>
      </c>
      <c r="H75" s="32">
        <f>$A75*VLOOKUP($B75&amp;$D75,$B$13:$X$24,H$30+1,FALSE)*VLOOKUP($C75,Overlap!$A$3:$B$15,2,FALSE)</f>
        <v>115569.80433887402</v>
      </c>
      <c r="I75" s="32">
        <f>$A75*VLOOKUP($B75&amp;$D75,$B$13:$X$24,I$30+1,FALSE)*VLOOKUP($C75,Overlap!$A$3:$B$15,2,FALSE)</f>
        <v>117858.44503389385</v>
      </c>
      <c r="J75" s="32">
        <f>$A75*VLOOKUP($B75&amp;$D75,$B$13:$X$24,J$30+1,FALSE)*VLOOKUP($C75,Overlap!$A$3:$B$15,2,FALSE)</f>
        <v>119282.0369383684</v>
      </c>
      <c r="K75" s="32">
        <f>$A75*VLOOKUP($B75&amp;$D75,$B$13:$X$24,K$30+1,FALSE)*VLOOKUP($C75,Overlap!$A$3:$B$15,2,FALSE)</f>
        <v>120722.35768420593</v>
      </c>
      <c r="L75" s="32">
        <f>$A75*VLOOKUP($B75&amp;$D75,$B$13:$X$24,L$30+1,FALSE)*VLOOKUP($C75,Overlap!$A$3:$B$15,2,FALSE)</f>
        <v>122270.38157065728</v>
      </c>
      <c r="M75" s="32">
        <f>$A75*VLOOKUP($B75&amp;$D75,$B$13:$X$24,M$30+1,FALSE)*VLOOKUP($C75,Overlap!$A$3:$B$15,2,FALSE)</f>
        <v>123745.53045679543</v>
      </c>
      <c r="N75" s="32">
        <f>$A75*VLOOKUP($B75&amp;$D75,$B$13:$X$24,N$30+1,FALSE)*VLOOKUP($C75,Overlap!$A$3:$B$15,2,FALSE)</f>
        <v>126388.71400157228</v>
      </c>
      <c r="O75" s="32">
        <f>$A75*VLOOKUP($B75&amp;$D75,$B$13:$X$24,O$30+1,FALSE)*VLOOKUP($C75,Overlap!$A$3:$B$15,2,FALSE)</f>
        <v>127888.22505266131</v>
      </c>
      <c r="P75" s="32">
        <f>$A75*VLOOKUP($B75&amp;$D75,$B$13:$X$24,P$30+1,FALSE)*VLOOKUP($C75,Overlap!$A$3:$B$15,2,FALSE)</f>
        <v>129398.81597227365</v>
      </c>
      <c r="Q75" s="32">
        <f>$A75*VLOOKUP($B75&amp;$D75,$B$13:$X$24,Q$30+1,FALSE)*VLOOKUP($C75,Overlap!$A$3:$B$15,2,FALSE)</f>
        <v>130830.02682030411</v>
      </c>
      <c r="R75" s="32">
        <f>$A75*VLOOKUP($B75&amp;$D75,$B$13:$X$24,R$30+1,FALSE)*VLOOKUP($C75,Overlap!$A$3:$B$15,2,FALSE)</f>
        <v>132359.32532825816</v>
      </c>
      <c r="S75" s="32">
        <f>$A75*VLOOKUP($B75&amp;$D75,$B$13:$X$24,S$30+1,FALSE)*VLOOKUP($C75,Overlap!$A$3:$B$15,2,FALSE)</f>
        <v>134956.63945028419</v>
      </c>
      <c r="T75" s="32">
        <f>$A75*VLOOKUP($B75&amp;$D75,$B$13:$X$24,T$30+1,FALSE)*VLOOKUP($C75,Overlap!$A$3:$B$15,2,FALSE)</f>
        <v>136583.4277304381</v>
      </c>
      <c r="U75" s="32">
        <f>$A75*VLOOKUP($B75&amp;$D75,$B$13:$X$24,U$30+1,FALSE)*VLOOKUP($C75,Overlap!$A$3:$B$15,2,FALSE)</f>
        <v>138306.52721649045</v>
      </c>
      <c r="V75" s="32">
        <f>$A75*VLOOKUP($B75&amp;$D75,$B$13:$X$24,V$30+1,FALSE)*VLOOKUP($C75,Overlap!$A$3:$B$15,2,FALSE)</f>
        <v>140034.87213190296</v>
      </c>
      <c r="W75" s="32">
        <f>$A75*VLOOKUP($B75&amp;$D75,$B$13:$X$24,W$30+1,FALSE)*VLOOKUP($C75,Overlap!$A$3:$B$15,2,FALSE)</f>
        <v>141680.76022352808</v>
      </c>
      <c r="X75" s="32">
        <f>$A75*VLOOKUP($B75&amp;$D75,$B$13:$X$24,X$30+1,FALSE)*VLOOKUP($C75,Overlap!$A$3:$B$15,2,FALSE)</f>
        <v>144648.41462042698</v>
      </c>
      <c r="Y75" s="32"/>
      <c r="Z75" s="32" t="str">
        <f t="shared" si="3"/>
        <v>Wheel/hand line systems: Cut and pipe press repair of leaking hand-lines, wheel-lines, and portable main-lines Oregon</v>
      </c>
      <c r="AA75" s="41">
        <f>VLOOKUP(B75&amp;D75,$B$13:$X$24,$X$30+1,FALSE)*$AA$29*A75*VLOOKUP($C75,Overlap!$A$3:$B$15,2,FALSE)</f>
        <v>122951.15242736293</v>
      </c>
    </row>
    <row r="76" spans="1:27">
      <c r="A76" s="50">
        <f>INDEX([2]APPLIC!$B$8:$F$67,MATCH($C76,[2]APPLIC!$B$9:$B$67,0)+1,MATCH($D76,[2]APPLIC!$C$8:$F$8,0)+1)</f>
        <v>0.30000000000000004</v>
      </c>
      <c r="B76" s="77" t="s">
        <v>1273</v>
      </c>
      <c r="C76" s="7" t="s">
        <v>1302</v>
      </c>
      <c r="D76" s="7" t="s">
        <v>432</v>
      </c>
      <c r="E76" s="32">
        <f>$A76*VLOOKUP($B76&amp;$D76,$B$13:$X$24,E$30+1,FALSE)*VLOOKUP($C76,Overlap!$A$3:$B$15,2,FALSE)</f>
        <v>18061.200000000004</v>
      </c>
      <c r="F76" s="32">
        <f>$A76*VLOOKUP($B76&amp;$D76,$B$13:$X$24,F$30+1,FALSE)*VLOOKUP($C76,Overlap!$A$3:$B$15,2,FALSE)</f>
        <v>18243.813951828488</v>
      </c>
      <c r="G76" s="32">
        <f>$A76*VLOOKUP($B76&amp;$D76,$B$13:$X$24,G$30+1,FALSE)*VLOOKUP($C76,Overlap!$A$3:$B$15,2,FALSE)</f>
        <v>18427.332444492313</v>
      </c>
      <c r="H76" s="32">
        <f>$A76*VLOOKUP($B76&amp;$D76,$B$13:$X$24,H$30+1,FALSE)*VLOOKUP($C76,Overlap!$A$3:$B$15,2,FALSE)</f>
        <v>18633.292270905778</v>
      </c>
      <c r="I76" s="32">
        <f>$A76*VLOOKUP($B76&amp;$D76,$B$13:$X$24,I$30+1,FALSE)*VLOOKUP($C76,Overlap!$A$3:$B$15,2,FALSE)</f>
        <v>19002.289269882691</v>
      </c>
      <c r="J76" s="32">
        <f>$A76*VLOOKUP($B76&amp;$D76,$B$13:$X$24,J$30+1,FALSE)*VLOOKUP($C76,Overlap!$A$3:$B$15,2,FALSE)</f>
        <v>19231.814656572711</v>
      </c>
      <c r="K76" s="32">
        <f>$A76*VLOOKUP($B76&amp;$D76,$B$13:$X$24,K$30+1,FALSE)*VLOOKUP($C76,Overlap!$A$3:$B$15,2,FALSE)</f>
        <v>19464.037230406491</v>
      </c>
      <c r="L76" s="32">
        <f>$A76*VLOOKUP($B76&amp;$D76,$B$13:$X$24,L$30+1,FALSE)*VLOOKUP($C76,Overlap!$A$3:$B$15,2,FALSE)</f>
        <v>19713.624756175879</v>
      </c>
      <c r="M76" s="32">
        <f>$A76*VLOOKUP($B76&amp;$D76,$B$13:$X$24,M$30+1,FALSE)*VLOOKUP($C76,Overlap!$A$3:$B$15,2,FALSE)</f>
        <v>19951.462662848418</v>
      </c>
      <c r="N76" s="32">
        <f>$A76*VLOOKUP($B76&amp;$D76,$B$13:$X$24,N$30+1,FALSE)*VLOOKUP($C76,Overlap!$A$3:$B$15,2,FALSE)</f>
        <v>20377.622521794459</v>
      </c>
      <c r="O76" s="32">
        <f>$A76*VLOOKUP($B76&amp;$D76,$B$13:$X$24,O$30+1,FALSE)*VLOOKUP($C76,Overlap!$A$3:$B$15,2,FALSE)</f>
        <v>20619.388334570842</v>
      </c>
      <c r="P76" s="32">
        <f>$A76*VLOOKUP($B76&amp;$D76,$B$13:$X$24,P$30+1,FALSE)*VLOOKUP($C76,Overlap!$A$3:$B$15,2,FALSE)</f>
        <v>20862.940551933596</v>
      </c>
      <c r="Q76" s="32">
        <f>$A76*VLOOKUP($B76&amp;$D76,$B$13:$X$24,Q$30+1,FALSE)*VLOOKUP($C76,Overlap!$A$3:$B$15,2,FALSE)</f>
        <v>21093.694339094523</v>
      </c>
      <c r="R76" s="32">
        <f>$A76*VLOOKUP($B76&amp;$D76,$B$13:$X$24,R$30+1,FALSE)*VLOOKUP($C76,Overlap!$A$3:$B$15,2,FALSE)</f>
        <v>21340.262776509306</v>
      </c>
      <c r="S76" s="32">
        <f>$A76*VLOOKUP($B76&amp;$D76,$B$13:$X$24,S$30+1,FALSE)*VLOOKUP($C76,Overlap!$A$3:$B$15,2,FALSE)</f>
        <v>21759.027119253657</v>
      </c>
      <c r="T76" s="32">
        <f>$A76*VLOOKUP($B76&amp;$D76,$B$13:$X$24,T$30+1,FALSE)*VLOOKUP($C76,Overlap!$A$3:$B$15,2,FALSE)</f>
        <v>22021.313809625735</v>
      </c>
      <c r="U76" s="32">
        <f>$A76*VLOOKUP($B76&amp;$D76,$B$13:$X$24,U$30+1,FALSE)*VLOOKUP($C76,Overlap!$A$3:$B$15,2,FALSE)</f>
        <v>22299.12873298856</v>
      </c>
      <c r="V76" s="32">
        <f>$A76*VLOOKUP($B76&amp;$D76,$B$13:$X$24,V$30+1,FALSE)*VLOOKUP($C76,Overlap!$A$3:$B$15,2,FALSE)</f>
        <v>22577.789375688837</v>
      </c>
      <c r="W76" s="32">
        <f>$A76*VLOOKUP($B76&amp;$D76,$B$13:$X$24,W$30+1,FALSE)*VLOOKUP($C76,Overlap!$A$3:$B$15,2,FALSE)</f>
        <v>22843.155524155511</v>
      </c>
      <c r="X76" s="32">
        <f>$A76*VLOOKUP($B76&amp;$D76,$B$13:$X$24,X$30+1,FALSE)*VLOOKUP($C76,Overlap!$A$3:$B$15,2,FALSE)</f>
        <v>23321.629741991106</v>
      </c>
      <c r="Y76" s="32"/>
      <c r="Z76" s="32" t="str">
        <f t="shared" si="3"/>
        <v>Thunderbird wheel line systems: Replace leaking hub with new hub Oregon</v>
      </c>
      <c r="AA76" s="41">
        <f>VLOOKUP(B76&amp;D76,$B$13:$X$24,$X$30+1,FALSE)*$AA$29*A76*VLOOKUP($C76,Overlap!$A$3:$B$15,2,FALSE)</f>
        <v>19823.385280692437</v>
      </c>
    </row>
    <row r="77" spans="1:27">
      <c r="A77" s="50">
        <f>INDEX([2]APPLIC!$B$8:$F$67,MATCH($C77,[2]APPLIC!$B$9:$B$67,0)+1,MATCH($D77,[2]APPLIC!$C$8:$F$8,0)+1)</f>
        <v>0.30000000000000004</v>
      </c>
      <c r="B77" s="77" t="s">
        <v>1273</v>
      </c>
      <c r="C77" s="7" t="s">
        <v>1304</v>
      </c>
      <c r="D77" s="7" t="s">
        <v>432</v>
      </c>
      <c r="E77" s="32">
        <f>$A77*VLOOKUP($B77&amp;$D77,$B$13:$X$24,E$30+1,FALSE)*VLOOKUP($C77,Overlap!$A$3:$B$15,2,FALSE)</f>
        <v>18061.200000000004</v>
      </c>
      <c r="F77" s="32">
        <f>$A77*VLOOKUP($B77&amp;$D77,$B$13:$X$24,F$30+1,FALSE)*VLOOKUP($C77,Overlap!$A$3:$B$15,2,FALSE)</f>
        <v>18243.813951828488</v>
      </c>
      <c r="G77" s="32">
        <f>$A77*VLOOKUP($B77&amp;$D77,$B$13:$X$24,G$30+1,FALSE)*VLOOKUP($C77,Overlap!$A$3:$B$15,2,FALSE)</f>
        <v>18427.332444492313</v>
      </c>
      <c r="H77" s="32">
        <f>$A77*VLOOKUP($B77&amp;$D77,$B$13:$X$24,H$30+1,FALSE)*VLOOKUP($C77,Overlap!$A$3:$B$15,2,FALSE)</f>
        <v>18633.292270905778</v>
      </c>
      <c r="I77" s="32">
        <f>$A77*VLOOKUP($B77&amp;$D77,$B$13:$X$24,I$30+1,FALSE)*VLOOKUP($C77,Overlap!$A$3:$B$15,2,FALSE)</f>
        <v>19002.289269882691</v>
      </c>
      <c r="J77" s="32">
        <f>$A77*VLOOKUP($B77&amp;$D77,$B$13:$X$24,J$30+1,FALSE)*VLOOKUP($C77,Overlap!$A$3:$B$15,2,FALSE)</f>
        <v>19231.814656572711</v>
      </c>
      <c r="K77" s="32">
        <f>$A77*VLOOKUP($B77&amp;$D77,$B$13:$X$24,K$30+1,FALSE)*VLOOKUP($C77,Overlap!$A$3:$B$15,2,FALSE)</f>
        <v>19464.037230406491</v>
      </c>
      <c r="L77" s="32">
        <f>$A77*VLOOKUP($B77&amp;$D77,$B$13:$X$24,L$30+1,FALSE)*VLOOKUP($C77,Overlap!$A$3:$B$15,2,FALSE)</f>
        <v>19713.624756175879</v>
      </c>
      <c r="M77" s="32">
        <f>$A77*VLOOKUP($B77&amp;$D77,$B$13:$X$24,M$30+1,FALSE)*VLOOKUP($C77,Overlap!$A$3:$B$15,2,FALSE)</f>
        <v>19951.462662848418</v>
      </c>
      <c r="N77" s="32">
        <f>$A77*VLOOKUP($B77&amp;$D77,$B$13:$X$24,N$30+1,FALSE)*VLOOKUP($C77,Overlap!$A$3:$B$15,2,FALSE)</f>
        <v>20377.622521794459</v>
      </c>
      <c r="O77" s="32">
        <f>$A77*VLOOKUP($B77&amp;$D77,$B$13:$X$24,O$30+1,FALSE)*VLOOKUP($C77,Overlap!$A$3:$B$15,2,FALSE)</f>
        <v>20619.388334570842</v>
      </c>
      <c r="P77" s="32">
        <f>$A77*VLOOKUP($B77&amp;$D77,$B$13:$X$24,P$30+1,FALSE)*VLOOKUP($C77,Overlap!$A$3:$B$15,2,FALSE)</f>
        <v>20862.940551933596</v>
      </c>
      <c r="Q77" s="32">
        <f>$A77*VLOOKUP($B77&amp;$D77,$B$13:$X$24,Q$30+1,FALSE)*VLOOKUP($C77,Overlap!$A$3:$B$15,2,FALSE)</f>
        <v>21093.694339094523</v>
      </c>
      <c r="R77" s="32">
        <f>$A77*VLOOKUP($B77&amp;$D77,$B$13:$X$24,R$30+1,FALSE)*VLOOKUP($C77,Overlap!$A$3:$B$15,2,FALSE)</f>
        <v>21340.262776509306</v>
      </c>
      <c r="S77" s="32">
        <f>$A77*VLOOKUP($B77&amp;$D77,$B$13:$X$24,S$30+1,FALSE)*VLOOKUP($C77,Overlap!$A$3:$B$15,2,FALSE)</f>
        <v>21759.027119253657</v>
      </c>
      <c r="T77" s="32">
        <f>$A77*VLOOKUP($B77&amp;$D77,$B$13:$X$24,T$30+1,FALSE)*VLOOKUP($C77,Overlap!$A$3:$B$15,2,FALSE)</f>
        <v>22021.313809625735</v>
      </c>
      <c r="U77" s="32">
        <f>$A77*VLOOKUP($B77&amp;$D77,$B$13:$X$24,U$30+1,FALSE)*VLOOKUP($C77,Overlap!$A$3:$B$15,2,FALSE)</f>
        <v>22299.12873298856</v>
      </c>
      <c r="V77" s="32">
        <f>$A77*VLOOKUP($B77&amp;$D77,$B$13:$X$24,V$30+1,FALSE)*VLOOKUP($C77,Overlap!$A$3:$B$15,2,FALSE)</f>
        <v>22577.789375688837</v>
      </c>
      <c r="W77" s="32">
        <f>$A77*VLOOKUP($B77&amp;$D77,$B$13:$X$24,W$30+1,FALSE)*VLOOKUP($C77,Overlap!$A$3:$B$15,2,FALSE)</f>
        <v>22843.155524155511</v>
      </c>
      <c r="X77" s="32">
        <f>$A77*VLOOKUP($B77&amp;$D77,$B$13:$X$24,X$30+1,FALSE)*VLOOKUP($C77,Overlap!$A$3:$B$15,2,FALSE)</f>
        <v>23321.629741991106</v>
      </c>
      <c r="Y77" s="32"/>
      <c r="Z77" s="32" t="str">
        <f t="shared" si="3"/>
        <v>Wheel line systems: Rebuild or replace leaking or malfunctioning leveler with new or rebuilt leveler. Oregon</v>
      </c>
      <c r="AA77" s="41">
        <f>VLOOKUP(B77&amp;D77,$B$13:$X$24,$X$30+1,FALSE)*$AA$29*A77*VLOOKUP($C77,Overlap!$A$3:$B$15,2,FALSE)</f>
        <v>19823.385280692437</v>
      </c>
    </row>
    <row r="78" spans="1:27">
      <c r="A78" s="50">
        <f>INDEX([2]APPLIC!$B$8:$F$67,MATCH($C78,[2]APPLIC!$B$9:$B$67,0)+1,MATCH($D78,[2]APPLIC!$C$8:$F$8,0)+1)</f>
        <v>0.30000000000000004</v>
      </c>
      <c r="B78" s="77" t="s">
        <v>1272</v>
      </c>
      <c r="C78" s="7" t="s">
        <v>1306</v>
      </c>
      <c r="D78" s="7" t="s">
        <v>432</v>
      </c>
      <c r="E78" s="32">
        <f>$A78*VLOOKUP($B78&amp;$D78,$B$13:$X$24,E$30+1,FALSE)*VLOOKUP($C78,Overlap!$A$3:$B$15,2,FALSE)</f>
        <v>162942.60000000003</v>
      </c>
      <c r="F78" s="32">
        <f>$A78*VLOOKUP($B78&amp;$D78,$B$13:$X$24,F$30+1,FALSE)*VLOOKUP($C78,Overlap!$A$3:$B$15,2,FALSE)</f>
        <v>164590.08699461876</v>
      </c>
      <c r="G78" s="32">
        <f>$A78*VLOOKUP($B78&amp;$D78,$B$13:$X$24,G$30+1,FALSE)*VLOOKUP($C78,Overlap!$A$3:$B$15,2,FALSE)</f>
        <v>166245.7344788792</v>
      </c>
      <c r="H78" s="32">
        <f>$A78*VLOOKUP($B78&amp;$D78,$B$13:$X$24,H$30+1,FALSE)*VLOOKUP($C78,Overlap!$A$3:$B$15,2,FALSE)</f>
        <v>168103.84078473697</v>
      </c>
      <c r="I78" s="32">
        <f>$A78*VLOOKUP($B78&amp;$D78,$B$13:$X$24,I$30+1,FALSE)*VLOOKUP($C78,Overlap!$A$3:$B$15,2,FALSE)</f>
        <v>171432.81839450239</v>
      </c>
      <c r="J78" s="32">
        <f>$A78*VLOOKUP($B78&amp;$D78,$B$13:$X$24,J$30+1,FALSE)*VLOOKUP($C78,Overlap!$A$3:$B$15,2,FALSE)</f>
        <v>173503.52594844549</v>
      </c>
      <c r="K78" s="32">
        <f>$A78*VLOOKUP($B78&amp;$D78,$B$13:$X$24,K$30+1,FALSE)*VLOOKUP($C78,Overlap!$A$3:$B$15,2,FALSE)</f>
        <v>175598.5666965225</v>
      </c>
      <c r="L78" s="32">
        <f>$A78*VLOOKUP($B78&amp;$D78,$B$13:$X$24,L$30+1,FALSE)*VLOOKUP($C78,Overlap!$A$3:$B$15,2,FALSE)</f>
        <v>177850.26870837281</v>
      </c>
      <c r="M78" s="32">
        <f>$A78*VLOOKUP($B78&amp;$D78,$B$13:$X$24,M$30+1,FALSE)*VLOOKUP($C78,Overlap!$A$3:$B$15,2,FALSE)</f>
        <v>179995.96926491288</v>
      </c>
      <c r="N78" s="32">
        <f>$A78*VLOOKUP($B78&amp;$D78,$B$13:$X$24,N$30+1,FALSE)*VLOOKUP($C78,Overlap!$A$3:$B$15,2,FALSE)</f>
        <v>183840.65264322114</v>
      </c>
      <c r="O78" s="32">
        <f>$A78*VLOOKUP($B78&amp;$D78,$B$13:$X$24,O$30+1,FALSE)*VLOOKUP($C78,Overlap!$A$3:$B$15,2,FALSE)</f>
        <v>186021.78956241236</v>
      </c>
      <c r="P78" s="32">
        <f>$A78*VLOOKUP($B78&amp;$D78,$B$13:$X$24,P$30+1,FALSE)*VLOOKUP($C78,Overlap!$A$3:$B$15,2,FALSE)</f>
        <v>188219.04287519626</v>
      </c>
      <c r="Q78" s="32">
        <f>$A78*VLOOKUP($B78&amp;$D78,$B$13:$X$24,Q$30+1,FALSE)*VLOOKUP($C78,Overlap!$A$3:$B$15,2,FALSE)</f>
        <v>190300.83268095934</v>
      </c>
      <c r="R78" s="32">
        <f>$A78*VLOOKUP($B78&amp;$D78,$B$13:$X$24,R$30+1,FALSE)*VLOOKUP($C78,Overlap!$A$3:$B$15,2,FALSE)</f>
        <v>192525.29740480389</v>
      </c>
      <c r="S78" s="32">
        <f>$A78*VLOOKUP($B78&amp;$D78,$B$13:$X$24,S$30+1,FALSE)*VLOOKUP($C78,Overlap!$A$3:$B$15,2,FALSE)</f>
        <v>196303.26070702387</v>
      </c>
      <c r="T78" s="32">
        <f>$A78*VLOOKUP($B78&amp;$D78,$B$13:$X$24,T$30+1,FALSE)*VLOOKUP($C78,Overlap!$A$3:$B$15,2,FALSE)</f>
        <v>198669.530682143</v>
      </c>
      <c r="U78" s="32">
        <f>$A78*VLOOKUP($B78&amp;$D78,$B$13:$X$24,U$30+1,FALSE)*VLOOKUP($C78,Overlap!$A$3:$B$15,2,FALSE)</f>
        <v>201175.89160675151</v>
      </c>
      <c r="V78" s="32">
        <f>$A78*VLOOKUP($B78&amp;$D78,$B$13:$X$24,V$30+1,FALSE)*VLOOKUP($C78,Overlap!$A$3:$B$15,2,FALSE)</f>
        <v>203689.88235151119</v>
      </c>
      <c r="W78" s="32">
        <f>$A78*VLOOKUP($B78&amp;$D78,$B$13:$X$24,W$30+1,FALSE)*VLOOKUP($C78,Overlap!$A$3:$B$15,2,FALSE)</f>
        <v>206083.93425189133</v>
      </c>
      <c r="X78" s="32">
        <f>$A78*VLOOKUP($B78&amp;$D78,$B$13:$X$24,X$30+1,FALSE)*VLOOKUP($C78,Overlap!$A$3:$B$15,2,FALSE)</f>
        <v>210400.58171092498</v>
      </c>
      <c r="Y78" s="32"/>
      <c r="Z78" s="32" t="str">
        <f t="shared" si="3"/>
        <v>Center pivot/linear move systems: Install new sprinkler package on an existing system. Oregon</v>
      </c>
      <c r="AA78" s="41">
        <f>VLOOKUP(B78&amp;D78,$B$13:$X$24,$X$30+1,FALSE)*$AA$29*A78*VLOOKUP($C78,Overlap!$A$3:$B$15,2,FALSE)</f>
        <v>178840.49445428621</v>
      </c>
    </row>
    <row r="79" spans="1:27">
      <c r="A79" s="50">
        <f>INDEX([2]APPLIC!$B$8:$F$67,MATCH($C79,[2]APPLIC!$B$9:$B$67,0)+1,MATCH($D79,[2]APPLIC!$C$8:$F$8,0)+1)</f>
        <v>0.30000000000000004</v>
      </c>
      <c r="B79" s="77" t="s">
        <v>1272</v>
      </c>
      <c r="C79" s="7" t="s">
        <v>1308</v>
      </c>
      <c r="D79" s="7" t="s">
        <v>432</v>
      </c>
      <c r="E79" s="32">
        <f>$A79*VLOOKUP($B79&amp;$D79,$B$13:$X$24,E$30+1,FALSE)*VLOOKUP($C79,Overlap!$A$3:$B$15,2,FALSE)</f>
        <v>162942.60000000003</v>
      </c>
      <c r="F79" s="32">
        <f>$A79*VLOOKUP($B79&amp;$D79,$B$13:$X$24,F$30+1,FALSE)*VLOOKUP($C79,Overlap!$A$3:$B$15,2,FALSE)</f>
        <v>164590.08699461876</v>
      </c>
      <c r="G79" s="32">
        <f>$A79*VLOOKUP($B79&amp;$D79,$B$13:$X$24,G$30+1,FALSE)*VLOOKUP($C79,Overlap!$A$3:$B$15,2,FALSE)</f>
        <v>166245.7344788792</v>
      </c>
      <c r="H79" s="32">
        <f>$A79*VLOOKUP($B79&amp;$D79,$B$13:$X$24,H$30+1,FALSE)*VLOOKUP($C79,Overlap!$A$3:$B$15,2,FALSE)</f>
        <v>168103.84078473697</v>
      </c>
      <c r="I79" s="32">
        <f>$A79*VLOOKUP($B79&amp;$D79,$B$13:$X$24,I$30+1,FALSE)*VLOOKUP($C79,Overlap!$A$3:$B$15,2,FALSE)</f>
        <v>171432.81839450239</v>
      </c>
      <c r="J79" s="32">
        <f>$A79*VLOOKUP($B79&amp;$D79,$B$13:$X$24,J$30+1,FALSE)*VLOOKUP($C79,Overlap!$A$3:$B$15,2,FALSE)</f>
        <v>173503.52594844549</v>
      </c>
      <c r="K79" s="32">
        <f>$A79*VLOOKUP($B79&amp;$D79,$B$13:$X$24,K$30+1,FALSE)*VLOOKUP($C79,Overlap!$A$3:$B$15,2,FALSE)</f>
        <v>175598.5666965225</v>
      </c>
      <c r="L79" s="32">
        <f>$A79*VLOOKUP($B79&amp;$D79,$B$13:$X$24,L$30+1,FALSE)*VLOOKUP($C79,Overlap!$A$3:$B$15,2,FALSE)</f>
        <v>177850.26870837281</v>
      </c>
      <c r="M79" s="32">
        <f>$A79*VLOOKUP($B79&amp;$D79,$B$13:$X$24,M$30+1,FALSE)*VLOOKUP($C79,Overlap!$A$3:$B$15,2,FALSE)</f>
        <v>179995.96926491288</v>
      </c>
      <c r="N79" s="32">
        <f>$A79*VLOOKUP($B79&amp;$D79,$B$13:$X$24,N$30+1,FALSE)*VLOOKUP($C79,Overlap!$A$3:$B$15,2,FALSE)</f>
        <v>183840.65264322114</v>
      </c>
      <c r="O79" s="32">
        <f>$A79*VLOOKUP($B79&amp;$D79,$B$13:$X$24,O$30+1,FALSE)*VLOOKUP($C79,Overlap!$A$3:$B$15,2,FALSE)</f>
        <v>186021.78956241236</v>
      </c>
      <c r="P79" s="32">
        <f>$A79*VLOOKUP($B79&amp;$D79,$B$13:$X$24,P$30+1,FALSE)*VLOOKUP($C79,Overlap!$A$3:$B$15,2,FALSE)</f>
        <v>188219.04287519626</v>
      </c>
      <c r="Q79" s="32">
        <f>$A79*VLOOKUP($B79&amp;$D79,$B$13:$X$24,Q$30+1,FALSE)*VLOOKUP($C79,Overlap!$A$3:$B$15,2,FALSE)</f>
        <v>190300.83268095934</v>
      </c>
      <c r="R79" s="32">
        <f>$A79*VLOOKUP($B79&amp;$D79,$B$13:$X$24,R$30+1,FALSE)*VLOOKUP($C79,Overlap!$A$3:$B$15,2,FALSE)</f>
        <v>192525.29740480389</v>
      </c>
      <c r="S79" s="32">
        <f>$A79*VLOOKUP($B79&amp;$D79,$B$13:$X$24,S$30+1,FALSE)*VLOOKUP($C79,Overlap!$A$3:$B$15,2,FALSE)</f>
        <v>196303.26070702387</v>
      </c>
      <c r="T79" s="32">
        <f>$A79*VLOOKUP($B79&amp;$D79,$B$13:$X$24,T$30+1,FALSE)*VLOOKUP($C79,Overlap!$A$3:$B$15,2,FALSE)</f>
        <v>198669.530682143</v>
      </c>
      <c r="U79" s="32">
        <f>$A79*VLOOKUP($B79&amp;$D79,$B$13:$X$24,U$30+1,FALSE)*VLOOKUP($C79,Overlap!$A$3:$B$15,2,FALSE)</f>
        <v>201175.89160675151</v>
      </c>
      <c r="V79" s="32">
        <f>$A79*VLOOKUP($B79&amp;$D79,$B$13:$X$24,V$30+1,FALSE)*VLOOKUP($C79,Overlap!$A$3:$B$15,2,FALSE)</f>
        <v>203689.88235151119</v>
      </c>
      <c r="W79" s="32">
        <f>$A79*VLOOKUP($B79&amp;$D79,$B$13:$X$24,W$30+1,FALSE)*VLOOKUP($C79,Overlap!$A$3:$B$15,2,FALSE)</f>
        <v>206083.93425189133</v>
      </c>
      <c r="X79" s="32">
        <f>$A79*VLOOKUP($B79&amp;$D79,$B$13:$X$24,X$30+1,FALSE)*VLOOKUP($C79,Overlap!$A$3:$B$15,2,FALSE)</f>
        <v>210400.58171092498</v>
      </c>
      <c r="Y79" s="32"/>
      <c r="Z79" s="32" t="str">
        <f t="shared" si="3"/>
        <v>Center pivot/linear move systems: New gooseneck elbows Oregon</v>
      </c>
      <c r="AA79" s="41">
        <f>VLOOKUP(B79&amp;D79,$B$13:$X$24,$X$30+1,FALSE)*$AA$29*A79*VLOOKUP($C79,Overlap!$A$3:$B$15,2,FALSE)</f>
        <v>178840.49445428621</v>
      </c>
    </row>
    <row r="80" spans="1:27">
      <c r="A80" s="50">
        <f>INDEX([2]APPLIC!$B$8:$F$67,MATCH($C80,[2]APPLIC!$B$9:$B$67,0)+1,MATCH($D80,[2]APPLIC!$C$8:$F$8,0)+1)</f>
        <v>0.30000000000000004</v>
      </c>
      <c r="B80" s="77" t="s">
        <v>1272</v>
      </c>
      <c r="C80" s="7" t="s">
        <v>1310</v>
      </c>
      <c r="D80" s="7" t="s">
        <v>432</v>
      </c>
      <c r="E80" s="32">
        <f>$A80*VLOOKUP($B80&amp;$D80,$B$13:$X$24,E$30+1,FALSE)*VLOOKUP($C80,Overlap!$A$3:$B$15,2,FALSE)</f>
        <v>162942.60000000003</v>
      </c>
      <c r="F80" s="32">
        <f>$A80*VLOOKUP($B80&amp;$D80,$B$13:$X$24,F$30+1,FALSE)*VLOOKUP($C80,Overlap!$A$3:$B$15,2,FALSE)</f>
        <v>164590.08699461876</v>
      </c>
      <c r="G80" s="32">
        <f>$A80*VLOOKUP($B80&amp;$D80,$B$13:$X$24,G$30+1,FALSE)*VLOOKUP($C80,Overlap!$A$3:$B$15,2,FALSE)</f>
        <v>166245.7344788792</v>
      </c>
      <c r="H80" s="32">
        <f>$A80*VLOOKUP($B80&amp;$D80,$B$13:$X$24,H$30+1,FALSE)*VLOOKUP($C80,Overlap!$A$3:$B$15,2,FALSE)</f>
        <v>168103.84078473697</v>
      </c>
      <c r="I80" s="32">
        <f>$A80*VLOOKUP($B80&amp;$D80,$B$13:$X$24,I$30+1,FALSE)*VLOOKUP($C80,Overlap!$A$3:$B$15,2,FALSE)</f>
        <v>171432.81839450239</v>
      </c>
      <c r="J80" s="32">
        <f>$A80*VLOOKUP($B80&amp;$D80,$B$13:$X$24,J$30+1,FALSE)*VLOOKUP($C80,Overlap!$A$3:$B$15,2,FALSE)</f>
        <v>173503.52594844549</v>
      </c>
      <c r="K80" s="32">
        <f>$A80*VLOOKUP($B80&amp;$D80,$B$13:$X$24,K$30+1,FALSE)*VLOOKUP($C80,Overlap!$A$3:$B$15,2,FALSE)</f>
        <v>175598.5666965225</v>
      </c>
      <c r="L80" s="32">
        <f>$A80*VLOOKUP($B80&amp;$D80,$B$13:$X$24,L$30+1,FALSE)*VLOOKUP($C80,Overlap!$A$3:$B$15,2,FALSE)</f>
        <v>177850.26870837281</v>
      </c>
      <c r="M80" s="32">
        <f>$A80*VLOOKUP($B80&amp;$D80,$B$13:$X$24,M$30+1,FALSE)*VLOOKUP($C80,Overlap!$A$3:$B$15,2,FALSE)</f>
        <v>179995.96926491288</v>
      </c>
      <c r="N80" s="32">
        <f>$A80*VLOOKUP($B80&amp;$D80,$B$13:$X$24,N$30+1,FALSE)*VLOOKUP($C80,Overlap!$A$3:$B$15,2,FALSE)</f>
        <v>183840.65264322114</v>
      </c>
      <c r="O80" s="32">
        <f>$A80*VLOOKUP($B80&amp;$D80,$B$13:$X$24,O$30+1,FALSE)*VLOOKUP($C80,Overlap!$A$3:$B$15,2,FALSE)</f>
        <v>186021.78956241236</v>
      </c>
      <c r="P80" s="32">
        <f>$A80*VLOOKUP($B80&amp;$D80,$B$13:$X$24,P$30+1,FALSE)*VLOOKUP($C80,Overlap!$A$3:$B$15,2,FALSE)</f>
        <v>188219.04287519626</v>
      </c>
      <c r="Q80" s="32">
        <f>$A80*VLOOKUP($B80&amp;$D80,$B$13:$X$24,Q$30+1,FALSE)*VLOOKUP($C80,Overlap!$A$3:$B$15,2,FALSE)</f>
        <v>190300.83268095934</v>
      </c>
      <c r="R80" s="32">
        <f>$A80*VLOOKUP($B80&amp;$D80,$B$13:$X$24,R$30+1,FALSE)*VLOOKUP($C80,Overlap!$A$3:$B$15,2,FALSE)</f>
        <v>192525.29740480389</v>
      </c>
      <c r="S80" s="32">
        <f>$A80*VLOOKUP($B80&amp;$D80,$B$13:$X$24,S$30+1,FALSE)*VLOOKUP($C80,Overlap!$A$3:$B$15,2,FALSE)</f>
        <v>196303.26070702387</v>
      </c>
      <c r="T80" s="32">
        <f>$A80*VLOOKUP($B80&amp;$D80,$B$13:$X$24,T$30+1,FALSE)*VLOOKUP($C80,Overlap!$A$3:$B$15,2,FALSE)</f>
        <v>198669.530682143</v>
      </c>
      <c r="U80" s="32">
        <f>$A80*VLOOKUP($B80&amp;$D80,$B$13:$X$24,U$30+1,FALSE)*VLOOKUP($C80,Overlap!$A$3:$B$15,2,FALSE)</f>
        <v>201175.89160675151</v>
      </c>
      <c r="V80" s="32">
        <f>$A80*VLOOKUP($B80&amp;$D80,$B$13:$X$24,V$30+1,FALSE)*VLOOKUP($C80,Overlap!$A$3:$B$15,2,FALSE)</f>
        <v>203689.88235151119</v>
      </c>
      <c r="W80" s="32">
        <f>$A80*VLOOKUP($B80&amp;$D80,$B$13:$X$24,W$30+1,FALSE)*VLOOKUP($C80,Overlap!$A$3:$B$15,2,FALSE)</f>
        <v>206083.93425189133</v>
      </c>
      <c r="X80" s="32">
        <f>$A80*VLOOKUP($B80&amp;$D80,$B$13:$X$24,X$30+1,FALSE)*VLOOKUP($C80,Overlap!$A$3:$B$15,2,FALSE)</f>
        <v>210400.58171092498</v>
      </c>
      <c r="Y80" s="32"/>
      <c r="Z80" s="32" t="str">
        <f t="shared" si="3"/>
        <v>Center pivot/linear move systems: New drop tubes (3 feet minimum) Oregon</v>
      </c>
      <c r="AA80" s="41">
        <f>VLOOKUP(B80&amp;D80,$B$13:$X$24,$X$30+1,FALSE)*$AA$29*A80*VLOOKUP($C80,Overlap!$A$3:$B$15,2,FALSE)</f>
        <v>178840.49445428621</v>
      </c>
    </row>
    <row r="81" spans="1:71">
      <c r="A81" s="50">
        <f>INDEX([2]APPLIC!$B$8:$F$67,MATCH($C81,[2]APPLIC!$B$9:$B$67,0)+1,MATCH($D81,[2]APPLIC!$C$8:$F$8,0)+1)</f>
        <v>0.30000000000000004</v>
      </c>
      <c r="B81" s="77" t="s">
        <v>1272</v>
      </c>
      <c r="C81" s="7" t="s">
        <v>1312</v>
      </c>
      <c r="D81" s="7" t="s">
        <v>432</v>
      </c>
      <c r="E81" s="32">
        <f>$A81*VLOOKUP($B81&amp;$D81,$B$13:$X$24,E$30+1,FALSE)*VLOOKUP($C81,Overlap!$A$3:$B$15,2,FALSE)</f>
        <v>162942.60000000003</v>
      </c>
      <c r="F81" s="32">
        <f>$A81*VLOOKUP($B81&amp;$D81,$B$13:$X$24,F$30+1,FALSE)*VLOOKUP($C81,Overlap!$A$3:$B$15,2,FALSE)</f>
        <v>164590.08699461876</v>
      </c>
      <c r="G81" s="32">
        <f>$A81*VLOOKUP($B81&amp;$D81,$B$13:$X$24,G$30+1,FALSE)*VLOOKUP($C81,Overlap!$A$3:$B$15,2,FALSE)</f>
        <v>166245.7344788792</v>
      </c>
      <c r="H81" s="32">
        <f>$A81*VLOOKUP($B81&amp;$D81,$B$13:$X$24,H$30+1,FALSE)*VLOOKUP($C81,Overlap!$A$3:$B$15,2,FALSE)</f>
        <v>168103.84078473697</v>
      </c>
      <c r="I81" s="32">
        <f>$A81*VLOOKUP($B81&amp;$D81,$B$13:$X$24,I$30+1,FALSE)*VLOOKUP($C81,Overlap!$A$3:$B$15,2,FALSE)</f>
        <v>171432.81839450239</v>
      </c>
      <c r="J81" s="32">
        <f>$A81*VLOOKUP($B81&amp;$D81,$B$13:$X$24,J$30+1,FALSE)*VLOOKUP($C81,Overlap!$A$3:$B$15,2,FALSE)</f>
        <v>173503.52594844549</v>
      </c>
      <c r="K81" s="32">
        <f>$A81*VLOOKUP($B81&amp;$D81,$B$13:$X$24,K$30+1,FALSE)*VLOOKUP($C81,Overlap!$A$3:$B$15,2,FALSE)</f>
        <v>175598.5666965225</v>
      </c>
      <c r="L81" s="32">
        <f>$A81*VLOOKUP($B81&amp;$D81,$B$13:$X$24,L$30+1,FALSE)*VLOOKUP($C81,Overlap!$A$3:$B$15,2,FALSE)</f>
        <v>177850.26870837281</v>
      </c>
      <c r="M81" s="32">
        <f>$A81*VLOOKUP($B81&amp;$D81,$B$13:$X$24,M$30+1,FALSE)*VLOOKUP($C81,Overlap!$A$3:$B$15,2,FALSE)</f>
        <v>179995.96926491288</v>
      </c>
      <c r="N81" s="32">
        <f>$A81*VLOOKUP($B81&amp;$D81,$B$13:$X$24,N$30+1,FALSE)*VLOOKUP($C81,Overlap!$A$3:$B$15,2,FALSE)</f>
        <v>183840.65264322114</v>
      </c>
      <c r="O81" s="32">
        <f>$A81*VLOOKUP($B81&amp;$D81,$B$13:$X$24,O$30+1,FALSE)*VLOOKUP($C81,Overlap!$A$3:$B$15,2,FALSE)</f>
        <v>186021.78956241236</v>
      </c>
      <c r="P81" s="32">
        <f>$A81*VLOOKUP($B81&amp;$D81,$B$13:$X$24,P$30+1,FALSE)*VLOOKUP($C81,Overlap!$A$3:$B$15,2,FALSE)</f>
        <v>188219.04287519626</v>
      </c>
      <c r="Q81" s="32">
        <f>$A81*VLOOKUP($B81&amp;$D81,$B$13:$X$24,Q$30+1,FALSE)*VLOOKUP($C81,Overlap!$A$3:$B$15,2,FALSE)</f>
        <v>190300.83268095934</v>
      </c>
      <c r="R81" s="32">
        <f>$A81*VLOOKUP($B81&amp;$D81,$B$13:$X$24,R$30+1,FALSE)*VLOOKUP($C81,Overlap!$A$3:$B$15,2,FALSE)</f>
        <v>192525.29740480389</v>
      </c>
      <c r="S81" s="32">
        <f>$A81*VLOOKUP($B81&amp;$D81,$B$13:$X$24,S$30+1,FALSE)*VLOOKUP($C81,Overlap!$A$3:$B$15,2,FALSE)</f>
        <v>196303.26070702387</v>
      </c>
      <c r="T81" s="32">
        <f>$A81*VLOOKUP($B81&amp;$D81,$B$13:$X$24,T$30+1,FALSE)*VLOOKUP($C81,Overlap!$A$3:$B$15,2,FALSE)</f>
        <v>198669.530682143</v>
      </c>
      <c r="U81" s="32">
        <f>$A81*VLOOKUP($B81&amp;$D81,$B$13:$X$24,U$30+1,FALSE)*VLOOKUP($C81,Overlap!$A$3:$B$15,2,FALSE)</f>
        <v>201175.89160675151</v>
      </c>
      <c r="V81" s="32">
        <f>$A81*VLOOKUP($B81&amp;$D81,$B$13:$X$24,V$30+1,FALSE)*VLOOKUP($C81,Overlap!$A$3:$B$15,2,FALSE)</f>
        <v>203689.88235151119</v>
      </c>
      <c r="W81" s="32">
        <f>$A81*VLOOKUP($B81&amp;$D81,$B$13:$X$24,W$30+1,FALSE)*VLOOKUP($C81,Overlap!$A$3:$B$15,2,FALSE)</f>
        <v>206083.93425189133</v>
      </c>
      <c r="X81" s="32">
        <f>$A81*VLOOKUP($B81&amp;$D81,$B$13:$X$24,X$30+1,FALSE)*VLOOKUP($C81,Overlap!$A$3:$B$15,2,FALSE)</f>
        <v>210400.58171092498</v>
      </c>
      <c r="Y81" s="32"/>
      <c r="Z81" s="32" t="str">
        <f t="shared" si="3"/>
        <v>Center pivot/linear move systems: Replace leaking pivot boot gasket with new pivot boot gasket Oregon</v>
      </c>
      <c r="AA81" s="41">
        <f>VLOOKUP(B81&amp;D81,$B$13:$X$24,$X$30+1,FALSE)*$AA$29*A81*VLOOKUP($C81,Overlap!$A$3:$B$15,2,FALSE)</f>
        <v>178840.49445428621</v>
      </c>
    </row>
    <row r="82" spans="1:71">
      <c r="A82" s="50">
        <f>INDEX([2]APPLIC!$B$8:$F$67,MATCH($C82,[2]APPLIC!$B$9:$B$67,0)+1,MATCH($D82,[2]APPLIC!$C$8:$F$8,0)+1)</f>
        <v>0.30000000000000004</v>
      </c>
      <c r="B82" s="77" t="s">
        <v>1272</v>
      </c>
      <c r="C82" s="7" t="s">
        <v>1314</v>
      </c>
      <c r="D82" s="7" t="s">
        <v>432</v>
      </c>
      <c r="E82" s="32">
        <f>$A82*VLOOKUP($B82&amp;$D82,$B$13:$X$24,E$30+1,FALSE)*VLOOKUP($C82,Overlap!$A$3:$B$15,2,FALSE)</f>
        <v>162942.60000000003</v>
      </c>
      <c r="F82" s="32">
        <f>$A82*VLOOKUP($B82&amp;$D82,$B$13:$X$24,F$30+1,FALSE)*VLOOKUP($C82,Overlap!$A$3:$B$15,2,FALSE)</f>
        <v>164590.08699461876</v>
      </c>
      <c r="G82" s="32">
        <f>$A82*VLOOKUP($B82&amp;$D82,$B$13:$X$24,G$30+1,FALSE)*VLOOKUP($C82,Overlap!$A$3:$B$15,2,FALSE)</f>
        <v>166245.7344788792</v>
      </c>
      <c r="H82" s="32">
        <f>$A82*VLOOKUP($B82&amp;$D82,$B$13:$X$24,H$30+1,FALSE)*VLOOKUP($C82,Overlap!$A$3:$B$15,2,FALSE)</f>
        <v>168103.84078473697</v>
      </c>
      <c r="I82" s="32">
        <f>$A82*VLOOKUP($B82&amp;$D82,$B$13:$X$24,I$30+1,FALSE)*VLOOKUP($C82,Overlap!$A$3:$B$15,2,FALSE)</f>
        <v>171432.81839450239</v>
      </c>
      <c r="J82" s="32">
        <f>$A82*VLOOKUP($B82&amp;$D82,$B$13:$X$24,J$30+1,FALSE)*VLOOKUP($C82,Overlap!$A$3:$B$15,2,FALSE)</f>
        <v>173503.52594844549</v>
      </c>
      <c r="K82" s="32">
        <f>$A82*VLOOKUP($B82&amp;$D82,$B$13:$X$24,K$30+1,FALSE)*VLOOKUP($C82,Overlap!$A$3:$B$15,2,FALSE)</f>
        <v>175598.5666965225</v>
      </c>
      <c r="L82" s="32">
        <f>$A82*VLOOKUP($B82&amp;$D82,$B$13:$X$24,L$30+1,FALSE)*VLOOKUP($C82,Overlap!$A$3:$B$15,2,FALSE)</f>
        <v>177850.26870837281</v>
      </c>
      <c r="M82" s="32">
        <f>$A82*VLOOKUP($B82&amp;$D82,$B$13:$X$24,M$30+1,FALSE)*VLOOKUP($C82,Overlap!$A$3:$B$15,2,FALSE)</f>
        <v>179995.96926491288</v>
      </c>
      <c r="N82" s="32">
        <f>$A82*VLOOKUP($B82&amp;$D82,$B$13:$X$24,N$30+1,FALSE)*VLOOKUP($C82,Overlap!$A$3:$B$15,2,FALSE)</f>
        <v>183840.65264322114</v>
      </c>
      <c r="O82" s="32">
        <f>$A82*VLOOKUP($B82&amp;$D82,$B$13:$X$24,O$30+1,FALSE)*VLOOKUP($C82,Overlap!$A$3:$B$15,2,FALSE)</f>
        <v>186021.78956241236</v>
      </c>
      <c r="P82" s="32">
        <f>$A82*VLOOKUP($B82&amp;$D82,$B$13:$X$24,P$30+1,FALSE)*VLOOKUP($C82,Overlap!$A$3:$B$15,2,FALSE)</f>
        <v>188219.04287519626</v>
      </c>
      <c r="Q82" s="32">
        <f>$A82*VLOOKUP($B82&amp;$D82,$B$13:$X$24,Q$30+1,FALSE)*VLOOKUP($C82,Overlap!$A$3:$B$15,2,FALSE)</f>
        <v>190300.83268095934</v>
      </c>
      <c r="R82" s="32">
        <f>$A82*VLOOKUP($B82&amp;$D82,$B$13:$X$24,R$30+1,FALSE)*VLOOKUP($C82,Overlap!$A$3:$B$15,2,FALSE)</f>
        <v>192525.29740480389</v>
      </c>
      <c r="S82" s="32">
        <f>$A82*VLOOKUP($B82&amp;$D82,$B$13:$X$24,S$30+1,FALSE)*VLOOKUP($C82,Overlap!$A$3:$B$15,2,FALSE)</f>
        <v>196303.26070702387</v>
      </c>
      <c r="T82" s="32">
        <f>$A82*VLOOKUP($B82&amp;$D82,$B$13:$X$24,T$30+1,FALSE)*VLOOKUP($C82,Overlap!$A$3:$B$15,2,FALSE)</f>
        <v>198669.530682143</v>
      </c>
      <c r="U82" s="32">
        <f>$A82*VLOOKUP($B82&amp;$D82,$B$13:$X$24,U$30+1,FALSE)*VLOOKUP($C82,Overlap!$A$3:$B$15,2,FALSE)</f>
        <v>201175.89160675151</v>
      </c>
      <c r="V82" s="32">
        <f>$A82*VLOOKUP($B82&amp;$D82,$B$13:$X$24,V$30+1,FALSE)*VLOOKUP($C82,Overlap!$A$3:$B$15,2,FALSE)</f>
        <v>203689.88235151119</v>
      </c>
      <c r="W82" s="32">
        <f>$A82*VLOOKUP($B82&amp;$D82,$B$13:$X$24,W$30+1,FALSE)*VLOOKUP($C82,Overlap!$A$3:$B$15,2,FALSE)</f>
        <v>206083.93425189133</v>
      </c>
      <c r="X82" s="32">
        <f>$A82*VLOOKUP($B82&amp;$D82,$B$13:$X$24,X$30+1,FALSE)*VLOOKUP($C82,Overlap!$A$3:$B$15,2,FALSE)</f>
        <v>210400.58171092498</v>
      </c>
      <c r="Y82" s="32"/>
      <c r="Z82" s="32" t="str">
        <f t="shared" si="3"/>
        <v>Center pivot/linear move systems: Replace leaking tower gasket with new tower gasket Oregon</v>
      </c>
      <c r="AA82" s="41">
        <f>VLOOKUP(B82&amp;D82,$B$13:$X$24,$X$30+1,FALSE)*$AA$29*A82*VLOOKUP($C82,Overlap!$A$3:$B$15,2,FALSE)</f>
        <v>178840.49445428621</v>
      </c>
    </row>
    <row r="83" spans="1:71">
      <c r="E83" s="32"/>
      <c r="F83" s="32"/>
      <c r="G83" s="32"/>
      <c r="H83" s="32"/>
      <c r="I83" s="32"/>
      <c r="J83" s="32"/>
      <c r="K83" s="32"/>
      <c r="L83" s="32"/>
      <c r="M83" s="32"/>
      <c r="N83" s="32"/>
      <c r="O83" s="32"/>
      <c r="P83" s="32"/>
      <c r="Q83" s="32"/>
      <c r="R83" s="32"/>
      <c r="S83" s="32"/>
      <c r="T83" s="32"/>
      <c r="U83" s="32"/>
      <c r="V83" s="32"/>
      <c r="W83" s="32"/>
      <c r="X83" s="32"/>
      <c r="Y83" s="32"/>
    </row>
    <row r="84" spans="1:71">
      <c r="E84" s="32">
        <f>SUM(E31:E82)</f>
        <v>7676698.5257713646</v>
      </c>
      <c r="F84" s="32">
        <f t="shared" ref="F84:X84" si="4">SUM(F31:F82)</f>
        <v>7712465.2401757706</v>
      </c>
      <c r="G84" s="32">
        <f t="shared" si="4"/>
        <v>7749156.8141191145</v>
      </c>
      <c r="H84" s="32">
        <f t="shared" si="4"/>
        <v>7790192.1360893752</v>
      </c>
      <c r="I84" s="32">
        <f t="shared" si="4"/>
        <v>7857914.4935104782</v>
      </c>
      <c r="J84" s="32">
        <f t="shared" si="4"/>
        <v>7905190.2528057145</v>
      </c>
      <c r="K84" s="32">
        <f t="shared" si="4"/>
        <v>7952774.6048407909</v>
      </c>
      <c r="L84" s="32">
        <f t="shared" si="4"/>
        <v>8003447.8474146854</v>
      </c>
      <c r="M84" s="32">
        <f t="shared" si="4"/>
        <v>8053346.7921252046</v>
      </c>
      <c r="N84" s="32">
        <f t="shared" si="4"/>
        <v>8134003.3358189547</v>
      </c>
      <c r="O84" s="32">
        <f t="shared" si="4"/>
        <v>8185611.9065929204</v>
      </c>
      <c r="P84" s="32">
        <f t="shared" si="4"/>
        <v>8237273.0142030269</v>
      </c>
      <c r="Q84" s="32">
        <f t="shared" si="4"/>
        <v>8289206.2523893351</v>
      </c>
      <c r="R84" s="32">
        <f t="shared" si="4"/>
        <v>8342217.9205659777</v>
      </c>
      <c r="S84" s="32">
        <f t="shared" si="4"/>
        <v>8423645.7211940065</v>
      </c>
      <c r="T84" s="32">
        <f t="shared" si="4"/>
        <v>8480772.0231915545</v>
      </c>
      <c r="U84" s="32">
        <f t="shared" si="4"/>
        <v>8540363.0805973522</v>
      </c>
      <c r="V84" s="32">
        <f t="shared" si="4"/>
        <v>8600415.5414896198</v>
      </c>
      <c r="W84" s="32">
        <f t="shared" si="4"/>
        <v>8659125.6284709293</v>
      </c>
      <c r="X84" s="32">
        <f t="shared" si="4"/>
        <v>8751323.7220055964</v>
      </c>
      <c r="Y84" s="32"/>
      <c r="AA84" s="41">
        <f>MAX(E84:X84)*$AA$29</f>
        <v>7438625.1637047566</v>
      </c>
    </row>
    <row r="85" spans="1:71">
      <c r="D85" s="32"/>
      <c r="E85" s="32"/>
      <c r="F85" s="32"/>
      <c r="G85" s="32"/>
      <c r="H85" s="32"/>
      <c r="I85" s="32"/>
      <c r="J85" s="32"/>
      <c r="K85" s="32"/>
      <c r="L85" s="32"/>
      <c r="M85" s="32"/>
      <c r="N85" s="32"/>
      <c r="O85" s="32"/>
      <c r="P85" s="32"/>
      <c r="Q85" s="32"/>
      <c r="R85" s="32"/>
      <c r="S85" s="32"/>
      <c r="T85" s="32"/>
      <c r="U85" s="32"/>
      <c r="V85" s="32"/>
      <c r="W85" s="32"/>
      <c r="X85" s="32"/>
    </row>
    <row r="87" spans="1:71" ht="15">
      <c r="A87" s="49" t="str">
        <f>CONCATENATE("# UNITS ACHIEVABLE BY YEAR FOR MEASURE - ",C88)</f>
        <v># UNITS ACHIEVABLE BY YEAR FOR MEASURE - Irrigation Hardware - Retro</v>
      </c>
      <c r="E87" s="57" t="s">
        <v>31</v>
      </c>
      <c r="F87"/>
    </row>
    <row r="88" spans="1:71" ht="15">
      <c r="C88" s="57" t="str">
        <f>C30</f>
        <v>Irrigation Hardware - Retro</v>
      </c>
      <c r="E88" s="61">
        <f>VLOOKUP($C$88,[2]ACHIEV!$B$17:$X$111,MATCH(E$11,$E$11:$Y$11,0)+2,FALSE)</f>
        <v>0.10937459468255628</v>
      </c>
      <c r="F88" s="61">
        <f>VLOOKUP($C$88,[2]ACHIEV!$B$17:$X$111,MATCH(F$11,$E$11:$Y$11,0)+2,FALSE)</f>
        <v>0.10937459468255628</v>
      </c>
      <c r="G88" s="61">
        <f>VLOOKUP($C$88,[2]ACHIEV!$B$17:$X$111,MATCH(G$11,$E$11:$Y$11,0)+2,FALSE)</f>
        <v>0.10937459468255628</v>
      </c>
      <c r="H88" s="61">
        <f>VLOOKUP($C$88,[2]ACHIEV!$B$17:$X$111,MATCH(H$11,$E$11:$Y$11,0)+2,FALSE)</f>
        <v>0.10937459468255628</v>
      </c>
      <c r="I88" s="61">
        <f>VLOOKUP($C$88,[2]ACHIEV!$B$17:$X$111,MATCH(I$11,$E$11:$Y$11,0)+2,FALSE)</f>
        <v>0.10937459468255628</v>
      </c>
      <c r="J88" s="61">
        <f>VLOOKUP($C$88,[2]ACHIEV!$B$17:$X$111,MATCH(J$11,$E$11:$Y$11,0)+2,FALSE)</f>
        <v>9.8437135214300656E-2</v>
      </c>
      <c r="K88" s="61">
        <f>VLOOKUP($C$88,[2]ACHIEV!$B$17:$X$111,MATCH(K$11,$E$11:$Y$11,0)+2,FALSE)</f>
        <v>7.874970817144053E-2</v>
      </c>
      <c r="L88" s="61">
        <f>VLOOKUP($C$88,[2]ACHIEV!$B$17:$X$111,MATCH(L$11,$E$11:$Y$11,0)+2,FALSE)</f>
        <v>6.2999766537152418E-2</v>
      </c>
      <c r="M88" s="61">
        <f>VLOOKUP($C$88,[2]ACHIEV!$B$17:$X$111,MATCH(M$11,$E$11:$Y$11,0)+2,FALSE)</f>
        <v>5.0399813229721938E-2</v>
      </c>
      <c r="N88" s="61">
        <f>VLOOKUP($C$88,[2]ACHIEV!$B$17:$X$111,MATCH(N$11,$E$11:$Y$11,0)+2,FALSE)</f>
        <v>4.0319850583777551E-2</v>
      </c>
      <c r="O88" s="61">
        <f>VLOOKUP($C$88,[2]ACHIEV!$B$17:$X$111,MATCH(O$11,$E$11:$Y$11,0)+2,FALSE)</f>
        <v>3.225588046702204E-2</v>
      </c>
      <c r="P88" s="61">
        <f>VLOOKUP($C$88,[2]ACHIEV!$B$17:$X$111,MATCH(P$11,$E$11:$Y$11,0)+2,FALSE)</f>
        <v>2.5804704373617631E-2</v>
      </c>
      <c r="Q88" s="61">
        <f>VLOOKUP($C$88,[2]ACHIEV!$B$17:$X$111,MATCH(Q$11,$E$11:$Y$11,0)+2,FALSE)</f>
        <v>2.0643763498894106E-2</v>
      </c>
      <c r="R88" s="61">
        <f>VLOOKUP($C$88,[2]ACHIEV!$B$17:$X$111,MATCH(R$11,$E$11:$Y$11,0)+2,FALSE)</f>
        <v>1.6515010799115284E-2</v>
      </c>
      <c r="S88" s="61">
        <f>VLOOKUP($C$88,[2]ACHIEV!$B$17:$X$111,MATCH(S$11,$E$11:$Y$11,0)+2,FALSE)</f>
        <v>1.3212008639292228E-2</v>
      </c>
      <c r="T88" s="61">
        <f>VLOOKUP($C$88,[2]ACHIEV!$B$17:$X$111,MATCH(T$11,$E$11:$Y$11,0)+2,FALSE)</f>
        <v>1.0569606911433781E-2</v>
      </c>
      <c r="U88" s="61">
        <f>VLOOKUP($C$88,[2]ACHIEV!$B$17:$X$111,MATCH(U$11,$E$11:$Y$11,0)+2,FALSE)</f>
        <v>7.2092823794611682E-5</v>
      </c>
      <c r="V88" s="61">
        <f>VLOOKUP($C$88,[2]ACHIEV!$B$17:$X$111,MATCH(V$11,$E$11:$Y$11,0)+2,FALSE)</f>
        <v>2.5747437069512102E-5</v>
      </c>
      <c r="W88" s="61">
        <f>VLOOKUP($C$88,[2]ACHIEV!$B$17:$X$111,MATCH(W$11,$E$11:$Y$11,0)+2,FALSE)</f>
        <v>8.7775353646568632E-6</v>
      </c>
      <c r="X88" s="61">
        <f>VLOOKUP($C$88,[2]ACHIEV!$B$17:$X$111,MATCH(X$11,$E$11:$Y$11,0)+2,FALSE)</f>
        <v>2.8622397928446119E-6</v>
      </c>
      <c r="Y88" s="61"/>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row>
    <row r="89" spans="1:71">
      <c r="B89" s="7" t="str">
        <f>C89&amp;D89</f>
        <v>Wheel/hand line systems: Replace worn nozzle with new flow controlling type nozzle for impact sprinklers Idaho</v>
      </c>
      <c r="C89" s="7" t="s">
        <v>1290</v>
      </c>
      <c r="D89" s="7" t="str">
        <f t="shared" ref="D89:D114" si="5">D31</f>
        <v>Idaho</v>
      </c>
      <c r="E89" s="32">
        <f>E31*E$88*$AA$29</f>
        <v>8219.5737979360565</v>
      </c>
      <c r="F89" s="32">
        <f t="shared" ref="F89:X89" si="6">F31*F$88*$AA$29</f>
        <v>8220.6015816806976</v>
      </c>
      <c r="G89" s="32">
        <f t="shared" si="6"/>
        <v>8222.0299835069218</v>
      </c>
      <c r="H89" s="32">
        <f t="shared" si="6"/>
        <v>8227.0627643421103</v>
      </c>
      <c r="I89" s="32">
        <f t="shared" si="6"/>
        <v>8234.3130680479226</v>
      </c>
      <c r="J89" s="32">
        <f t="shared" si="6"/>
        <v>7419.1834103705705</v>
      </c>
      <c r="K89" s="32">
        <f t="shared" si="6"/>
        <v>5942.8952235395527</v>
      </c>
      <c r="L89" s="32">
        <f t="shared" si="6"/>
        <v>4761.1646013244936</v>
      </c>
      <c r="M89" s="32">
        <f t="shared" si="6"/>
        <v>3814.9781301905346</v>
      </c>
      <c r="N89" s="32">
        <f t="shared" si="6"/>
        <v>3057.2333290987785</v>
      </c>
      <c r="O89" s="32">
        <f t="shared" si="6"/>
        <v>2450.2597747464024</v>
      </c>
      <c r="P89" s="32">
        <f t="shared" si="6"/>
        <v>1964.0062202904628</v>
      </c>
      <c r="Q89" s="32">
        <f t="shared" si="6"/>
        <v>1574.3970549654439</v>
      </c>
      <c r="R89" s="32">
        <f t="shared" si="6"/>
        <v>1262.1979976582186</v>
      </c>
      <c r="S89" s="32">
        <f t="shared" si="6"/>
        <v>1011.9926473930313</v>
      </c>
      <c r="T89" s="32">
        <f t="shared" si="6"/>
        <v>811.42203776343388</v>
      </c>
      <c r="U89" s="32">
        <f t="shared" si="6"/>
        <v>5.547506984896744</v>
      </c>
      <c r="V89" s="32">
        <f t="shared" si="6"/>
        <v>1.9860361633913939</v>
      </c>
      <c r="W89" s="32">
        <f t="shared" si="6"/>
        <v>0.67874015741098215</v>
      </c>
      <c r="X89" s="32">
        <f t="shared" si="6"/>
        <v>0.22188924924277176</v>
      </c>
      <c r="Y89" s="32"/>
      <c r="AA89" s="32">
        <f>SUM(E89:X89)</f>
        <v>75201.745795409559</v>
      </c>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row>
    <row r="90" spans="1:71">
      <c r="B90" s="7" t="str">
        <f t="shared" ref="B90:B140" si="7">C90&amp;D90</f>
        <v>Wheel/hand line systems: Replace worn nozzle with new nozzle Idaho</v>
      </c>
      <c r="C90" s="7" t="s">
        <v>1292</v>
      </c>
      <c r="D90" s="7" t="str">
        <f t="shared" si="5"/>
        <v>Idaho</v>
      </c>
      <c r="E90" s="32">
        <f t="shared" ref="E90:X90" si="8">E32*E$88*$AA$29</f>
        <v>8219.5737979360565</v>
      </c>
      <c r="F90" s="32">
        <f t="shared" si="8"/>
        <v>8220.6015816806976</v>
      </c>
      <c r="G90" s="32">
        <f t="shared" si="8"/>
        <v>8222.0299835069218</v>
      </c>
      <c r="H90" s="32">
        <f t="shared" si="8"/>
        <v>8227.0627643421103</v>
      </c>
      <c r="I90" s="32">
        <f t="shared" si="8"/>
        <v>8234.3130680479226</v>
      </c>
      <c r="J90" s="32">
        <f t="shared" si="8"/>
        <v>7419.1834103705705</v>
      </c>
      <c r="K90" s="32">
        <f t="shared" si="8"/>
        <v>5942.8952235395527</v>
      </c>
      <c r="L90" s="32">
        <f t="shared" si="8"/>
        <v>4761.1646013244936</v>
      </c>
      <c r="M90" s="32">
        <f t="shared" si="8"/>
        <v>3814.9781301905346</v>
      </c>
      <c r="N90" s="32">
        <f t="shared" si="8"/>
        <v>3057.2333290987785</v>
      </c>
      <c r="O90" s="32">
        <f t="shared" si="8"/>
        <v>2450.2597747464024</v>
      </c>
      <c r="P90" s="32">
        <f t="shared" si="8"/>
        <v>1964.0062202904628</v>
      </c>
      <c r="Q90" s="32">
        <f t="shared" si="8"/>
        <v>1574.3970549654439</v>
      </c>
      <c r="R90" s="32">
        <f t="shared" si="8"/>
        <v>1262.1979976582186</v>
      </c>
      <c r="S90" s="32">
        <f t="shared" si="8"/>
        <v>1011.9926473930313</v>
      </c>
      <c r="T90" s="32">
        <f t="shared" si="8"/>
        <v>811.42203776343388</v>
      </c>
      <c r="U90" s="32">
        <f t="shared" si="8"/>
        <v>5.547506984896744</v>
      </c>
      <c r="V90" s="32">
        <f t="shared" si="8"/>
        <v>1.9860361633913939</v>
      </c>
      <c r="W90" s="32">
        <f t="shared" si="8"/>
        <v>0.67874015741098215</v>
      </c>
      <c r="X90" s="32">
        <f t="shared" si="8"/>
        <v>0.22188924924277176</v>
      </c>
      <c r="Y90" s="32"/>
      <c r="AA90" s="32">
        <f t="shared" ref="AA90:AA92" si="9">SUM(E90:X90)</f>
        <v>75201.745795409559</v>
      </c>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row>
    <row r="91" spans="1:71">
      <c r="B91" s="7" t="str">
        <f t="shared" si="7"/>
        <v>Wheel/hand line systems: Rebuild or replace leaking impact sprinkler with new or rebuilt impact sprinkler Idaho</v>
      </c>
      <c r="C91" s="7" t="s">
        <v>1294</v>
      </c>
      <c r="D91" s="7" t="str">
        <f t="shared" si="5"/>
        <v>Idaho</v>
      </c>
      <c r="E91" s="32">
        <f t="shared" ref="E91:X91" si="10">E33*E$88*$AA$29</f>
        <v>16439.147595872113</v>
      </c>
      <c r="F91" s="32">
        <f t="shared" si="10"/>
        <v>16441.203163361395</v>
      </c>
      <c r="G91" s="32">
        <f t="shared" si="10"/>
        <v>16444.059967013844</v>
      </c>
      <c r="H91" s="32">
        <f t="shared" si="10"/>
        <v>16454.125528684221</v>
      </c>
      <c r="I91" s="32">
        <f t="shared" si="10"/>
        <v>16468.626136095845</v>
      </c>
      <c r="J91" s="32">
        <f t="shared" si="10"/>
        <v>14838.366820741141</v>
      </c>
      <c r="K91" s="32">
        <f t="shared" si="10"/>
        <v>11885.790447079105</v>
      </c>
      <c r="L91" s="32">
        <f t="shared" si="10"/>
        <v>9522.3292026489871</v>
      </c>
      <c r="M91" s="32">
        <f t="shared" si="10"/>
        <v>7629.9562603810691</v>
      </c>
      <c r="N91" s="32">
        <f t="shared" si="10"/>
        <v>6114.4666581975571</v>
      </c>
      <c r="O91" s="32">
        <f t="shared" si="10"/>
        <v>4900.5195494928048</v>
      </c>
      <c r="P91" s="32">
        <f t="shared" si="10"/>
        <v>3928.0124405809256</v>
      </c>
      <c r="Q91" s="32">
        <f t="shared" si="10"/>
        <v>3148.7941099308878</v>
      </c>
      <c r="R91" s="32">
        <f t="shared" si="10"/>
        <v>2524.3959953164372</v>
      </c>
      <c r="S91" s="32">
        <f t="shared" si="10"/>
        <v>2023.9852947860627</v>
      </c>
      <c r="T91" s="32">
        <f t="shared" si="10"/>
        <v>1622.8440755268678</v>
      </c>
      <c r="U91" s="32">
        <f t="shared" si="10"/>
        <v>11.095013969793488</v>
      </c>
      <c r="V91" s="32">
        <f t="shared" si="10"/>
        <v>3.9720723267827878</v>
      </c>
      <c r="W91" s="32">
        <f t="shared" si="10"/>
        <v>1.3574803148219643</v>
      </c>
      <c r="X91" s="32">
        <f t="shared" si="10"/>
        <v>0.44377849848554352</v>
      </c>
      <c r="Y91" s="32"/>
      <c r="AA91" s="32">
        <f>SUM(E91:X91)</f>
        <v>150403.49159081912</v>
      </c>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row>
    <row r="92" spans="1:71">
      <c r="B92" s="7" t="str">
        <f t="shared" si="7"/>
        <v>Wheel/hand line systems: Replace leaking gasket with new gasket Idaho</v>
      </c>
      <c r="C92" s="7" t="s">
        <v>1296</v>
      </c>
      <c r="D92" s="7" t="str">
        <f t="shared" si="5"/>
        <v>Idaho</v>
      </c>
      <c r="E92" s="32">
        <f t="shared" ref="E92:X92" si="11">E34*E$88*$AA$29</f>
        <v>16439.147595872113</v>
      </c>
      <c r="F92" s="32">
        <f t="shared" si="11"/>
        <v>16441.203163361395</v>
      </c>
      <c r="G92" s="32">
        <f t="shared" si="11"/>
        <v>16444.059967013844</v>
      </c>
      <c r="H92" s="32">
        <f t="shared" si="11"/>
        <v>16454.125528684221</v>
      </c>
      <c r="I92" s="32">
        <f t="shared" si="11"/>
        <v>16468.626136095845</v>
      </c>
      <c r="J92" s="32">
        <f t="shared" si="11"/>
        <v>14838.366820741141</v>
      </c>
      <c r="K92" s="32">
        <f t="shared" si="11"/>
        <v>11885.790447079105</v>
      </c>
      <c r="L92" s="32">
        <f t="shared" si="11"/>
        <v>9522.3292026489871</v>
      </c>
      <c r="M92" s="32">
        <f t="shared" si="11"/>
        <v>7629.9562603810691</v>
      </c>
      <c r="N92" s="32">
        <f t="shared" si="11"/>
        <v>6114.4666581975571</v>
      </c>
      <c r="O92" s="32">
        <f t="shared" si="11"/>
        <v>4900.5195494928048</v>
      </c>
      <c r="P92" s="32">
        <f t="shared" si="11"/>
        <v>3928.0124405809256</v>
      </c>
      <c r="Q92" s="32">
        <f t="shared" si="11"/>
        <v>3148.7941099308878</v>
      </c>
      <c r="R92" s="32">
        <f t="shared" si="11"/>
        <v>2524.3959953164372</v>
      </c>
      <c r="S92" s="32">
        <f t="shared" si="11"/>
        <v>2023.9852947860627</v>
      </c>
      <c r="T92" s="32">
        <f t="shared" si="11"/>
        <v>1622.8440755268678</v>
      </c>
      <c r="U92" s="32">
        <f t="shared" si="11"/>
        <v>11.095013969793488</v>
      </c>
      <c r="V92" s="32">
        <f t="shared" si="11"/>
        <v>3.9720723267827878</v>
      </c>
      <c r="W92" s="32">
        <f t="shared" si="11"/>
        <v>1.3574803148219643</v>
      </c>
      <c r="X92" s="32">
        <f t="shared" si="11"/>
        <v>0.44377849848554352</v>
      </c>
      <c r="Y92" s="32"/>
      <c r="AA92" s="32">
        <f t="shared" si="9"/>
        <v>150403.49159081912</v>
      </c>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row>
    <row r="93" spans="1:71">
      <c r="B93" s="7" t="str">
        <f t="shared" si="7"/>
        <v>Wheel/hand line systems: Replace leaking drain with new drain Idaho</v>
      </c>
      <c r="C93" s="7" t="s">
        <v>1298</v>
      </c>
      <c r="D93" s="7" t="str">
        <f t="shared" si="5"/>
        <v>Idaho</v>
      </c>
      <c r="E93" s="32">
        <f t="shared" ref="E93:X93" si="12">E35*E$88*$AA$29</f>
        <v>16439.147595872113</v>
      </c>
      <c r="F93" s="32">
        <f t="shared" si="12"/>
        <v>16441.203163361395</v>
      </c>
      <c r="G93" s="32">
        <f t="shared" si="12"/>
        <v>16444.059967013844</v>
      </c>
      <c r="H93" s="32">
        <f t="shared" si="12"/>
        <v>16454.125528684221</v>
      </c>
      <c r="I93" s="32">
        <f t="shared" si="12"/>
        <v>16468.626136095845</v>
      </c>
      <c r="J93" s="32">
        <f t="shared" si="12"/>
        <v>14838.366820741141</v>
      </c>
      <c r="K93" s="32">
        <f t="shared" si="12"/>
        <v>11885.790447079105</v>
      </c>
      <c r="L93" s="32">
        <f t="shared" si="12"/>
        <v>9522.3292026489871</v>
      </c>
      <c r="M93" s="32">
        <f t="shared" si="12"/>
        <v>7629.9562603810691</v>
      </c>
      <c r="N93" s="32">
        <f t="shared" si="12"/>
        <v>6114.4666581975571</v>
      </c>
      <c r="O93" s="32">
        <f t="shared" si="12"/>
        <v>4900.5195494928048</v>
      </c>
      <c r="P93" s="32">
        <f t="shared" si="12"/>
        <v>3928.0124405809256</v>
      </c>
      <c r="Q93" s="32">
        <f t="shared" si="12"/>
        <v>3148.7941099308878</v>
      </c>
      <c r="R93" s="32">
        <f t="shared" si="12"/>
        <v>2524.3959953164372</v>
      </c>
      <c r="S93" s="32">
        <f t="shared" si="12"/>
        <v>2023.9852947860627</v>
      </c>
      <c r="T93" s="32">
        <f t="shared" si="12"/>
        <v>1622.8440755268678</v>
      </c>
      <c r="U93" s="32">
        <f t="shared" si="12"/>
        <v>11.095013969793488</v>
      </c>
      <c r="V93" s="32">
        <f t="shared" si="12"/>
        <v>3.9720723267827878</v>
      </c>
      <c r="W93" s="32">
        <f t="shared" si="12"/>
        <v>1.3574803148219643</v>
      </c>
      <c r="X93" s="32">
        <f t="shared" si="12"/>
        <v>0.44377849848554352</v>
      </c>
      <c r="Y93" s="32"/>
      <c r="AA93" s="32">
        <f>SUM(E93:X93)</f>
        <v>150403.49159081912</v>
      </c>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row>
    <row r="94" spans="1:71">
      <c r="B94" s="7" t="str">
        <f t="shared" si="7"/>
        <v>Wheel/hand line systems: Cut and pipe press repair of leaking hand-lines, wheel-lines, and portable main-lines Idaho</v>
      </c>
      <c r="C94" s="7" t="s">
        <v>1300</v>
      </c>
      <c r="D94" s="7" t="str">
        <f t="shared" si="5"/>
        <v>Idaho</v>
      </c>
      <c r="E94" s="32">
        <f t="shared" ref="E94:X94" si="13">E36*E$88*$AA$29</f>
        <v>16439.147595872113</v>
      </c>
      <c r="F94" s="32">
        <f t="shared" si="13"/>
        <v>16441.203163361395</v>
      </c>
      <c r="G94" s="32">
        <f t="shared" si="13"/>
        <v>16444.059967013844</v>
      </c>
      <c r="H94" s="32">
        <f t="shared" si="13"/>
        <v>16454.125528684221</v>
      </c>
      <c r="I94" s="32">
        <f t="shared" si="13"/>
        <v>16468.626136095845</v>
      </c>
      <c r="J94" s="32">
        <f t="shared" si="13"/>
        <v>14838.366820741141</v>
      </c>
      <c r="K94" s="32">
        <f t="shared" si="13"/>
        <v>11885.790447079105</v>
      </c>
      <c r="L94" s="32">
        <f t="shared" si="13"/>
        <v>9522.3292026489871</v>
      </c>
      <c r="M94" s="32">
        <f t="shared" si="13"/>
        <v>7629.9562603810691</v>
      </c>
      <c r="N94" s="32">
        <f t="shared" si="13"/>
        <v>6114.4666581975571</v>
      </c>
      <c r="O94" s="32">
        <f t="shared" si="13"/>
        <v>4900.5195494928048</v>
      </c>
      <c r="P94" s="32">
        <f t="shared" si="13"/>
        <v>3928.0124405809256</v>
      </c>
      <c r="Q94" s="32">
        <f t="shared" si="13"/>
        <v>3148.7941099308878</v>
      </c>
      <c r="R94" s="32">
        <f t="shared" si="13"/>
        <v>2524.3959953164372</v>
      </c>
      <c r="S94" s="32">
        <f t="shared" si="13"/>
        <v>2023.9852947860627</v>
      </c>
      <c r="T94" s="32">
        <f t="shared" si="13"/>
        <v>1622.8440755268678</v>
      </c>
      <c r="U94" s="32">
        <f t="shared" si="13"/>
        <v>11.095013969793488</v>
      </c>
      <c r="V94" s="32">
        <f t="shared" si="13"/>
        <v>3.9720723267827878</v>
      </c>
      <c r="W94" s="32">
        <f t="shared" si="13"/>
        <v>1.3574803148219643</v>
      </c>
      <c r="X94" s="32">
        <f t="shared" si="13"/>
        <v>0.44377849848554352</v>
      </c>
      <c r="Y94" s="32"/>
      <c r="AA94" s="32">
        <f t="shared" ref="AA94:AA96" si="14">SUM(E94:X94)</f>
        <v>150403.49159081912</v>
      </c>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row>
    <row r="95" spans="1:71">
      <c r="B95" s="7" t="str">
        <f t="shared" si="7"/>
        <v>Thunderbird wheel line systems: Replace leaking hub with new hub Idaho</v>
      </c>
      <c r="C95" s="7" t="s">
        <v>1302</v>
      </c>
      <c r="D95" s="7" t="str">
        <f t="shared" si="5"/>
        <v>Idaho</v>
      </c>
      <c r="E95" s="32">
        <f t="shared" ref="E95:X95" si="15">E37*E$88*$AA$29</f>
        <v>3480.5139770045193</v>
      </c>
      <c r="F95" s="32">
        <f t="shared" si="15"/>
        <v>3480.9491839600737</v>
      </c>
      <c r="G95" s="32">
        <f t="shared" si="15"/>
        <v>3481.5540294962507</v>
      </c>
      <c r="H95" s="32">
        <f t="shared" si="15"/>
        <v>3483.6851210188388</v>
      </c>
      <c r="I95" s="32">
        <f t="shared" si="15"/>
        <v>3486.7552051869434</v>
      </c>
      <c r="J95" s="32">
        <f t="shared" si="15"/>
        <v>3141.5949527990001</v>
      </c>
      <c r="K95" s="32">
        <f t="shared" si="15"/>
        <v>2516.4723132720901</v>
      </c>
      <c r="L95" s="32">
        <f t="shared" si="15"/>
        <v>2016.0777613420926</v>
      </c>
      <c r="M95" s="32">
        <f t="shared" si="15"/>
        <v>1615.4225304758334</v>
      </c>
      <c r="N95" s="32">
        <f t="shared" si="15"/>
        <v>1294.5614449698421</v>
      </c>
      <c r="O95" s="32">
        <f t="shared" si="15"/>
        <v>1037.5432598997077</v>
      </c>
      <c r="P95" s="32">
        <f t="shared" si="15"/>
        <v>831.64301078010101</v>
      </c>
      <c r="Q95" s="32">
        <f t="shared" si="15"/>
        <v>666.66606929643228</v>
      </c>
      <c r="R95" s="32">
        <f t="shared" si="15"/>
        <v>534.46783015679682</v>
      </c>
      <c r="S95" s="32">
        <f t="shared" si="15"/>
        <v>428.52033943191708</v>
      </c>
      <c r="T95" s="32">
        <f t="shared" si="15"/>
        <v>343.59028985107119</v>
      </c>
      <c r="U95" s="32">
        <f t="shared" si="15"/>
        <v>2.349048268574657</v>
      </c>
      <c r="V95" s="32">
        <f t="shared" si="15"/>
        <v>0.84097141718660551</v>
      </c>
      <c r="W95" s="32">
        <f t="shared" si="15"/>
        <v>0.2874071895572447</v>
      </c>
      <c r="X95" s="32">
        <f t="shared" si="15"/>
        <v>9.395726011127592E-2</v>
      </c>
      <c r="Y95" s="32"/>
      <c r="AA95" s="32">
        <f t="shared" si="14"/>
        <v>31843.588703076945</v>
      </c>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row>
    <row r="96" spans="1:71">
      <c r="B96" s="7" t="str">
        <f t="shared" si="7"/>
        <v>Wheel line systems: Rebuild or replace leaking or malfunctioning leveler with new or rebuilt leveler. Idaho</v>
      </c>
      <c r="C96" s="7" t="s">
        <v>1304</v>
      </c>
      <c r="D96" s="7" t="str">
        <f t="shared" si="5"/>
        <v>Idaho</v>
      </c>
      <c r="E96" s="32">
        <f t="shared" ref="E96:X96" si="16">E38*E$88*$AA$29</f>
        <v>3480.5139770045193</v>
      </c>
      <c r="F96" s="32">
        <f t="shared" si="16"/>
        <v>3480.9491839600737</v>
      </c>
      <c r="G96" s="32">
        <f t="shared" si="16"/>
        <v>3481.5540294962507</v>
      </c>
      <c r="H96" s="32">
        <f t="shared" si="16"/>
        <v>3483.6851210188388</v>
      </c>
      <c r="I96" s="32">
        <f t="shared" si="16"/>
        <v>3486.7552051869434</v>
      </c>
      <c r="J96" s="32">
        <f t="shared" si="16"/>
        <v>3141.5949527990001</v>
      </c>
      <c r="K96" s="32">
        <f t="shared" si="16"/>
        <v>2516.4723132720901</v>
      </c>
      <c r="L96" s="32">
        <f t="shared" si="16"/>
        <v>2016.0777613420926</v>
      </c>
      <c r="M96" s="32">
        <f t="shared" si="16"/>
        <v>1615.4225304758334</v>
      </c>
      <c r="N96" s="32">
        <f t="shared" si="16"/>
        <v>1294.5614449698421</v>
      </c>
      <c r="O96" s="32">
        <f t="shared" si="16"/>
        <v>1037.5432598997077</v>
      </c>
      <c r="P96" s="32">
        <f t="shared" si="16"/>
        <v>831.64301078010101</v>
      </c>
      <c r="Q96" s="32">
        <f t="shared" si="16"/>
        <v>666.66606929643228</v>
      </c>
      <c r="R96" s="32">
        <f t="shared" si="16"/>
        <v>534.46783015679682</v>
      </c>
      <c r="S96" s="32">
        <f t="shared" si="16"/>
        <v>428.52033943191708</v>
      </c>
      <c r="T96" s="32">
        <f t="shared" si="16"/>
        <v>343.59028985107119</v>
      </c>
      <c r="U96" s="32">
        <f t="shared" si="16"/>
        <v>2.349048268574657</v>
      </c>
      <c r="V96" s="32">
        <f t="shared" si="16"/>
        <v>0.84097141718660551</v>
      </c>
      <c r="W96" s="32">
        <f t="shared" si="16"/>
        <v>0.2874071895572447</v>
      </c>
      <c r="X96" s="32">
        <f t="shared" si="16"/>
        <v>9.395726011127592E-2</v>
      </c>
      <c r="Y96" s="32"/>
      <c r="AA96" s="32">
        <f t="shared" si="14"/>
        <v>31843.588703076945</v>
      </c>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row>
    <row r="97" spans="2:71">
      <c r="B97" s="7" t="str">
        <f t="shared" si="7"/>
        <v>Center pivot/linear move systems: Install new sprinkler package on an existing system. Idaho</v>
      </c>
      <c r="C97" s="7" t="s">
        <v>1306</v>
      </c>
      <c r="D97" s="7" t="str">
        <f t="shared" si="5"/>
        <v>Idaho</v>
      </c>
      <c r="E97" s="32">
        <f t="shared" ref="E97:X97" si="17">E39*E$88*$AA$29</f>
        <v>62184.400261839932</v>
      </c>
      <c r="F97" s="32">
        <f t="shared" si="17"/>
        <v>62192.175861564501</v>
      </c>
      <c r="G97" s="32">
        <f t="shared" si="17"/>
        <v>62202.982299109855</v>
      </c>
      <c r="H97" s="32">
        <f t="shared" si="17"/>
        <v>62241.057321681437</v>
      </c>
      <c r="I97" s="32">
        <f t="shared" si="17"/>
        <v>62295.908801666381</v>
      </c>
      <c r="J97" s="32">
        <f t="shared" si="17"/>
        <v>56129.123254825383</v>
      </c>
      <c r="K97" s="32">
        <f t="shared" si="17"/>
        <v>44960.406023431031</v>
      </c>
      <c r="L97" s="32">
        <f t="shared" si="17"/>
        <v>36020.135904809242</v>
      </c>
      <c r="M97" s="32">
        <f t="shared" si="17"/>
        <v>28861.852557063616</v>
      </c>
      <c r="N97" s="32">
        <f t="shared" si="17"/>
        <v>23129.206660113352</v>
      </c>
      <c r="O97" s="32">
        <f t="shared" si="17"/>
        <v>18537.206225531518</v>
      </c>
      <c r="P97" s="32">
        <f t="shared" si="17"/>
        <v>14858.501416454541</v>
      </c>
      <c r="Q97" s="32">
        <f t="shared" si="17"/>
        <v>11910.950499844246</v>
      </c>
      <c r="R97" s="32">
        <f t="shared" si="17"/>
        <v>9549.0383596020783</v>
      </c>
      <c r="S97" s="32">
        <f t="shared" si="17"/>
        <v>7656.133687044593</v>
      </c>
      <c r="T97" s="32">
        <f t="shared" si="17"/>
        <v>6138.7359026120266</v>
      </c>
      <c r="U97" s="32">
        <f t="shared" si="17"/>
        <v>41.969134079773561</v>
      </c>
      <c r="V97" s="32">
        <f t="shared" si="17"/>
        <v>15.025166846221444</v>
      </c>
      <c r="W97" s="32">
        <f t="shared" si="17"/>
        <v>5.1349438133674248</v>
      </c>
      <c r="X97" s="32">
        <f t="shared" si="17"/>
        <v>1.6786819156215107</v>
      </c>
      <c r="Y97" s="32"/>
      <c r="AA97" s="32">
        <f>SUM(E97:X97)</f>
        <v>568931.62296384864</v>
      </c>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row>
    <row r="98" spans="2:71">
      <c r="B98" s="7" t="str">
        <f t="shared" si="7"/>
        <v>Center pivot/linear move systems: New gooseneck elbows Idaho</v>
      </c>
      <c r="C98" s="7" t="s">
        <v>1308</v>
      </c>
      <c r="D98" s="7" t="str">
        <f t="shared" si="5"/>
        <v>Idaho</v>
      </c>
      <c r="E98" s="32">
        <f t="shared" ref="E98:X98" si="18">E40*E$88*$AA$29</f>
        <v>62184.400261839932</v>
      </c>
      <c r="F98" s="32">
        <f t="shared" si="18"/>
        <v>62192.175861564501</v>
      </c>
      <c r="G98" s="32">
        <f t="shared" si="18"/>
        <v>62202.982299109855</v>
      </c>
      <c r="H98" s="32">
        <f t="shared" si="18"/>
        <v>62241.057321681437</v>
      </c>
      <c r="I98" s="32">
        <f t="shared" si="18"/>
        <v>62295.908801666381</v>
      </c>
      <c r="J98" s="32">
        <f t="shared" si="18"/>
        <v>56129.123254825383</v>
      </c>
      <c r="K98" s="32">
        <f t="shared" si="18"/>
        <v>44960.406023431031</v>
      </c>
      <c r="L98" s="32">
        <f t="shared" si="18"/>
        <v>36020.135904809242</v>
      </c>
      <c r="M98" s="32">
        <f t="shared" si="18"/>
        <v>28861.852557063616</v>
      </c>
      <c r="N98" s="32">
        <f t="shared" si="18"/>
        <v>23129.206660113352</v>
      </c>
      <c r="O98" s="32">
        <f t="shared" si="18"/>
        <v>18537.206225531518</v>
      </c>
      <c r="P98" s="32">
        <f t="shared" si="18"/>
        <v>14858.501416454541</v>
      </c>
      <c r="Q98" s="32">
        <f t="shared" si="18"/>
        <v>11910.950499844246</v>
      </c>
      <c r="R98" s="32">
        <f t="shared" si="18"/>
        <v>9549.0383596020783</v>
      </c>
      <c r="S98" s="32">
        <f t="shared" si="18"/>
        <v>7656.133687044593</v>
      </c>
      <c r="T98" s="32">
        <f t="shared" si="18"/>
        <v>6138.7359026120266</v>
      </c>
      <c r="U98" s="32">
        <f t="shared" si="18"/>
        <v>41.969134079773561</v>
      </c>
      <c r="V98" s="32">
        <f t="shared" si="18"/>
        <v>15.025166846221444</v>
      </c>
      <c r="W98" s="32">
        <f t="shared" si="18"/>
        <v>5.1349438133674248</v>
      </c>
      <c r="X98" s="32">
        <f t="shared" si="18"/>
        <v>1.6786819156215107</v>
      </c>
      <c r="Y98" s="32"/>
      <c r="AA98" s="32">
        <f t="shared" ref="AA98:AA100" si="19">SUM(E98:X98)</f>
        <v>568931.62296384864</v>
      </c>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row>
    <row r="99" spans="2:71">
      <c r="B99" s="7" t="str">
        <f t="shared" si="7"/>
        <v>Center pivot/linear move systems: New drop tubes (3 feet minimum) Idaho</v>
      </c>
      <c r="C99" s="7" t="s">
        <v>1310</v>
      </c>
      <c r="D99" s="7" t="str">
        <f t="shared" si="5"/>
        <v>Idaho</v>
      </c>
      <c r="E99" s="32">
        <f t="shared" ref="E99:X99" si="20">E41*E$88*$AA$29</f>
        <v>62184.400261839932</v>
      </c>
      <c r="F99" s="32">
        <f t="shared" si="20"/>
        <v>62192.175861564501</v>
      </c>
      <c r="G99" s="32">
        <f t="shared" si="20"/>
        <v>62202.982299109855</v>
      </c>
      <c r="H99" s="32">
        <f t="shared" si="20"/>
        <v>62241.057321681437</v>
      </c>
      <c r="I99" s="32">
        <f t="shared" si="20"/>
        <v>62295.908801666381</v>
      </c>
      <c r="J99" s="32">
        <f t="shared" si="20"/>
        <v>56129.123254825383</v>
      </c>
      <c r="K99" s="32">
        <f t="shared" si="20"/>
        <v>44960.406023431031</v>
      </c>
      <c r="L99" s="32">
        <f t="shared" si="20"/>
        <v>36020.135904809242</v>
      </c>
      <c r="M99" s="32">
        <f t="shared" si="20"/>
        <v>28861.852557063616</v>
      </c>
      <c r="N99" s="32">
        <f t="shared" si="20"/>
        <v>23129.206660113352</v>
      </c>
      <c r="O99" s="32">
        <f t="shared" si="20"/>
        <v>18537.206225531518</v>
      </c>
      <c r="P99" s="32">
        <f t="shared" si="20"/>
        <v>14858.501416454541</v>
      </c>
      <c r="Q99" s="32">
        <f t="shared" si="20"/>
        <v>11910.950499844246</v>
      </c>
      <c r="R99" s="32">
        <f t="shared" si="20"/>
        <v>9549.0383596020783</v>
      </c>
      <c r="S99" s="32">
        <f t="shared" si="20"/>
        <v>7656.133687044593</v>
      </c>
      <c r="T99" s="32">
        <f t="shared" si="20"/>
        <v>6138.7359026120266</v>
      </c>
      <c r="U99" s="32">
        <f t="shared" si="20"/>
        <v>41.969134079773561</v>
      </c>
      <c r="V99" s="32">
        <f t="shared" si="20"/>
        <v>15.025166846221444</v>
      </c>
      <c r="W99" s="32">
        <f t="shared" si="20"/>
        <v>5.1349438133674248</v>
      </c>
      <c r="X99" s="32">
        <f t="shared" si="20"/>
        <v>1.6786819156215107</v>
      </c>
      <c r="Y99" s="32"/>
      <c r="AA99" s="32">
        <f t="shared" si="19"/>
        <v>568931.62296384864</v>
      </c>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row>
    <row r="100" spans="2:71">
      <c r="B100" s="7" t="str">
        <f t="shared" si="7"/>
        <v>Center pivot/linear move systems: Replace leaking pivot boot gasket with new pivot boot gasket Idaho</v>
      </c>
      <c r="C100" s="7" t="s">
        <v>1312</v>
      </c>
      <c r="D100" s="7" t="str">
        <f t="shared" si="5"/>
        <v>Idaho</v>
      </c>
      <c r="E100" s="32">
        <f t="shared" ref="E100:X100" si="21">E42*E$88*$AA$29</f>
        <v>62184.400261839932</v>
      </c>
      <c r="F100" s="32">
        <f t="shared" si="21"/>
        <v>62192.175861564501</v>
      </c>
      <c r="G100" s="32">
        <f t="shared" si="21"/>
        <v>62202.982299109855</v>
      </c>
      <c r="H100" s="32">
        <f t="shared" si="21"/>
        <v>62241.057321681437</v>
      </c>
      <c r="I100" s="32">
        <f t="shared" si="21"/>
        <v>62295.908801666381</v>
      </c>
      <c r="J100" s="32">
        <f t="shared" si="21"/>
        <v>56129.123254825383</v>
      </c>
      <c r="K100" s="32">
        <f t="shared" si="21"/>
        <v>44960.406023431031</v>
      </c>
      <c r="L100" s="32">
        <f t="shared" si="21"/>
        <v>36020.135904809242</v>
      </c>
      <c r="M100" s="32">
        <f t="shared" si="21"/>
        <v>28861.852557063616</v>
      </c>
      <c r="N100" s="32">
        <f t="shared" si="21"/>
        <v>23129.206660113352</v>
      </c>
      <c r="O100" s="32">
        <f t="shared" si="21"/>
        <v>18537.206225531518</v>
      </c>
      <c r="P100" s="32">
        <f t="shared" si="21"/>
        <v>14858.501416454541</v>
      </c>
      <c r="Q100" s="32">
        <f t="shared" si="21"/>
        <v>11910.950499844246</v>
      </c>
      <c r="R100" s="32">
        <f t="shared" si="21"/>
        <v>9549.0383596020783</v>
      </c>
      <c r="S100" s="32">
        <f t="shared" si="21"/>
        <v>7656.133687044593</v>
      </c>
      <c r="T100" s="32">
        <f t="shared" si="21"/>
        <v>6138.7359026120266</v>
      </c>
      <c r="U100" s="32">
        <f t="shared" si="21"/>
        <v>41.969134079773561</v>
      </c>
      <c r="V100" s="32">
        <f t="shared" si="21"/>
        <v>15.025166846221444</v>
      </c>
      <c r="W100" s="32">
        <f t="shared" si="21"/>
        <v>5.1349438133674248</v>
      </c>
      <c r="X100" s="32">
        <f t="shared" si="21"/>
        <v>1.6786819156215107</v>
      </c>
      <c r="Y100" s="32"/>
      <c r="AA100" s="32">
        <f t="shared" si="19"/>
        <v>568931.62296384864</v>
      </c>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row>
    <row r="101" spans="2:71">
      <c r="B101" s="7" t="str">
        <f t="shared" si="7"/>
        <v>Center pivot/linear move systems: Replace leaking tower gasket with new tower gasket Idaho</v>
      </c>
      <c r="C101" s="7" t="s">
        <v>1314</v>
      </c>
      <c r="D101" s="7" t="str">
        <f t="shared" si="5"/>
        <v>Idaho</v>
      </c>
      <c r="E101" s="32">
        <f t="shared" ref="E101:X101" si="22">E43*E$88*$AA$29</f>
        <v>62184.400261839932</v>
      </c>
      <c r="F101" s="32">
        <f t="shared" si="22"/>
        <v>62192.175861564501</v>
      </c>
      <c r="G101" s="32">
        <f t="shared" si="22"/>
        <v>62202.982299109855</v>
      </c>
      <c r="H101" s="32">
        <f t="shared" si="22"/>
        <v>62241.057321681437</v>
      </c>
      <c r="I101" s="32">
        <f t="shared" si="22"/>
        <v>62295.908801666381</v>
      </c>
      <c r="J101" s="32">
        <f t="shared" si="22"/>
        <v>56129.123254825383</v>
      </c>
      <c r="K101" s="32">
        <f t="shared" si="22"/>
        <v>44960.406023431031</v>
      </c>
      <c r="L101" s="32">
        <f t="shared" si="22"/>
        <v>36020.135904809242</v>
      </c>
      <c r="M101" s="32">
        <f t="shared" si="22"/>
        <v>28861.852557063616</v>
      </c>
      <c r="N101" s="32">
        <f t="shared" si="22"/>
        <v>23129.206660113352</v>
      </c>
      <c r="O101" s="32">
        <f t="shared" si="22"/>
        <v>18537.206225531518</v>
      </c>
      <c r="P101" s="32">
        <f t="shared" si="22"/>
        <v>14858.501416454541</v>
      </c>
      <c r="Q101" s="32">
        <f t="shared" si="22"/>
        <v>11910.950499844246</v>
      </c>
      <c r="R101" s="32">
        <f t="shared" si="22"/>
        <v>9549.0383596020783</v>
      </c>
      <c r="S101" s="32">
        <f t="shared" si="22"/>
        <v>7656.133687044593</v>
      </c>
      <c r="T101" s="32">
        <f t="shared" si="22"/>
        <v>6138.7359026120266</v>
      </c>
      <c r="U101" s="32">
        <f t="shared" si="22"/>
        <v>41.969134079773561</v>
      </c>
      <c r="V101" s="32">
        <f t="shared" si="22"/>
        <v>15.025166846221444</v>
      </c>
      <c r="W101" s="32">
        <f t="shared" si="22"/>
        <v>5.1349438133674248</v>
      </c>
      <c r="X101" s="32">
        <f t="shared" si="22"/>
        <v>1.6786819156215107</v>
      </c>
      <c r="Y101" s="32"/>
      <c r="AA101" s="32">
        <f>SUM(E101:X101)</f>
        <v>568931.62296384864</v>
      </c>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row>
    <row r="102" spans="2:71">
      <c r="B102" s="7" t="str">
        <f t="shared" si="7"/>
        <v>Wheel/hand line systems: Replace worn nozzle with new flow controlling type nozzle for impact sprinklers Montana</v>
      </c>
      <c r="C102" s="7" t="s">
        <v>1290</v>
      </c>
      <c r="D102" s="7" t="str">
        <f t="shared" si="5"/>
        <v>Montana</v>
      </c>
      <c r="E102" s="32">
        <f t="shared" ref="E102:X102" si="23">E44*E$88*$AA$29</f>
        <v>470.80629726923394</v>
      </c>
      <c r="F102" s="32">
        <f t="shared" si="23"/>
        <v>475.9137180583009</v>
      </c>
      <c r="G102" s="32">
        <f t="shared" si="23"/>
        <v>480.9549181406021</v>
      </c>
      <c r="H102" s="32">
        <f t="shared" si="23"/>
        <v>486.12629552127675</v>
      </c>
      <c r="I102" s="32">
        <f t="shared" si="23"/>
        <v>491.35628445454279</v>
      </c>
      <c r="J102" s="32">
        <f t="shared" si="23"/>
        <v>445.60662442088704</v>
      </c>
      <c r="K102" s="32">
        <f t="shared" si="23"/>
        <v>359.2135552806015</v>
      </c>
      <c r="L102" s="32">
        <f t="shared" si="23"/>
        <v>289.64784664609658</v>
      </c>
      <c r="M102" s="32">
        <f t="shared" si="23"/>
        <v>233.60583247970143</v>
      </c>
      <c r="N102" s="32">
        <f t="shared" si="23"/>
        <v>188.44165529023232</v>
      </c>
      <c r="O102" s="32">
        <f t="shared" si="23"/>
        <v>152.03040968140454</v>
      </c>
      <c r="P102" s="32">
        <f t="shared" si="23"/>
        <v>122.66955341298772</v>
      </c>
      <c r="Q102" s="32">
        <f t="shared" si="23"/>
        <v>98.988108126268642</v>
      </c>
      <c r="R102" s="32">
        <f t="shared" si="23"/>
        <v>79.884835027289455</v>
      </c>
      <c r="S102" s="32">
        <f t="shared" si="23"/>
        <v>64.471994709935743</v>
      </c>
      <c r="T102" s="32">
        <f t="shared" si="23"/>
        <v>52.033312536886307</v>
      </c>
      <c r="U102" s="32">
        <f t="shared" si="23"/>
        <v>0.35805909184328227</v>
      </c>
      <c r="V102" s="32">
        <f t="shared" si="23"/>
        <v>0.12901609564872041</v>
      </c>
      <c r="W102" s="32">
        <f t="shared" si="23"/>
        <v>4.4374728905516525E-2</v>
      </c>
      <c r="X102" s="32">
        <f t="shared" si="23"/>
        <v>1.4598825552803098E-2</v>
      </c>
      <c r="Y102" s="32"/>
      <c r="AA102" s="32">
        <f t="shared" ref="AA102:AA104" si="24">SUM(E102:X102)</f>
        <v>4492.2972897981972</v>
      </c>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row>
    <row r="103" spans="2:71">
      <c r="B103" s="7" t="str">
        <f t="shared" si="7"/>
        <v>Wheel/hand line systems: Replace worn nozzle with new nozzle Montana</v>
      </c>
      <c r="C103" s="7" t="s">
        <v>1292</v>
      </c>
      <c r="D103" s="7" t="str">
        <f t="shared" si="5"/>
        <v>Montana</v>
      </c>
      <c r="E103" s="32">
        <f t="shared" ref="E103:X103" si="25">E45*E$88*$AA$29</f>
        <v>470.80629726923394</v>
      </c>
      <c r="F103" s="32">
        <f t="shared" si="25"/>
        <v>475.9137180583009</v>
      </c>
      <c r="G103" s="32">
        <f t="shared" si="25"/>
        <v>480.9549181406021</v>
      </c>
      <c r="H103" s="32">
        <f t="shared" si="25"/>
        <v>486.12629552127675</v>
      </c>
      <c r="I103" s="32">
        <f t="shared" si="25"/>
        <v>491.35628445454279</v>
      </c>
      <c r="J103" s="32">
        <f t="shared" si="25"/>
        <v>445.60662442088704</v>
      </c>
      <c r="K103" s="32">
        <f t="shared" si="25"/>
        <v>359.2135552806015</v>
      </c>
      <c r="L103" s="32">
        <f t="shared" si="25"/>
        <v>289.64784664609658</v>
      </c>
      <c r="M103" s="32">
        <f t="shared" si="25"/>
        <v>233.60583247970143</v>
      </c>
      <c r="N103" s="32">
        <f t="shared" si="25"/>
        <v>188.44165529023232</v>
      </c>
      <c r="O103" s="32">
        <f t="shared" si="25"/>
        <v>152.03040968140454</v>
      </c>
      <c r="P103" s="32">
        <f t="shared" si="25"/>
        <v>122.66955341298772</v>
      </c>
      <c r="Q103" s="32">
        <f t="shared" si="25"/>
        <v>98.988108126268642</v>
      </c>
      <c r="R103" s="32">
        <f t="shared" si="25"/>
        <v>79.884835027289455</v>
      </c>
      <c r="S103" s="32">
        <f t="shared" si="25"/>
        <v>64.471994709935743</v>
      </c>
      <c r="T103" s="32">
        <f t="shared" si="25"/>
        <v>52.033312536886307</v>
      </c>
      <c r="U103" s="32">
        <f t="shared" si="25"/>
        <v>0.35805909184328227</v>
      </c>
      <c r="V103" s="32">
        <f t="shared" si="25"/>
        <v>0.12901609564872041</v>
      </c>
      <c r="W103" s="32">
        <f t="shared" si="25"/>
        <v>4.4374728905516525E-2</v>
      </c>
      <c r="X103" s="32">
        <f t="shared" si="25"/>
        <v>1.4598825552803098E-2</v>
      </c>
      <c r="Y103" s="32"/>
      <c r="AA103" s="32">
        <f t="shared" si="24"/>
        <v>4492.2972897981972</v>
      </c>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row>
    <row r="104" spans="2:71">
      <c r="B104" s="7" t="str">
        <f t="shared" si="7"/>
        <v>Wheel/hand line systems: Rebuild or replace leaking impact sprinkler with new or rebuilt impact sprinkler Montana</v>
      </c>
      <c r="C104" s="7" t="s">
        <v>1294</v>
      </c>
      <c r="D104" s="7" t="str">
        <f t="shared" si="5"/>
        <v>Montana</v>
      </c>
      <c r="E104" s="32">
        <f t="shared" ref="E104:X104" si="26">E46*E$88*$AA$29</f>
        <v>941.61259453846787</v>
      </c>
      <c r="F104" s="32">
        <f t="shared" si="26"/>
        <v>951.8274361166018</v>
      </c>
      <c r="G104" s="32">
        <f t="shared" si="26"/>
        <v>961.90983628120421</v>
      </c>
      <c r="H104" s="32">
        <f t="shared" si="26"/>
        <v>972.25259104255349</v>
      </c>
      <c r="I104" s="32">
        <f t="shared" si="26"/>
        <v>982.71256890908558</v>
      </c>
      <c r="J104" s="32">
        <f t="shared" si="26"/>
        <v>891.21324884177409</v>
      </c>
      <c r="K104" s="32">
        <f t="shared" si="26"/>
        <v>718.42711056120299</v>
      </c>
      <c r="L104" s="32">
        <f t="shared" si="26"/>
        <v>579.29569329219316</v>
      </c>
      <c r="M104" s="32">
        <f t="shared" si="26"/>
        <v>467.21166495940287</v>
      </c>
      <c r="N104" s="32">
        <f t="shared" si="26"/>
        <v>376.88331058046464</v>
      </c>
      <c r="O104" s="32">
        <f t="shared" si="26"/>
        <v>304.06081936280907</v>
      </c>
      <c r="P104" s="32">
        <f t="shared" si="26"/>
        <v>245.33910682597545</v>
      </c>
      <c r="Q104" s="32">
        <f t="shared" si="26"/>
        <v>197.97621625253728</v>
      </c>
      <c r="R104" s="32">
        <f t="shared" si="26"/>
        <v>159.76967005457891</v>
      </c>
      <c r="S104" s="32">
        <f t="shared" si="26"/>
        <v>128.94398941987149</v>
      </c>
      <c r="T104" s="32">
        <f t="shared" si="26"/>
        <v>104.06662507377261</v>
      </c>
      <c r="U104" s="32">
        <f t="shared" si="26"/>
        <v>0.71611818368656455</v>
      </c>
      <c r="V104" s="32">
        <f t="shared" si="26"/>
        <v>0.25803219129744082</v>
      </c>
      <c r="W104" s="32">
        <f t="shared" si="26"/>
        <v>8.874945781103305E-2</v>
      </c>
      <c r="X104" s="32">
        <f t="shared" si="26"/>
        <v>2.9197651105606195E-2</v>
      </c>
      <c r="Y104" s="32"/>
      <c r="AA104" s="32">
        <f t="shared" si="24"/>
        <v>8984.5945795963944</v>
      </c>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row>
    <row r="105" spans="2:71">
      <c r="B105" s="7" t="str">
        <f t="shared" si="7"/>
        <v>Wheel/hand line systems: Replace leaking gasket with new gasket Montana</v>
      </c>
      <c r="C105" s="7" t="s">
        <v>1296</v>
      </c>
      <c r="D105" s="7" t="str">
        <f t="shared" si="5"/>
        <v>Montana</v>
      </c>
      <c r="E105" s="32">
        <f t="shared" ref="E105:X105" si="27">E47*E$88*$AA$29</f>
        <v>941.61259453846787</v>
      </c>
      <c r="F105" s="32">
        <f t="shared" si="27"/>
        <v>951.8274361166018</v>
      </c>
      <c r="G105" s="32">
        <f t="shared" si="27"/>
        <v>961.90983628120421</v>
      </c>
      <c r="H105" s="32">
        <f t="shared" si="27"/>
        <v>972.25259104255349</v>
      </c>
      <c r="I105" s="32">
        <f t="shared" si="27"/>
        <v>982.71256890908558</v>
      </c>
      <c r="J105" s="32">
        <f t="shared" si="27"/>
        <v>891.21324884177409</v>
      </c>
      <c r="K105" s="32">
        <f t="shared" si="27"/>
        <v>718.42711056120299</v>
      </c>
      <c r="L105" s="32">
        <f t="shared" si="27"/>
        <v>579.29569329219316</v>
      </c>
      <c r="M105" s="32">
        <f t="shared" si="27"/>
        <v>467.21166495940287</v>
      </c>
      <c r="N105" s="32">
        <f t="shared" si="27"/>
        <v>376.88331058046464</v>
      </c>
      <c r="O105" s="32">
        <f t="shared" si="27"/>
        <v>304.06081936280907</v>
      </c>
      <c r="P105" s="32">
        <f t="shared" si="27"/>
        <v>245.33910682597545</v>
      </c>
      <c r="Q105" s="32">
        <f t="shared" si="27"/>
        <v>197.97621625253728</v>
      </c>
      <c r="R105" s="32">
        <f t="shared" si="27"/>
        <v>159.76967005457891</v>
      </c>
      <c r="S105" s="32">
        <f t="shared" si="27"/>
        <v>128.94398941987149</v>
      </c>
      <c r="T105" s="32">
        <f t="shared" si="27"/>
        <v>104.06662507377261</v>
      </c>
      <c r="U105" s="32">
        <f t="shared" si="27"/>
        <v>0.71611818368656455</v>
      </c>
      <c r="V105" s="32">
        <f t="shared" si="27"/>
        <v>0.25803219129744082</v>
      </c>
      <c r="W105" s="32">
        <f t="shared" si="27"/>
        <v>8.874945781103305E-2</v>
      </c>
      <c r="X105" s="32">
        <f t="shared" si="27"/>
        <v>2.9197651105606195E-2</v>
      </c>
      <c r="Y105" s="32"/>
      <c r="AA105" s="32">
        <f>SUM(E105:X105)</f>
        <v>8984.5945795963944</v>
      </c>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row>
    <row r="106" spans="2:71">
      <c r="B106" s="7" t="str">
        <f t="shared" si="7"/>
        <v>Wheel/hand line systems: Replace leaking drain with new drain Montana</v>
      </c>
      <c r="C106" s="7" t="s">
        <v>1298</v>
      </c>
      <c r="D106" s="7" t="str">
        <f t="shared" si="5"/>
        <v>Montana</v>
      </c>
      <c r="E106" s="32">
        <f t="shared" ref="E106:X106" si="28">E48*E$88*$AA$29</f>
        <v>941.61259453846787</v>
      </c>
      <c r="F106" s="32">
        <f t="shared" si="28"/>
        <v>951.8274361166018</v>
      </c>
      <c r="G106" s="32">
        <f t="shared" si="28"/>
        <v>961.90983628120421</v>
      </c>
      <c r="H106" s="32">
        <f t="shared" si="28"/>
        <v>972.25259104255349</v>
      </c>
      <c r="I106" s="32">
        <f t="shared" si="28"/>
        <v>982.71256890908558</v>
      </c>
      <c r="J106" s="32">
        <f t="shared" si="28"/>
        <v>891.21324884177409</v>
      </c>
      <c r="K106" s="32">
        <f t="shared" si="28"/>
        <v>718.42711056120299</v>
      </c>
      <c r="L106" s="32">
        <f t="shared" si="28"/>
        <v>579.29569329219316</v>
      </c>
      <c r="M106" s="32">
        <f t="shared" si="28"/>
        <v>467.21166495940287</v>
      </c>
      <c r="N106" s="32">
        <f t="shared" si="28"/>
        <v>376.88331058046464</v>
      </c>
      <c r="O106" s="32">
        <f t="shared" si="28"/>
        <v>304.06081936280907</v>
      </c>
      <c r="P106" s="32">
        <f t="shared" si="28"/>
        <v>245.33910682597545</v>
      </c>
      <c r="Q106" s="32">
        <f t="shared" si="28"/>
        <v>197.97621625253728</v>
      </c>
      <c r="R106" s="32">
        <f t="shared" si="28"/>
        <v>159.76967005457891</v>
      </c>
      <c r="S106" s="32">
        <f t="shared" si="28"/>
        <v>128.94398941987149</v>
      </c>
      <c r="T106" s="32">
        <f t="shared" si="28"/>
        <v>104.06662507377261</v>
      </c>
      <c r="U106" s="32">
        <f t="shared" si="28"/>
        <v>0.71611818368656455</v>
      </c>
      <c r="V106" s="32">
        <f t="shared" si="28"/>
        <v>0.25803219129744082</v>
      </c>
      <c r="W106" s="32">
        <f t="shared" si="28"/>
        <v>8.874945781103305E-2</v>
      </c>
      <c r="X106" s="32">
        <f t="shared" si="28"/>
        <v>2.9197651105606195E-2</v>
      </c>
      <c r="Y106" s="32"/>
      <c r="AA106" s="32">
        <f t="shared" ref="AA106:AA108" si="29">SUM(E106:X106)</f>
        <v>8984.5945795963944</v>
      </c>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row>
    <row r="107" spans="2:71">
      <c r="B107" s="7" t="str">
        <f t="shared" si="7"/>
        <v>Wheel/hand line systems: Cut and pipe press repair of leaking hand-lines, wheel-lines, and portable main-lines Montana</v>
      </c>
      <c r="C107" s="7" t="s">
        <v>1300</v>
      </c>
      <c r="D107" s="7" t="str">
        <f t="shared" si="5"/>
        <v>Montana</v>
      </c>
      <c r="E107" s="32">
        <f t="shared" ref="E107:X107" si="30">E49*E$88*$AA$29</f>
        <v>941.61259453846787</v>
      </c>
      <c r="F107" s="32">
        <f t="shared" si="30"/>
        <v>951.8274361166018</v>
      </c>
      <c r="G107" s="32">
        <f t="shared" si="30"/>
        <v>961.90983628120421</v>
      </c>
      <c r="H107" s="32">
        <f t="shared" si="30"/>
        <v>972.25259104255349</v>
      </c>
      <c r="I107" s="32">
        <f t="shared" si="30"/>
        <v>982.71256890908558</v>
      </c>
      <c r="J107" s="32">
        <f t="shared" si="30"/>
        <v>891.21324884177409</v>
      </c>
      <c r="K107" s="32">
        <f t="shared" si="30"/>
        <v>718.42711056120299</v>
      </c>
      <c r="L107" s="32">
        <f t="shared" si="30"/>
        <v>579.29569329219316</v>
      </c>
      <c r="M107" s="32">
        <f t="shared" si="30"/>
        <v>467.21166495940287</v>
      </c>
      <c r="N107" s="32">
        <f t="shared" si="30"/>
        <v>376.88331058046464</v>
      </c>
      <c r="O107" s="32">
        <f t="shared" si="30"/>
        <v>304.06081936280907</v>
      </c>
      <c r="P107" s="32">
        <f t="shared" si="30"/>
        <v>245.33910682597545</v>
      </c>
      <c r="Q107" s="32">
        <f t="shared" si="30"/>
        <v>197.97621625253728</v>
      </c>
      <c r="R107" s="32">
        <f t="shared" si="30"/>
        <v>159.76967005457891</v>
      </c>
      <c r="S107" s="32">
        <f t="shared" si="30"/>
        <v>128.94398941987149</v>
      </c>
      <c r="T107" s="32">
        <f t="shared" si="30"/>
        <v>104.06662507377261</v>
      </c>
      <c r="U107" s="32">
        <f t="shared" si="30"/>
        <v>0.71611818368656455</v>
      </c>
      <c r="V107" s="32">
        <f t="shared" si="30"/>
        <v>0.25803219129744082</v>
      </c>
      <c r="W107" s="32">
        <f t="shared" si="30"/>
        <v>8.874945781103305E-2</v>
      </c>
      <c r="X107" s="32">
        <f t="shared" si="30"/>
        <v>2.9197651105606195E-2</v>
      </c>
      <c r="Y107" s="32"/>
      <c r="AA107" s="32">
        <f t="shared" si="29"/>
        <v>8984.5945795963944</v>
      </c>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row>
    <row r="108" spans="2:71">
      <c r="B108" s="7" t="str">
        <f t="shared" si="7"/>
        <v>Thunderbird wheel line systems: Replace leaking hub with new hub Montana</v>
      </c>
      <c r="C108" s="7" t="s">
        <v>1302</v>
      </c>
      <c r="D108" s="7" t="str">
        <f t="shared" si="5"/>
        <v>Montana</v>
      </c>
      <c r="E108" s="32">
        <f t="shared" ref="E108:X108" si="31">E50*E$88*$AA$29</f>
        <v>70.880567911750902</v>
      </c>
      <c r="F108" s="32">
        <f t="shared" si="31"/>
        <v>71.649497486807832</v>
      </c>
      <c r="G108" s="32">
        <f t="shared" si="31"/>
        <v>72.40845743883655</v>
      </c>
      <c r="H108" s="32">
        <f t="shared" si="31"/>
        <v>73.187015771115156</v>
      </c>
      <c r="I108" s="32">
        <f t="shared" si="31"/>
        <v>73.974398157273157</v>
      </c>
      <c r="J108" s="32">
        <f t="shared" si="31"/>
        <v>67.086720775378126</v>
      </c>
      <c r="K108" s="32">
        <f t="shared" si="31"/>
        <v>54.08011946222539</v>
      </c>
      <c r="L108" s="32">
        <f t="shared" si="31"/>
        <v>43.606901572411658</v>
      </c>
      <c r="M108" s="32">
        <f t="shared" si="31"/>
        <v>35.169695413376587</v>
      </c>
      <c r="N108" s="32">
        <f t="shared" si="31"/>
        <v>28.370163319127954</v>
      </c>
      <c r="O108" s="32">
        <f t="shared" si="31"/>
        <v>22.888397713830447</v>
      </c>
      <c r="P108" s="32">
        <f t="shared" si="31"/>
        <v>18.468078404697302</v>
      </c>
      <c r="Q108" s="32">
        <f t="shared" si="31"/>
        <v>14.902802620091952</v>
      </c>
      <c r="R108" s="32">
        <f t="shared" si="31"/>
        <v>12.026777269363489</v>
      </c>
      <c r="S108" s="32">
        <f t="shared" si="31"/>
        <v>9.7063519030000744</v>
      </c>
      <c r="T108" s="32">
        <f t="shared" si="31"/>
        <v>7.8336903400317874</v>
      </c>
      <c r="U108" s="32">
        <f t="shared" si="31"/>
        <v>5.3906313324658513E-2</v>
      </c>
      <c r="V108" s="32">
        <f t="shared" si="31"/>
        <v>1.942355950287683E-2</v>
      </c>
      <c r="W108" s="32">
        <f t="shared" si="31"/>
        <v>6.6806795151134876E-3</v>
      </c>
      <c r="X108" s="32">
        <f t="shared" si="31"/>
        <v>2.1978742680995255E-3</v>
      </c>
      <c r="Y108" s="32"/>
      <c r="AA108" s="32">
        <f t="shared" si="29"/>
        <v>676.32184398592904</v>
      </c>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row>
    <row r="109" spans="2:71">
      <c r="B109" s="7" t="str">
        <f t="shared" si="7"/>
        <v>Wheel line systems: Rebuild or replace leaking or malfunctioning leveler with new or rebuilt leveler. Montana</v>
      </c>
      <c r="C109" s="7" t="s">
        <v>1304</v>
      </c>
      <c r="D109" s="7" t="str">
        <f t="shared" si="5"/>
        <v>Montana</v>
      </c>
      <c r="E109" s="32">
        <f t="shared" ref="E109:X109" si="32">E51*E$88*$AA$29</f>
        <v>70.880567911750902</v>
      </c>
      <c r="F109" s="32">
        <f t="shared" si="32"/>
        <v>71.649497486807832</v>
      </c>
      <c r="G109" s="32">
        <f t="shared" si="32"/>
        <v>72.40845743883655</v>
      </c>
      <c r="H109" s="32">
        <f t="shared" si="32"/>
        <v>73.187015771115156</v>
      </c>
      <c r="I109" s="32">
        <f t="shared" si="32"/>
        <v>73.974398157273157</v>
      </c>
      <c r="J109" s="32">
        <f t="shared" si="32"/>
        <v>67.086720775378126</v>
      </c>
      <c r="K109" s="32">
        <f t="shared" si="32"/>
        <v>54.08011946222539</v>
      </c>
      <c r="L109" s="32">
        <f t="shared" si="32"/>
        <v>43.606901572411658</v>
      </c>
      <c r="M109" s="32">
        <f t="shared" si="32"/>
        <v>35.169695413376587</v>
      </c>
      <c r="N109" s="32">
        <f t="shared" si="32"/>
        <v>28.370163319127954</v>
      </c>
      <c r="O109" s="32">
        <f t="shared" si="32"/>
        <v>22.888397713830447</v>
      </c>
      <c r="P109" s="32">
        <f t="shared" si="32"/>
        <v>18.468078404697302</v>
      </c>
      <c r="Q109" s="32">
        <f t="shared" si="32"/>
        <v>14.902802620091952</v>
      </c>
      <c r="R109" s="32">
        <f t="shared" si="32"/>
        <v>12.026777269363489</v>
      </c>
      <c r="S109" s="32">
        <f t="shared" si="32"/>
        <v>9.7063519030000744</v>
      </c>
      <c r="T109" s="32">
        <f t="shared" si="32"/>
        <v>7.8336903400317874</v>
      </c>
      <c r="U109" s="32">
        <f t="shared" si="32"/>
        <v>5.3906313324658513E-2</v>
      </c>
      <c r="V109" s="32">
        <f t="shared" si="32"/>
        <v>1.942355950287683E-2</v>
      </c>
      <c r="W109" s="32">
        <f t="shared" si="32"/>
        <v>6.6806795151134876E-3</v>
      </c>
      <c r="X109" s="32">
        <f t="shared" si="32"/>
        <v>2.1978742680995255E-3</v>
      </c>
      <c r="Y109" s="32"/>
      <c r="AA109" s="32">
        <f>SUM(E109:X109)</f>
        <v>676.32184398592904</v>
      </c>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row>
    <row r="110" spans="2:71">
      <c r="B110" s="7" t="str">
        <f t="shared" si="7"/>
        <v>Center pivot/linear move systems: Install new sprinkler package on an existing system. Montana</v>
      </c>
      <c r="C110" s="7" t="s">
        <v>1306</v>
      </c>
      <c r="D110" s="7" t="str">
        <f t="shared" si="5"/>
        <v>Montana</v>
      </c>
      <c r="E110" s="32">
        <f t="shared" ref="E110:X110" si="33">E52*E$88*$AA$29</f>
        <v>3001.0490824312024</v>
      </c>
      <c r="F110" s="32">
        <f t="shared" si="33"/>
        <v>3033.6051900311281</v>
      </c>
      <c r="G110" s="32">
        <f t="shared" si="33"/>
        <v>3065.7391885971879</v>
      </c>
      <c r="H110" s="32">
        <f t="shared" si="33"/>
        <v>3098.7029731370203</v>
      </c>
      <c r="I110" s="32">
        <f t="shared" si="33"/>
        <v>3132.0403638650969</v>
      </c>
      <c r="J110" s="32">
        <f t="shared" si="33"/>
        <v>2840.419423232207</v>
      </c>
      <c r="K110" s="32">
        <f t="shared" si="33"/>
        <v>2289.7261925433154</v>
      </c>
      <c r="L110" s="32">
        <f t="shared" si="33"/>
        <v>1846.2951949607345</v>
      </c>
      <c r="M110" s="32">
        <f t="shared" si="33"/>
        <v>1489.0679527442207</v>
      </c>
      <c r="N110" s="32">
        <f t="shared" si="33"/>
        <v>1201.1790411060931</v>
      </c>
      <c r="O110" s="32">
        <f t="shared" si="33"/>
        <v>969.0837274742496</v>
      </c>
      <c r="P110" s="32">
        <f t="shared" si="33"/>
        <v>781.92953842707482</v>
      </c>
      <c r="Q110" s="32">
        <f t="shared" si="33"/>
        <v>630.97748009529846</v>
      </c>
      <c r="R110" s="32">
        <f t="shared" si="33"/>
        <v>509.20795292956541</v>
      </c>
      <c r="S110" s="32">
        <f t="shared" si="33"/>
        <v>410.9622613142684</v>
      </c>
      <c r="T110" s="32">
        <f t="shared" si="33"/>
        <v>331.67467332192581</v>
      </c>
      <c r="U110" s="32">
        <f t="shared" si="33"/>
        <v>2.2823673244496585</v>
      </c>
      <c r="V110" s="32">
        <f t="shared" si="33"/>
        <v>0.82238414760207623</v>
      </c>
      <c r="W110" s="32">
        <f t="shared" si="33"/>
        <v>0.28285675072200467</v>
      </c>
      <c r="X110" s="32">
        <f t="shared" si="33"/>
        <v>9.3056937181872162E-2</v>
      </c>
      <c r="Y110" s="32"/>
      <c r="AA110" s="32">
        <f t="shared" ref="AA110:AA112" si="34">SUM(E110:X110)</f>
        <v>28635.140901370542</v>
      </c>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row>
    <row r="111" spans="2:71">
      <c r="B111" s="7" t="str">
        <f t="shared" si="7"/>
        <v>Center pivot/linear move systems: New gooseneck elbows Montana</v>
      </c>
      <c r="C111" s="7" t="s">
        <v>1308</v>
      </c>
      <c r="D111" s="7" t="str">
        <f t="shared" si="5"/>
        <v>Montana</v>
      </c>
      <c r="E111" s="32">
        <f t="shared" ref="E111:X111" si="35">E53*E$88*$AA$29</f>
        <v>3001.0490824312024</v>
      </c>
      <c r="F111" s="32">
        <f t="shared" si="35"/>
        <v>3033.6051900311281</v>
      </c>
      <c r="G111" s="32">
        <f t="shared" si="35"/>
        <v>3065.7391885971879</v>
      </c>
      <c r="H111" s="32">
        <f t="shared" si="35"/>
        <v>3098.7029731370203</v>
      </c>
      <c r="I111" s="32">
        <f t="shared" si="35"/>
        <v>3132.0403638650969</v>
      </c>
      <c r="J111" s="32">
        <f t="shared" si="35"/>
        <v>2840.419423232207</v>
      </c>
      <c r="K111" s="32">
        <f t="shared" si="35"/>
        <v>2289.7261925433154</v>
      </c>
      <c r="L111" s="32">
        <f t="shared" si="35"/>
        <v>1846.2951949607345</v>
      </c>
      <c r="M111" s="32">
        <f t="shared" si="35"/>
        <v>1489.0679527442207</v>
      </c>
      <c r="N111" s="32">
        <f t="shared" si="35"/>
        <v>1201.1790411060931</v>
      </c>
      <c r="O111" s="32">
        <f t="shared" si="35"/>
        <v>969.0837274742496</v>
      </c>
      <c r="P111" s="32">
        <f t="shared" si="35"/>
        <v>781.92953842707482</v>
      </c>
      <c r="Q111" s="32">
        <f t="shared" si="35"/>
        <v>630.97748009529846</v>
      </c>
      <c r="R111" s="32">
        <f t="shared" si="35"/>
        <v>509.20795292956541</v>
      </c>
      <c r="S111" s="32">
        <f t="shared" si="35"/>
        <v>410.9622613142684</v>
      </c>
      <c r="T111" s="32">
        <f t="shared" si="35"/>
        <v>331.67467332192581</v>
      </c>
      <c r="U111" s="32">
        <f t="shared" si="35"/>
        <v>2.2823673244496585</v>
      </c>
      <c r="V111" s="32">
        <f t="shared" si="35"/>
        <v>0.82238414760207623</v>
      </c>
      <c r="W111" s="32">
        <f t="shared" si="35"/>
        <v>0.28285675072200467</v>
      </c>
      <c r="X111" s="32">
        <f t="shared" si="35"/>
        <v>9.3056937181872162E-2</v>
      </c>
      <c r="Y111" s="32"/>
      <c r="AA111" s="32">
        <f t="shared" si="34"/>
        <v>28635.140901370542</v>
      </c>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row>
    <row r="112" spans="2:71">
      <c r="B112" s="7" t="str">
        <f t="shared" si="7"/>
        <v>Center pivot/linear move systems: New drop tubes (3 feet minimum) Montana</v>
      </c>
      <c r="C112" s="7" t="s">
        <v>1310</v>
      </c>
      <c r="D112" s="7" t="str">
        <f t="shared" si="5"/>
        <v>Montana</v>
      </c>
      <c r="E112" s="32">
        <f t="shared" ref="E112:X112" si="36">E54*E$88*$AA$29</f>
        <v>3001.0490824312024</v>
      </c>
      <c r="F112" s="32">
        <f t="shared" si="36"/>
        <v>3033.6051900311281</v>
      </c>
      <c r="G112" s="32">
        <f t="shared" si="36"/>
        <v>3065.7391885971879</v>
      </c>
      <c r="H112" s="32">
        <f t="shared" si="36"/>
        <v>3098.7029731370203</v>
      </c>
      <c r="I112" s="32">
        <f t="shared" si="36"/>
        <v>3132.0403638650969</v>
      </c>
      <c r="J112" s="32">
        <f t="shared" si="36"/>
        <v>2840.419423232207</v>
      </c>
      <c r="K112" s="32">
        <f t="shared" si="36"/>
        <v>2289.7261925433154</v>
      </c>
      <c r="L112" s="32">
        <f t="shared" si="36"/>
        <v>1846.2951949607345</v>
      </c>
      <c r="M112" s="32">
        <f t="shared" si="36"/>
        <v>1489.0679527442207</v>
      </c>
      <c r="N112" s="32">
        <f t="shared" si="36"/>
        <v>1201.1790411060931</v>
      </c>
      <c r="O112" s="32">
        <f t="shared" si="36"/>
        <v>969.0837274742496</v>
      </c>
      <c r="P112" s="32">
        <f t="shared" si="36"/>
        <v>781.92953842707482</v>
      </c>
      <c r="Q112" s="32">
        <f t="shared" si="36"/>
        <v>630.97748009529846</v>
      </c>
      <c r="R112" s="32">
        <f t="shared" si="36"/>
        <v>509.20795292956541</v>
      </c>
      <c r="S112" s="32">
        <f t="shared" si="36"/>
        <v>410.9622613142684</v>
      </c>
      <c r="T112" s="32">
        <f t="shared" si="36"/>
        <v>331.67467332192581</v>
      </c>
      <c r="U112" s="32">
        <f t="shared" si="36"/>
        <v>2.2823673244496585</v>
      </c>
      <c r="V112" s="32">
        <f t="shared" si="36"/>
        <v>0.82238414760207623</v>
      </c>
      <c r="W112" s="32">
        <f t="shared" si="36"/>
        <v>0.28285675072200467</v>
      </c>
      <c r="X112" s="32">
        <f t="shared" si="36"/>
        <v>9.3056937181872162E-2</v>
      </c>
      <c r="Y112" s="32"/>
      <c r="AA112" s="32">
        <f t="shared" si="34"/>
        <v>28635.140901370542</v>
      </c>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row>
    <row r="113" spans="2:71">
      <c r="B113" s="7" t="str">
        <f t="shared" si="7"/>
        <v>Center pivot/linear move systems: Replace leaking pivot boot gasket with new pivot boot gasket Montana</v>
      </c>
      <c r="C113" s="7" t="s">
        <v>1312</v>
      </c>
      <c r="D113" s="7" t="str">
        <f t="shared" si="5"/>
        <v>Montana</v>
      </c>
      <c r="E113" s="32">
        <f t="shared" ref="E113:X113" si="37">E55*E$88*$AA$29</f>
        <v>3001.0490824312024</v>
      </c>
      <c r="F113" s="32">
        <f t="shared" si="37"/>
        <v>3033.6051900311281</v>
      </c>
      <c r="G113" s="32">
        <f t="shared" si="37"/>
        <v>3065.7391885971879</v>
      </c>
      <c r="H113" s="32">
        <f t="shared" si="37"/>
        <v>3098.7029731370203</v>
      </c>
      <c r="I113" s="32">
        <f t="shared" si="37"/>
        <v>3132.0403638650969</v>
      </c>
      <c r="J113" s="32">
        <f t="shared" si="37"/>
        <v>2840.419423232207</v>
      </c>
      <c r="K113" s="32">
        <f t="shared" si="37"/>
        <v>2289.7261925433154</v>
      </c>
      <c r="L113" s="32">
        <f t="shared" si="37"/>
        <v>1846.2951949607345</v>
      </c>
      <c r="M113" s="32">
        <f t="shared" si="37"/>
        <v>1489.0679527442207</v>
      </c>
      <c r="N113" s="32">
        <f t="shared" si="37"/>
        <v>1201.1790411060931</v>
      </c>
      <c r="O113" s="32">
        <f t="shared" si="37"/>
        <v>969.0837274742496</v>
      </c>
      <c r="P113" s="32">
        <f t="shared" si="37"/>
        <v>781.92953842707482</v>
      </c>
      <c r="Q113" s="32">
        <f t="shared" si="37"/>
        <v>630.97748009529846</v>
      </c>
      <c r="R113" s="32">
        <f t="shared" si="37"/>
        <v>509.20795292956541</v>
      </c>
      <c r="S113" s="32">
        <f t="shared" si="37"/>
        <v>410.9622613142684</v>
      </c>
      <c r="T113" s="32">
        <f t="shared" si="37"/>
        <v>331.67467332192581</v>
      </c>
      <c r="U113" s="32">
        <f t="shared" si="37"/>
        <v>2.2823673244496585</v>
      </c>
      <c r="V113" s="32">
        <f t="shared" si="37"/>
        <v>0.82238414760207623</v>
      </c>
      <c r="W113" s="32">
        <f t="shared" si="37"/>
        <v>0.28285675072200467</v>
      </c>
      <c r="X113" s="32">
        <f t="shared" si="37"/>
        <v>9.3056937181872162E-2</v>
      </c>
      <c r="Y113" s="32"/>
      <c r="AA113" s="32">
        <f>SUM(E113:X113)</f>
        <v>28635.140901370542</v>
      </c>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row>
    <row r="114" spans="2:71">
      <c r="B114" s="7" t="str">
        <f t="shared" si="7"/>
        <v>Center pivot/linear move systems: Replace leaking tower gasket with new tower gasket Montana</v>
      </c>
      <c r="C114" s="7" t="s">
        <v>1314</v>
      </c>
      <c r="D114" s="7" t="str">
        <f t="shared" si="5"/>
        <v>Montana</v>
      </c>
      <c r="E114" s="32">
        <f t="shared" ref="E114:X114" si="38">E56*E$88*$AA$29</f>
        <v>3001.0490824312024</v>
      </c>
      <c r="F114" s="32">
        <f t="shared" si="38"/>
        <v>3033.6051900311281</v>
      </c>
      <c r="G114" s="32">
        <f t="shared" si="38"/>
        <v>3065.7391885971879</v>
      </c>
      <c r="H114" s="32">
        <f t="shared" si="38"/>
        <v>3098.7029731370203</v>
      </c>
      <c r="I114" s="32">
        <f t="shared" si="38"/>
        <v>3132.0403638650969</v>
      </c>
      <c r="J114" s="32">
        <f t="shared" si="38"/>
        <v>2840.419423232207</v>
      </c>
      <c r="K114" s="32">
        <f t="shared" si="38"/>
        <v>2289.7261925433154</v>
      </c>
      <c r="L114" s="32">
        <f t="shared" si="38"/>
        <v>1846.2951949607345</v>
      </c>
      <c r="M114" s="32">
        <f t="shared" si="38"/>
        <v>1489.0679527442207</v>
      </c>
      <c r="N114" s="32">
        <f t="shared" si="38"/>
        <v>1201.1790411060931</v>
      </c>
      <c r="O114" s="32">
        <f t="shared" si="38"/>
        <v>969.0837274742496</v>
      </c>
      <c r="P114" s="32">
        <f t="shared" si="38"/>
        <v>781.92953842707482</v>
      </c>
      <c r="Q114" s="32">
        <f t="shared" si="38"/>
        <v>630.97748009529846</v>
      </c>
      <c r="R114" s="32">
        <f t="shared" si="38"/>
        <v>509.20795292956541</v>
      </c>
      <c r="S114" s="32">
        <f t="shared" si="38"/>
        <v>410.9622613142684</v>
      </c>
      <c r="T114" s="32">
        <f t="shared" si="38"/>
        <v>331.67467332192581</v>
      </c>
      <c r="U114" s="32">
        <f t="shared" si="38"/>
        <v>2.2823673244496585</v>
      </c>
      <c r="V114" s="32">
        <f t="shared" si="38"/>
        <v>0.82238414760207623</v>
      </c>
      <c r="W114" s="32">
        <f t="shared" si="38"/>
        <v>0.28285675072200467</v>
      </c>
      <c r="X114" s="32">
        <f t="shared" si="38"/>
        <v>9.3056937181872162E-2</v>
      </c>
      <c r="Y114" s="32"/>
      <c r="AA114" s="32">
        <f t="shared" ref="AA114" si="39">SUM(E114:X114)</f>
        <v>28635.140901370542</v>
      </c>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row>
    <row r="115" spans="2:71">
      <c r="B115" s="7" t="str">
        <f t="shared" si="7"/>
        <v>Wheel/hand line systems: Replace worn nozzle with new flow controlling type nozzle for impact sprinklers Washington</v>
      </c>
      <c r="C115" s="7" t="s">
        <v>1290</v>
      </c>
      <c r="D115" s="7" t="str">
        <f t="shared" ref="D115:D127" si="40">D57</f>
        <v>Washington</v>
      </c>
      <c r="E115" s="32">
        <f t="shared" ref="E115:X115" si="41">E57*E$88*$AA$29</f>
        <v>2342.0647192767883</v>
      </c>
      <c r="F115" s="32">
        <f t="shared" si="41"/>
        <v>2367.0360995285946</v>
      </c>
      <c r="G115" s="32">
        <f t="shared" si="41"/>
        <v>2392.9107839647691</v>
      </c>
      <c r="H115" s="32">
        <f t="shared" si="41"/>
        <v>2419.6485983919006</v>
      </c>
      <c r="I115" s="32">
        <f t="shared" si="41"/>
        <v>2463.4790787071238</v>
      </c>
      <c r="J115" s="32">
        <f t="shared" si="41"/>
        <v>2244.6235734363495</v>
      </c>
      <c r="K115" s="32">
        <f t="shared" si="41"/>
        <v>1817.1392570309129</v>
      </c>
      <c r="L115" s="32">
        <f t="shared" si="41"/>
        <v>1471.5750254810948</v>
      </c>
      <c r="M115" s="32">
        <f t="shared" si="41"/>
        <v>1191.2013999054466</v>
      </c>
      <c r="N115" s="32">
        <f t="shared" si="41"/>
        <v>971.71745109614812</v>
      </c>
      <c r="O115" s="32">
        <f t="shared" si="41"/>
        <v>786.38546250457</v>
      </c>
      <c r="P115" s="32">
        <f t="shared" si="41"/>
        <v>636.12157198647151</v>
      </c>
      <c r="Q115" s="32">
        <f t="shared" si="41"/>
        <v>514.71191002996625</v>
      </c>
      <c r="R115" s="32">
        <f t="shared" si="41"/>
        <v>416.29314983732439</v>
      </c>
      <c r="S115" s="32">
        <f t="shared" si="41"/>
        <v>339.00590487185525</v>
      </c>
      <c r="T115" s="32">
        <f t="shared" si="41"/>
        <v>274.38767893056217</v>
      </c>
      <c r="U115" s="32">
        <f t="shared" si="41"/>
        <v>1.8939592714634503</v>
      </c>
      <c r="V115" s="32">
        <f t="shared" si="41"/>
        <v>0.68443807087020703</v>
      </c>
      <c r="W115" s="32">
        <f t="shared" si="41"/>
        <v>0.2359953434941946</v>
      </c>
      <c r="X115" s="32">
        <f t="shared" si="41"/>
        <v>7.8404693801181924E-2</v>
      </c>
      <c r="Y115" s="32"/>
      <c r="AA115" s="32">
        <f t="shared" ref="AA115:AA116" si="42">SUM(E115:X115)</f>
        <v>22651.194462359508</v>
      </c>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row>
    <row r="116" spans="2:71">
      <c r="B116" s="7" t="str">
        <f t="shared" si="7"/>
        <v>Wheel/hand line systems: Replace worn nozzle with new nozzle Washington</v>
      </c>
      <c r="C116" s="7" t="s">
        <v>1292</v>
      </c>
      <c r="D116" s="7" t="str">
        <f t="shared" si="40"/>
        <v>Washington</v>
      </c>
      <c r="E116" s="32">
        <f t="shared" ref="E116:X116" si="43">E58*E$88*$AA$29</f>
        <v>2342.0647192767883</v>
      </c>
      <c r="F116" s="32">
        <f t="shared" si="43"/>
        <v>2367.0360995285946</v>
      </c>
      <c r="G116" s="32">
        <f t="shared" si="43"/>
        <v>2392.9107839647691</v>
      </c>
      <c r="H116" s="32">
        <f t="shared" si="43"/>
        <v>2419.6485983919006</v>
      </c>
      <c r="I116" s="32">
        <f t="shared" si="43"/>
        <v>2463.4790787071238</v>
      </c>
      <c r="J116" s="32">
        <f t="shared" si="43"/>
        <v>2244.6235734363495</v>
      </c>
      <c r="K116" s="32">
        <f t="shared" si="43"/>
        <v>1817.1392570309129</v>
      </c>
      <c r="L116" s="32">
        <f t="shared" si="43"/>
        <v>1471.5750254810948</v>
      </c>
      <c r="M116" s="32">
        <f t="shared" si="43"/>
        <v>1191.2013999054466</v>
      </c>
      <c r="N116" s="32">
        <f t="shared" si="43"/>
        <v>971.71745109614812</v>
      </c>
      <c r="O116" s="32">
        <f t="shared" si="43"/>
        <v>786.38546250457</v>
      </c>
      <c r="P116" s="32">
        <f t="shared" si="43"/>
        <v>636.12157198647151</v>
      </c>
      <c r="Q116" s="32">
        <f t="shared" si="43"/>
        <v>514.71191002996625</v>
      </c>
      <c r="R116" s="32">
        <f t="shared" si="43"/>
        <v>416.29314983732439</v>
      </c>
      <c r="S116" s="32">
        <f t="shared" si="43"/>
        <v>339.00590487185525</v>
      </c>
      <c r="T116" s="32">
        <f t="shared" si="43"/>
        <v>274.38767893056217</v>
      </c>
      <c r="U116" s="32">
        <f t="shared" si="43"/>
        <v>1.8939592714634503</v>
      </c>
      <c r="V116" s="32">
        <f t="shared" si="43"/>
        <v>0.68443807087020703</v>
      </c>
      <c r="W116" s="32">
        <f t="shared" si="43"/>
        <v>0.2359953434941946</v>
      </c>
      <c r="X116" s="32">
        <f t="shared" si="43"/>
        <v>7.8404693801181924E-2</v>
      </c>
      <c r="Y116" s="32"/>
      <c r="AA116" s="32">
        <f t="shared" si="42"/>
        <v>22651.194462359508</v>
      </c>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row>
    <row r="117" spans="2:71">
      <c r="B117" s="7" t="str">
        <f t="shared" si="7"/>
        <v>Wheel/hand line systems: Rebuild or replace leaking impact sprinkler with new or rebuilt impact sprinkler Washington</v>
      </c>
      <c r="C117" s="7" t="s">
        <v>1294</v>
      </c>
      <c r="D117" s="7" t="str">
        <f t="shared" si="40"/>
        <v>Washington</v>
      </c>
      <c r="E117" s="32">
        <f t="shared" ref="E117:X117" si="44">E59*E$88*$AA$29</f>
        <v>4684.1294385535766</v>
      </c>
      <c r="F117" s="32">
        <f t="shared" si="44"/>
        <v>4734.0721990571892</v>
      </c>
      <c r="G117" s="32">
        <f t="shared" si="44"/>
        <v>4785.8215679295381</v>
      </c>
      <c r="H117" s="32">
        <f t="shared" si="44"/>
        <v>4839.2971967838012</v>
      </c>
      <c r="I117" s="32">
        <f t="shared" si="44"/>
        <v>4926.9581574142476</v>
      </c>
      <c r="J117" s="32">
        <f t="shared" si="44"/>
        <v>4489.247146872699</v>
      </c>
      <c r="K117" s="32">
        <f t="shared" si="44"/>
        <v>3634.2785140618257</v>
      </c>
      <c r="L117" s="32">
        <f t="shared" si="44"/>
        <v>2943.1500509621897</v>
      </c>
      <c r="M117" s="32">
        <f t="shared" si="44"/>
        <v>2382.4027998108932</v>
      </c>
      <c r="N117" s="32">
        <f t="shared" si="44"/>
        <v>1943.4349021922962</v>
      </c>
      <c r="O117" s="32">
        <f t="shared" si="44"/>
        <v>1572.77092500914</v>
      </c>
      <c r="P117" s="32">
        <f t="shared" si="44"/>
        <v>1272.243143972943</v>
      </c>
      <c r="Q117" s="32">
        <f t="shared" si="44"/>
        <v>1029.4238200599325</v>
      </c>
      <c r="R117" s="32">
        <f t="shared" si="44"/>
        <v>832.58629967464879</v>
      </c>
      <c r="S117" s="32">
        <f t="shared" si="44"/>
        <v>678.0118097437105</v>
      </c>
      <c r="T117" s="32">
        <f t="shared" si="44"/>
        <v>548.77535786112435</v>
      </c>
      <c r="U117" s="32">
        <f t="shared" si="44"/>
        <v>3.7879185429269007</v>
      </c>
      <c r="V117" s="32">
        <f t="shared" si="44"/>
        <v>1.3688761417404141</v>
      </c>
      <c r="W117" s="32">
        <f t="shared" si="44"/>
        <v>0.4719906869883892</v>
      </c>
      <c r="X117" s="32">
        <f t="shared" si="44"/>
        <v>0.15680938760236385</v>
      </c>
      <c r="Y117" s="32"/>
      <c r="AA117" s="32">
        <f>SUM(E117:X117)</f>
        <v>45302.388924719016</v>
      </c>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row>
    <row r="118" spans="2:71">
      <c r="B118" s="7" t="str">
        <f t="shared" si="7"/>
        <v>Wheel/hand line systems: Replace leaking gasket with new gasket Washington</v>
      </c>
      <c r="C118" s="7" t="s">
        <v>1296</v>
      </c>
      <c r="D118" s="7" t="str">
        <f t="shared" si="40"/>
        <v>Washington</v>
      </c>
      <c r="E118" s="32">
        <f t="shared" ref="E118:X118" si="45">E60*E$88*$AA$29</f>
        <v>4684.1294385535766</v>
      </c>
      <c r="F118" s="32">
        <f t="shared" si="45"/>
        <v>4734.0721990571892</v>
      </c>
      <c r="G118" s="32">
        <f t="shared" si="45"/>
        <v>4785.8215679295381</v>
      </c>
      <c r="H118" s="32">
        <f t="shared" si="45"/>
        <v>4839.2971967838012</v>
      </c>
      <c r="I118" s="32">
        <f t="shared" si="45"/>
        <v>4926.9581574142476</v>
      </c>
      <c r="J118" s="32">
        <f t="shared" si="45"/>
        <v>4489.247146872699</v>
      </c>
      <c r="K118" s="32">
        <f t="shared" si="45"/>
        <v>3634.2785140618257</v>
      </c>
      <c r="L118" s="32">
        <f t="shared" si="45"/>
        <v>2943.1500509621897</v>
      </c>
      <c r="M118" s="32">
        <f t="shared" si="45"/>
        <v>2382.4027998108932</v>
      </c>
      <c r="N118" s="32">
        <f t="shared" si="45"/>
        <v>1943.4349021922962</v>
      </c>
      <c r="O118" s="32">
        <f t="shared" si="45"/>
        <v>1572.77092500914</v>
      </c>
      <c r="P118" s="32">
        <f t="shared" si="45"/>
        <v>1272.243143972943</v>
      </c>
      <c r="Q118" s="32">
        <f t="shared" si="45"/>
        <v>1029.4238200599325</v>
      </c>
      <c r="R118" s="32">
        <f t="shared" si="45"/>
        <v>832.58629967464879</v>
      </c>
      <c r="S118" s="32">
        <f t="shared" si="45"/>
        <v>678.0118097437105</v>
      </c>
      <c r="T118" s="32">
        <f t="shared" si="45"/>
        <v>548.77535786112435</v>
      </c>
      <c r="U118" s="32">
        <f t="shared" si="45"/>
        <v>3.7879185429269007</v>
      </c>
      <c r="V118" s="32">
        <f t="shared" si="45"/>
        <v>1.3688761417404141</v>
      </c>
      <c r="W118" s="32">
        <f t="shared" si="45"/>
        <v>0.4719906869883892</v>
      </c>
      <c r="X118" s="32">
        <f t="shared" si="45"/>
        <v>0.15680938760236385</v>
      </c>
      <c r="Y118" s="32"/>
      <c r="AA118" s="32">
        <f t="shared" ref="AA118:AA120" si="46">SUM(E118:X118)</f>
        <v>45302.388924719016</v>
      </c>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row>
    <row r="119" spans="2:71">
      <c r="B119" s="7" t="str">
        <f t="shared" si="7"/>
        <v>Wheel/hand line systems: Replace leaking drain with new drain Washington</v>
      </c>
      <c r="C119" s="7" t="s">
        <v>1298</v>
      </c>
      <c r="D119" s="7" t="str">
        <f t="shared" si="40"/>
        <v>Washington</v>
      </c>
      <c r="E119" s="32">
        <f t="shared" ref="E119:X119" si="47">E61*E$88*$AA$29</f>
        <v>4684.1294385535766</v>
      </c>
      <c r="F119" s="32">
        <f t="shared" si="47"/>
        <v>4734.0721990571892</v>
      </c>
      <c r="G119" s="32">
        <f t="shared" si="47"/>
        <v>4785.8215679295381</v>
      </c>
      <c r="H119" s="32">
        <f t="shared" si="47"/>
        <v>4839.2971967838012</v>
      </c>
      <c r="I119" s="32">
        <f t="shared" si="47"/>
        <v>4926.9581574142476</v>
      </c>
      <c r="J119" s="32">
        <f t="shared" si="47"/>
        <v>4489.247146872699</v>
      </c>
      <c r="K119" s="32">
        <f t="shared" si="47"/>
        <v>3634.2785140618257</v>
      </c>
      <c r="L119" s="32">
        <f t="shared" si="47"/>
        <v>2943.1500509621897</v>
      </c>
      <c r="M119" s="32">
        <f t="shared" si="47"/>
        <v>2382.4027998108932</v>
      </c>
      <c r="N119" s="32">
        <f t="shared" si="47"/>
        <v>1943.4349021922962</v>
      </c>
      <c r="O119" s="32">
        <f t="shared" si="47"/>
        <v>1572.77092500914</v>
      </c>
      <c r="P119" s="32">
        <f t="shared" si="47"/>
        <v>1272.243143972943</v>
      </c>
      <c r="Q119" s="32">
        <f t="shared" si="47"/>
        <v>1029.4238200599325</v>
      </c>
      <c r="R119" s="32">
        <f t="shared" si="47"/>
        <v>832.58629967464879</v>
      </c>
      <c r="S119" s="32">
        <f t="shared" si="47"/>
        <v>678.0118097437105</v>
      </c>
      <c r="T119" s="32">
        <f t="shared" si="47"/>
        <v>548.77535786112435</v>
      </c>
      <c r="U119" s="32">
        <f t="shared" si="47"/>
        <v>3.7879185429269007</v>
      </c>
      <c r="V119" s="32">
        <f t="shared" si="47"/>
        <v>1.3688761417404141</v>
      </c>
      <c r="W119" s="32">
        <f t="shared" si="47"/>
        <v>0.4719906869883892</v>
      </c>
      <c r="X119" s="32">
        <f t="shared" si="47"/>
        <v>0.15680938760236385</v>
      </c>
      <c r="Y119" s="32"/>
      <c r="AA119" s="32">
        <f t="shared" si="46"/>
        <v>45302.388924719016</v>
      </c>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row>
    <row r="120" spans="2:71">
      <c r="B120" s="7" t="str">
        <f t="shared" si="7"/>
        <v>Wheel/hand line systems: Cut and pipe press repair of leaking hand-lines, wheel-lines, and portable main-lines Washington</v>
      </c>
      <c r="C120" s="7" t="s">
        <v>1300</v>
      </c>
      <c r="D120" s="7" t="str">
        <f t="shared" si="40"/>
        <v>Washington</v>
      </c>
      <c r="E120" s="32">
        <f t="shared" ref="E120:X120" si="48">E62*E$88*$AA$29</f>
        <v>4684.1294385535766</v>
      </c>
      <c r="F120" s="32">
        <f t="shared" si="48"/>
        <v>4734.0721990571892</v>
      </c>
      <c r="G120" s="32">
        <f t="shared" si="48"/>
        <v>4785.8215679295381</v>
      </c>
      <c r="H120" s="32">
        <f t="shared" si="48"/>
        <v>4839.2971967838012</v>
      </c>
      <c r="I120" s="32">
        <f t="shared" si="48"/>
        <v>4926.9581574142476</v>
      </c>
      <c r="J120" s="32">
        <f t="shared" si="48"/>
        <v>4489.247146872699</v>
      </c>
      <c r="K120" s="32">
        <f t="shared" si="48"/>
        <v>3634.2785140618257</v>
      </c>
      <c r="L120" s="32">
        <f t="shared" si="48"/>
        <v>2943.1500509621897</v>
      </c>
      <c r="M120" s="32">
        <f t="shared" si="48"/>
        <v>2382.4027998108932</v>
      </c>
      <c r="N120" s="32">
        <f t="shared" si="48"/>
        <v>1943.4349021922962</v>
      </c>
      <c r="O120" s="32">
        <f t="shared" si="48"/>
        <v>1572.77092500914</v>
      </c>
      <c r="P120" s="32">
        <f t="shared" si="48"/>
        <v>1272.243143972943</v>
      </c>
      <c r="Q120" s="32">
        <f t="shared" si="48"/>
        <v>1029.4238200599325</v>
      </c>
      <c r="R120" s="32">
        <f t="shared" si="48"/>
        <v>832.58629967464879</v>
      </c>
      <c r="S120" s="32">
        <f t="shared" si="48"/>
        <v>678.0118097437105</v>
      </c>
      <c r="T120" s="32">
        <f t="shared" si="48"/>
        <v>548.77535786112435</v>
      </c>
      <c r="U120" s="32">
        <f t="shared" si="48"/>
        <v>3.7879185429269007</v>
      </c>
      <c r="V120" s="32">
        <f t="shared" si="48"/>
        <v>1.3688761417404141</v>
      </c>
      <c r="W120" s="32">
        <f t="shared" si="48"/>
        <v>0.4719906869883892</v>
      </c>
      <c r="X120" s="32">
        <f t="shared" si="48"/>
        <v>0.15680938760236385</v>
      </c>
      <c r="Y120" s="32"/>
      <c r="AA120" s="32">
        <f t="shared" si="46"/>
        <v>45302.388924719016</v>
      </c>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row>
    <row r="121" spans="2:71">
      <c r="B121" s="7" t="str">
        <f t="shared" si="7"/>
        <v>Thunderbird wheel line systems: Replace leaking hub with new hub Washington</v>
      </c>
      <c r="C121" s="7" t="s">
        <v>1302</v>
      </c>
      <c r="D121" s="7" t="str">
        <f t="shared" si="40"/>
        <v>Washington</v>
      </c>
      <c r="E121" s="32">
        <f t="shared" ref="E121:X121" si="49">E63*E$88*$AA$29</f>
        <v>547.21203465629742</v>
      </c>
      <c r="F121" s="32">
        <f t="shared" si="49"/>
        <v>553.04647624251731</v>
      </c>
      <c r="G121" s="32">
        <f t="shared" si="49"/>
        <v>559.09197045959468</v>
      </c>
      <c r="H121" s="32">
        <f t="shared" si="49"/>
        <v>565.33913080256389</v>
      </c>
      <c r="I121" s="32">
        <f t="shared" si="49"/>
        <v>575.57990942659023</v>
      </c>
      <c r="J121" s="32">
        <f t="shared" si="49"/>
        <v>524.44538468470626</v>
      </c>
      <c r="K121" s="32">
        <f t="shared" si="49"/>
        <v>424.56575256416022</v>
      </c>
      <c r="L121" s="32">
        <f t="shared" si="49"/>
        <v>343.82634997873231</v>
      </c>
      <c r="M121" s="32">
        <f t="shared" si="49"/>
        <v>278.3184155256701</v>
      </c>
      <c r="N121" s="32">
        <f t="shared" si="49"/>
        <v>227.03705800647128</v>
      </c>
      <c r="O121" s="32">
        <f t="shared" si="49"/>
        <v>183.73513994700303</v>
      </c>
      <c r="P121" s="32">
        <f t="shared" si="49"/>
        <v>148.62671250304638</v>
      </c>
      <c r="Q121" s="32">
        <f t="shared" si="49"/>
        <v>120.25993527467516</v>
      </c>
      <c r="R121" s="32">
        <f t="shared" si="49"/>
        <v>97.264870462804353</v>
      </c>
      <c r="S121" s="32">
        <f t="shared" si="49"/>
        <v>79.207081443381497</v>
      </c>
      <c r="T121" s="32">
        <f t="shared" si="49"/>
        <v>64.109347122814071</v>
      </c>
      <c r="U121" s="32">
        <f t="shared" si="49"/>
        <v>0.44251437544121508</v>
      </c>
      <c r="V121" s="32">
        <f t="shared" si="49"/>
        <v>0.15991562755480548</v>
      </c>
      <c r="W121" s="32">
        <f t="shared" si="49"/>
        <v>5.5139164609741116E-2</v>
      </c>
      <c r="X121" s="32">
        <f t="shared" si="49"/>
        <v>1.8318875506906206E-2</v>
      </c>
      <c r="Y121" s="32"/>
      <c r="AA121" s="32">
        <f>SUM(E121:X121)</f>
        <v>5292.3414571441408</v>
      </c>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row>
    <row r="122" spans="2:71">
      <c r="B122" s="7" t="str">
        <f t="shared" si="7"/>
        <v>Wheel line systems: Rebuild or replace leaking or malfunctioning leveler with new or rebuilt leveler. Washington</v>
      </c>
      <c r="C122" s="7" t="s">
        <v>1304</v>
      </c>
      <c r="D122" s="7" t="str">
        <f t="shared" si="40"/>
        <v>Washington</v>
      </c>
      <c r="E122" s="32">
        <f t="shared" ref="E122:X122" si="50">E64*E$88*$AA$29</f>
        <v>547.21203465629742</v>
      </c>
      <c r="F122" s="32">
        <f t="shared" si="50"/>
        <v>553.04647624251731</v>
      </c>
      <c r="G122" s="32">
        <f t="shared" si="50"/>
        <v>559.09197045959468</v>
      </c>
      <c r="H122" s="32">
        <f t="shared" si="50"/>
        <v>565.33913080256389</v>
      </c>
      <c r="I122" s="32">
        <f t="shared" si="50"/>
        <v>575.57990942659023</v>
      </c>
      <c r="J122" s="32">
        <f t="shared" si="50"/>
        <v>524.44538468470626</v>
      </c>
      <c r="K122" s="32">
        <f t="shared" si="50"/>
        <v>424.56575256416022</v>
      </c>
      <c r="L122" s="32">
        <f t="shared" si="50"/>
        <v>343.82634997873231</v>
      </c>
      <c r="M122" s="32">
        <f t="shared" si="50"/>
        <v>278.3184155256701</v>
      </c>
      <c r="N122" s="32">
        <f t="shared" si="50"/>
        <v>227.03705800647128</v>
      </c>
      <c r="O122" s="32">
        <f t="shared" si="50"/>
        <v>183.73513994700303</v>
      </c>
      <c r="P122" s="32">
        <f t="shared" si="50"/>
        <v>148.62671250304638</v>
      </c>
      <c r="Q122" s="32">
        <f t="shared" si="50"/>
        <v>120.25993527467516</v>
      </c>
      <c r="R122" s="32">
        <f t="shared" si="50"/>
        <v>97.264870462804353</v>
      </c>
      <c r="S122" s="32">
        <f t="shared" si="50"/>
        <v>79.207081443381497</v>
      </c>
      <c r="T122" s="32">
        <f t="shared" si="50"/>
        <v>64.109347122814071</v>
      </c>
      <c r="U122" s="32">
        <f t="shared" si="50"/>
        <v>0.44251437544121508</v>
      </c>
      <c r="V122" s="32">
        <f t="shared" si="50"/>
        <v>0.15991562755480548</v>
      </c>
      <c r="W122" s="32">
        <f t="shared" si="50"/>
        <v>5.5139164609741116E-2</v>
      </c>
      <c r="X122" s="32">
        <f t="shared" si="50"/>
        <v>1.8318875506906206E-2</v>
      </c>
      <c r="Y122" s="32"/>
      <c r="AA122" s="32">
        <f t="shared" ref="AA122:AA124" si="51">SUM(E122:X122)</f>
        <v>5292.3414571441408</v>
      </c>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row>
    <row r="123" spans="2:71">
      <c r="B123" s="7" t="str">
        <f t="shared" si="7"/>
        <v>Center pivot/linear move systems: Install new sprinkler package on an existing system. Washington</v>
      </c>
      <c r="C123" s="7" t="s">
        <v>1306</v>
      </c>
      <c r="D123" s="7" t="str">
        <f t="shared" si="40"/>
        <v>Washington</v>
      </c>
      <c r="E123" s="32">
        <f t="shared" ref="E123:X123" si="52">E65*E$88*$AA$29</f>
        <v>27613.680326213002</v>
      </c>
      <c r="F123" s="32">
        <f t="shared" si="52"/>
        <v>27908.100760414578</v>
      </c>
      <c r="G123" s="32">
        <f t="shared" si="52"/>
        <v>28213.171435311553</v>
      </c>
      <c r="H123" s="32">
        <f t="shared" si="52"/>
        <v>28528.418684516699</v>
      </c>
      <c r="I123" s="32">
        <f t="shared" si="52"/>
        <v>29045.193845342605</v>
      </c>
      <c r="J123" s="32">
        <f t="shared" si="52"/>
        <v>26464.818542116507</v>
      </c>
      <c r="K123" s="32">
        <f t="shared" si="52"/>
        <v>21424.643878909701</v>
      </c>
      <c r="L123" s="32">
        <f t="shared" si="52"/>
        <v>17350.332804732083</v>
      </c>
      <c r="M123" s="32">
        <f t="shared" si="52"/>
        <v>14044.639497103075</v>
      </c>
      <c r="N123" s="32">
        <f t="shared" si="52"/>
        <v>11456.854646722688</v>
      </c>
      <c r="O123" s="32">
        <f t="shared" si="52"/>
        <v>9271.7321584041347</v>
      </c>
      <c r="P123" s="32">
        <f t="shared" si="52"/>
        <v>7500.0735858685621</v>
      </c>
      <c r="Q123" s="32">
        <f t="shared" si="52"/>
        <v>6068.615451434187</v>
      </c>
      <c r="R123" s="32">
        <f t="shared" si="52"/>
        <v>4908.2272863705684</v>
      </c>
      <c r="S123" s="32">
        <f t="shared" si="52"/>
        <v>3996.9863380720963</v>
      </c>
      <c r="T123" s="32">
        <f t="shared" si="52"/>
        <v>3235.1171122973001</v>
      </c>
      <c r="U123" s="32">
        <f t="shared" si="52"/>
        <v>22.330376032139945</v>
      </c>
      <c r="V123" s="32">
        <f t="shared" si="52"/>
        <v>8.0697403178234719</v>
      </c>
      <c r="W123" s="32">
        <f t="shared" si="52"/>
        <v>2.7824593915303177</v>
      </c>
      <c r="X123" s="32">
        <f t="shared" si="52"/>
        <v>0.924416021846313</v>
      </c>
      <c r="Y123" s="32"/>
      <c r="AA123" s="32">
        <f t="shared" si="51"/>
        <v>267064.71334559267</v>
      </c>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row>
    <row r="124" spans="2:71">
      <c r="B124" s="7" t="str">
        <f t="shared" si="7"/>
        <v>Center pivot/linear move systems: New gooseneck elbows Washington</v>
      </c>
      <c r="C124" s="7" t="s">
        <v>1308</v>
      </c>
      <c r="D124" s="7" t="str">
        <f t="shared" si="40"/>
        <v>Washington</v>
      </c>
      <c r="E124" s="32">
        <f t="shared" ref="E124:X124" si="53">E66*E$88*$AA$29</f>
        <v>27613.680326213002</v>
      </c>
      <c r="F124" s="32">
        <f t="shared" si="53"/>
        <v>27908.100760414578</v>
      </c>
      <c r="G124" s="32">
        <f t="shared" si="53"/>
        <v>28213.171435311553</v>
      </c>
      <c r="H124" s="32">
        <f t="shared" si="53"/>
        <v>28528.418684516699</v>
      </c>
      <c r="I124" s="32">
        <f t="shared" si="53"/>
        <v>29045.193845342605</v>
      </c>
      <c r="J124" s="32">
        <f t="shared" si="53"/>
        <v>26464.818542116507</v>
      </c>
      <c r="K124" s="32">
        <f t="shared" si="53"/>
        <v>21424.643878909701</v>
      </c>
      <c r="L124" s="32">
        <f t="shared" si="53"/>
        <v>17350.332804732083</v>
      </c>
      <c r="M124" s="32">
        <f t="shared" si="53"/>
        <v>14044.639497103075</v>
      </c>
      <c r="N124" s="32">
        <f t="shared" si="53"/>
        <v>11456.854646722688</v>
      </c>
      <c r="O124" s="32">
        <f t="shared" si="53"/>
        <v>9271.7321584041347</v>
      </c>
      <c r="P124" s="32">
        <f t="shared" si="53"/>
        <v>7500.0735858685621</v>
      </c>
      <c r="Q124" s="32">
        <f t="shared" si="53"/>
        <v>6068.615451434187</v>
      </c>
      <c r="R124" s="32">
        <f t="shared" si="53"/>
        <v>4908.2272863705684</v>
      </c>
      <c r="S124" s="32">
        <f t="shared" si="53"/>
        <v>3996.9863380720963</v>
      </c>
      <c r="T124" s="32">
        <f t="shared" si="53"/>
        <v>3235.1171122973001</v>
      </c>
      <c r="U124" s="32">
        <f t="shared" si="53"/>
        <v>22.330376032139945</v>
      </c>
      <c r="V124" s="32">
        <f t="shared" si="53"/>
        <v>8.0697403178234719</v>
      </c>
      <c r="W124" s="32">
        <f t="shared" si="53"/>
        <v>2.7824593915303177</v>
      </c>
      <c r="X124" s="32">
        <f t="shared" si="53"/>
        <v>0.924416021846313</v>
      </c>
      <c r="Y124" s="32"/>
      <c r="AA124" s="32">
        <f t="shared" si="51"/>
        <v>267064.71334559267</v>
      </c>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row>
    <row r="125" spans="2:71">
      <c r="B125" s="7" t="str">
        <f t="shared" si="7"/>
        <v>Center pivot/linear move systems: New drop tubes (3 feet minimum) Washington</v>
      </c>
      <c r="C125" s="7" t="s">
        <v>1310</v>
      </c>
      <c r="D125" s="7" t="str">
        <f t="shared" si="40"/>
        <v>Washington</v>
      </c>
      <c r="E125" s="32">
        <f t="shared" ref="E125:X125" si="54">E67*E$88*$AA$29</f>
        <v>27613.680326213002</v>
      </c>
      <c r="F125" s="32">
        <f t="shared" si="54"/>
        <v>27908.100760414578</v>
      </c>
      <c r="G125" s="32">
        <f t="shared" si="54"/>
        <v>28213.171435311553</v>
      </c>
      <c r="H125" s="32">
        <f t="shared" si="54"/>
        <v>28528.418684516699</v>
      </c>
      <c r="I125" s="32">
        <f t="shared" si="54"/>
        <v>29045.193845342605</v>
      </c>
      <c r="J125" s="32">
        <f t="shared" si="54"/>
        <v>26464.818542116507</v>
      </c>
      <c r="K125" s="32">
        <f t="shared" si="54"/>
        <v>21424.643878909701</v>
      </c>
      <c r="L125" s="32">
        <f t="shared" si="54"/>
        <v>17350.332804732083</v>
      </c>
      <c r="M125" s="32">
        <f t="shared" si="54"/>
        <v>14044.639497103075</v>
      </c>
      <c r="N125" s="32">
        <f t="shared" si="54"/>
        <v>11456.854646722688</v>
      </c>
      <c r="O125" s="32">
        <f t="shared" si="54"/>
        <v>9271.7321584041347</v>
      </c>
      <c r="P125" s="32">
        <f t="shared" si="54"/>
        <v>7500.0735858685621</v>
      </c>
      <c r="Q125" s="32">
        <f t="shared" si="54"/>
        <v>6068.615451434187</v>
      </c>
      <c r="R125" s="32">
        <f t="shared" si="54"/>
        <v>4908.2272863705684</v>
      </c>
      <c r="S125" s="32">
        <f t="shared" si="54"/>
        <v>3996.9863380720963</v>
      </c>
      <c r="T125" s="32">
        <f t="shared" si="54"/>
        <v>3235.1171122973001</v>
      </c>
      <c r="U125" s="32">
        <f t="shared" si="54"/>
        <v>22.330376032139945</v>
      </c>
      <c r="V125" s="32">
        <f t="shared" si="54"/>
        <v>8.0697403178234719</v>
      </c>
      <c r="W125" s="32">
        <f t="shared" si="54"/>
        <v>2.7824593915303177</v>
      </c>
      <c r="X125" s="32">
        <f t="shared" si="54"/>
        <v>0.924416021846313</v>
      </c>
      <c r="Y125" s="32"/>
      <c r="AA125" s="32">
        <f>SUM(E125:X125)</f>
        <v>267064.71334559267</v>
      </c>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row>
    <row r="126" spans="2:71">
      <c r="B126" s="7" t="str">
        <f t="shared" si="7"/>
        <v>Center pivot/linear move systems: Replace leaking pivot boot gasket with new pivot boot gasket Washington</v>
      </c>
      <c r="C126" s="7" t="s">
        <v>1312</v>
      </c>
      <c r="D126" s="7" t="str">
        <f t="shared" si="40"/>
        <v>Washington</v>
      </c>
      <c r="E126" s="32">
        <f t="shared" ref="E126:X126" si="55">E68*E$88*$AA$29</f>
        <v>27613.680326213002</v>
      </c>
      <c r="F126" s="32">
        <f t="shared" si="55"/>
        <v>27908.100760414578</v>
      </c>
      <c r="G126" s="32">
        <f t="shared" si="55"/>
        <v>28213.171435311553</v>
      </c>
      <c r="H126" s="32">
        <f t="shared" si="55"/>
        <v>28528.418684516699</v>
      </c>
      <c r="I126" s="32">
        <f t="shared" si="55"/>
        <v>29045.193845342605</v>
      </c>
      <c r="J126" s="32">
        <f t="shared" si="55"/>
        <v>26464.818542116507</v>
      </c>
      <c r="K126" s="32">
        <f t="shared" si="55"/>
        <v>21424.643878909701</v>
      </c>
      <c r="L126" s="32">
        <f t="shared" si="55"/>
        <v>17350.332804732083</v>
      </c>
      <c r="M126" s="32">
        <f t="shared" si="55"/>
        <v>14044.639497103075</v>
      </c>
      <c r="N126" s="32">
        <f t="shared" si="55"/>
        <v>11456.854646722688</v>
      </c>
      <c r="O126" s="32">
        <f t="shared" si="55"/>
        <v>9271.7321584041347</v>
      </c>
      <c r="P126" s="32">
        <f t="shared" si="55"/>
        <v>7500.0735858685621</v>
      </c>
      <c r="Q126" s="32">
        <f t="shared" si="55"/>
        <v>6068.615451434187</v>
      </c>
      <c r="R126" s="32">
        <f t="shared" si="55"/>
        <v>4908.2272863705684</v>
      </c>
      <c r="S126" s="32">
        <f t="shared" si="55"/>
        <v>3996.9863380720963</v>
      </c>
      <c r="T126" s="32">
        <f t="shared" si="55"/>
        <v>3235.1171122973001</v>
      </c>
      <c r="U126" s="32">
        <f t="shared" si="55"/>
        <v>22.330376032139945</v>
      </c>
      <c r="V126" s="32">
        <f t="shared" si="55"/>
        <v>8.0697403178234719</v>
      </c>
      <c r="W126" s="32">
        <f t="shared" si="55"/>
        <v>2.7824593915303177</v>
      </c>
      <c r="X126" s="32">
        <f t="shared" si="55"/>
        <v>0.924416021846313</v>
      </c>
      <c r="Y126" s="32"/>
      <c r="AA126" s="32">
        <f t="shared" ref="AA126:AA129" si="56">SUM(E126:X126)</f>
        <v>267064.71334559267</v>
      </c>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row>
    <row r="127" spans="2:71">
      <c r="B127" s="7" t="str">
        <f t="shared" si="7"/>
        <v>Center pivot/linear move systems: Replace leaking tower gasket with new tower gasket Washington</v>
      </c>
      <c r="C127" s="7" t="s">
        <v>1314</v>
      </c>
      <c r="D127" s="7" t="str">
        <f t="shared" si="40"/>
        <v>Washington</v>
      </c>
      <c r="E127" s="32">
        <f t="shared" ref="E127:X127" si="57">E69*E$88*$AA$29</f>
        <v>27613.680326213002</v>
      </c>
      <c r="F127" s="32">
        <f t="shared" si="57"/>
        <v>27908.100760414578</v>
      </c>
      <c r="G127" s="32">
        <f t="shared" si="57"/>
        <v>28213.171435311553</v>
      </c>
      <c r="H127" s="32">
        <f t="shared" si="57"/>
        <v>28528.418684516699</v>
      </c>
      <c r="I127" s="32">
        <f t="shared" si="57"/>
        <v>29045.193845342605</v>
      </c>
      <c r="J127" s="32">
        <f t="shared" si="57"/>
        <v>26464.818542116507</v>
      </c>
      <c r="K127" s="32">
        <f t="shared" si="57"/>
        <v>21424.643878909701</v>
      </c>
      <c r="L127" s="32">
        <f t="shared" si="57"/>
        <v>17350.332804732083</v>
      </c>
      <c r="M127" s="32">
        <f t="shared" si="57"/>
        <v>14044.639497103075</v>
      </c>
      <c r="N127" s="32">
        <f t="shared" si="57"/>
        <v>11456.854646722688</v>
      </c>
      <c r="O127" s="32">
        <f t="shared" si="57"/>
        <v>9271.7321584041347</v>
      </c>
      <c r="P127" s="32">
        <f t="shared" si="57"/>
        <v>7500.0735858685621</v>
      </c>
      <c r="Q127" s="32">
        <f t="shared" si="57"/>
        <v>6068.615451434187</v>
      </c>
      <c r="R127" s="32">
        <f t="shared" si="57"/>
        <v>4908.2272863705684</v>
      </c>
      <c r="S127" s="32">
        <f t="shared" si="57"/>
        <v>3996.9863380720963</v>
      </c>
      <c r="T127" s="32">
        <f t="shared" si="57"/>
        <v>3235.1171122973001</v>
      </c>
      <c r="U127" s="32">
        <f t="shared" si="57"/>
        <v>22.330376032139945</v>
      </c>
      <c r="V127" s="32">
        <f t="shared" si="57"/>
        <v>8.0697403178234719</v>
      </c>
      <c r="W127" s="32">
        <f t="shared" si="57"/>
        <v>2.7824593915303177</v>
      </c>
      <c r="X127" s="32">
        <f t="shared" si="57"/>
        <v>0.924416021846313</v>
      </c>
      <c r="Y127" s="32"/>
      <c r="AA127" s="32">
        <f t="shared" si="56"/>
        <v>267064.71334559267</v>
      </c>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row>
    <row r="128" spans="2:71">
      <c r="B128" s="7" t="str">
        <f t="shared" si="7"/>
        <v>Wheel/hand line systems: Replace worn nozzle with new flow controlling type nozzle for impact sprinklers Oregon</v>
      </c>
      <c r="C128" s="7" t="s">
        <v>1290</v>
      </c>
      <c r="D128" s="7" t="s">
        <v>432</v>
      </c>
      <c r="E128" s="32">
        <f t="shared" ref="E128:X128" si="58">E70*E$88*$AA$29</f>
        <v>5207.2301172485913</v>
      </c>
      <c r="F128" s="32">
        <f t="shared" si="58"/>
        <v>5259.8796017673985</v>
      </c>
      <c r="G128" s="32">
        <f t="shared" si="58"/>
        <v>5312.7898747321588</v>
      </c>
      <c r="H128" s="32">
        <f t="shared" si="58"/>
        <v>5372.1702155203393</v>
      </c>
      <c r="I128" s="32">
        <f t="shared" si="58"/>
        <v>5478.5558535868531</v>
      </c>
      <c r="J128" s="32">
        <f t="shared" si="58"/>
        <v>4990.2573494642347</v>
      </c>
      <c r="K128" s="32">
        <f t="shared" si="58"/>
        <v>4040.4114358947782</v>
      </c>
      <c r="L128" s="32">
        <f t="shared" si="58"/>
        <v>3273.7773346779795</v>
      </c>
      <c r="M128" s="32">
        <f t="shared" si="58"/>
        <v>2650.6194397900267</v>
      </c>
      <c r="N128" s="32">
        <f t="shared" si="58"/>
        <v>2165.7889772081548</v>
      </c>
      <c r="O128" s="32">
        <f t="shared" si="58"/>
        <v>1753.1876026862592</v>
      </c>
      <c r="P128" s="32">
        <f t="shared" si="58"/>
        <v>1419.1167317957859</v>
      </c>
      <c r="Q128" s="32">
        <f t="shared" si="58"/>
        <v>1147.8502561987405</v>
      </c>
      <c r="R128" s="32">
        <f t="shared" si="58"/>
        <v>929.01416704291353</v>
      </c>
      <c r="S128" s="32">
        <f t="shared" si="58"/>
        <v>757.79552169747535</v>
      </c>
      <c r="T128" s="32">
        <f t="shared" si="58"/>
        <v>613.5440852339558</v>
      </c>
      <c r="U128" s="32">
        <f t="shared" si="58"/>
        <v>4.2376359409118223</v>
      </c>
      <c r="V128" s="32">
        <f t="shared" si="58"/>
        <v>1.5323540995451719</v>
      </c>
      <c r="W128" s="32">
        <f t="shared" si="58"/>
        <v>0.52853335042523197</v>
      </c>
      <c r="X128" s="32">
        <f t="shared" si="58"/>
        <v>0.17595784052685079</v>
      </c>
      <c r="Y128" s="32"/>
      <c r="AA128" s="32">
        <f t="shared" si="56"/>
        <v>50378.46304577704</v>
      </c>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row>
    <row r="129" spans="2:71">
      <c r="B129" s="7" t="str">
        <f t="shared" si="7"/>
        <v>Wheel/hand line systems: Replace worn nozzle with new nozzle Oregon</v>
      </c>
      <c r="C129" s="7" t="s">
        <v>1292</v>
      </c>
      <c r="D129" s="7" t="s">
        <v>432</v>
      </c>
      <c r="E129" s="32">
        <f t="shared" ref="E129:X129" si="59">E71*E$88*$AA$29</f>
        <v>5207.2301172485913</v>
      </c>
      <c r="F129" s="32">
        <f t="shared" si="59"/>
        <v>5259.8796017673985</v>
      </c>
      <c r="G129" s="32">
        <f t="shared" si="59"/>
        <v>5312.7898747321588</v>
      </c>
      <c r="H129" s="32">
        <f t="shared" si="59"/>
        <v>5372.1702155203393</v>
      </c>
      <c r="I129" s="32">
        <f t="shared" si="59"/>
        <v>5478.5558535868531</v>
      </c>
      <c r="J129" s="32">
        <f t="shared" si="59"/>
        <v>4990.2573494642347</v>
      </c>
      <c r="K129" s="32">
        <f t="shared" si="59"/>
        <v>4040.4114358947782</v>
      </c>
      <c r="L129" s="32">
        <f t="shared" si="59"/>
        <v>3273.7773346779795</v>
      </c>
      <c r="M129" s="32">
        <f t="shared" si="59"/>
        <v>2650.6194397900267</v>
      </c>
      <c r="N129" s="32">
        <f t="shared" si="59"/>
        <v>2165.7889772081548</v>
      </c>
      <c r="O129" s="32">
        <f t="shared" si="59"/>
        <v>1753.1876026862592</v>
      </c>
      <c r="P129" s="32">
        <f t="shared" si="59"/>
        <v>1419.1167317957859</v>
      </c>
      <c r="Q129" s="32">
        <f t="shared" si="59"/>
        <v>1147.8502561987405</v>
      </c>
      <c r="R129" s="32">
        <f t="shared" si="59"/>
        <v>929.01416704291353</v>
      </c>
      <c r="S129" s="32">
        <f t="shared" si="59"/>
        <v>757.79552169747535</v>
      </c>
      <c r="T129" s="32">
        <f t="shared" si="59"/>
        <v>613.5440852339558</v>
      </c>
      <c r="U129" s="32">
        <f t="shared" si="59"/>
        <v>4.2376359409118223</v>
      </c>
      <c r="V129" s="32">
        <f t="shared" si="59"/>
        <v>1.5323540995451719</v>
      </c>
      <c r="W129" s="32">
        <f t="shared" si="59"/>
        <v>0.52853335042523197</v>
      </c>
      <c r="X129" s="32">
        <f t="shared" si="59"/>
        <v>0.17595784052685079</v>
      </c>
      <c r="Y129" s="32"/>
      <c r="AA129" s="32">
        <f t="shared" si="56"/>
        <v>50378.46304577704</v>
      </c>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row>
    <row r="130" spans="2:71">
      <c r="B130" s="7" t="str">
        <f t="shared" si="7"/>
        <v>Wheel/hand line systems: Rebuild or replace leaking impact sprinkler with new or rebuilt impact sprinkler Oregon</v>
      </c>
      <c r="C130" s="7" t="s">
        <v>1294</v>
      </c>
      <c r="D130" s="7" t="s">
        <v>432</v>
      </c>
      <c r="E130" s="32">
        <f t="shared" ref="E130:X130" si="60">E72*E$88*$AA$29</f>
        <v>10414.460234497183</v>
      </c>
      <c r="F130" s="32">
        <f t="shared" si="60"/>
        <v>10519.759203534797</v>
      </c>
      <c r="G130" s="32">
        <f t="shared" si="60"/>
        <v>10625.579749464318</v>
      </c>
      <c r="H130" s="32">
        <f t="shared" si="60"/>
        <v>10744.340431040679</v>
      </c>
      <c r="I130" s="32">
        <f t="shared" si="60"/>
        <v>10957.111707173706</v>
      </c>
      <c r="J130" s="32">
        <f t="shared" si="60"/>
        <v>9980.5146989284694</v>
      </c>
      <c r="K130" s="32">
        <f t="shared" si="60"/>
        <v>8080.8228717895563</v>
      </c>
      <c r="L130" s="32">
        <f t="shared" si="60"/>
        <v>6547.554669355959</v>
      </c>
      <c r="M130" s="32">
        <f t="shared" si="60"/>
        <v>5301.2388795800534</v>
      </c>
      <c r="N130" s="32">
        <f t="shared" si="60"/>
        <v>4331.5779544163097</v>
      </c>
      <c r="O130" s="32">
        <f t="shared" si="60"/>
        <v>3506.3752053725184</v>
      </c>
      <c r="P130" s="32">
        <f t="shared" si="60"/>
        <v>2838.2334635915718</v>
      </c>
      <c r="Q130" s="32">
        <f t="shared" si="60"/>
        <v>2295.7005123974809</v>
      </c>
      <c r="R130" s="32">
        <f t="shared" si="60"/>
        <v>1858.0283340858271</v>
      </c>
      <c r="S130" s="32">
        <f t="shared" si="60"/>
        <v>1515.5910433949507</v>
      </c>
      <c r="T130" s="32">
        <f t="shared" si="60"/>
        <v>1227.0881704679116</v>
      </c>
      <c r="U130" s="32">
        <f t="shared" si="60"/>
        <v>8.4752718818236445</v>
      </c>
      <c r="V130" s="32">
        <f t="shared" si="60"/>
        <v>3.0647081990903438</v>
      </c>
      <c r="W130" s="32">
        <f t="shared" si="60"/>
        <v>1.0570667008504639</v>
      </c>
      <c r="X130" s="32">
        <f t="shared" si="60"/>
        <v>0.35191568105370158</v>
      </c>
      <c r="Y130" s="32"/>
      <c r="AA130" s="32">
        <f>SUM(E130:X130)</f>
        <v>100756.92609155408</v>
      </c>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row>
    <row r="131" spans="2:71">
      <c r="B131" s="7" t="str">
        <f t="shared" si="7"/>
        <v>Wheel/hand line systems: Replace leaking gasket with new gasket Oregon</v>
      </c>
      <c r="C131" s="7" t="s">
        <v>1296</v>
      </c>
      <c r="D131" s="7" t="s">
        <v>432</v>
      </c>
      <c r="E131" s="32">
        <f t="shared" ref="E131:X131" si="61">E73*E$88*$AA$29</f>
        <v>10414.460234497183</v>
      </c>
      <c r="F131" s="32">
        <f t="shared" si="61"/>
        <v>10519.759203534797</v>
      </c>
      <c r="G131" s="32">
        <f t="shared" si="61"/>
        <v>10625.579749464318</v>
      </c>
      <c r="H131" s="32">
        <f t="shared" si="61"/>
        <v>10744.340431040679</v>
      </c>
      <c r="I131" s="32">
        <f t="shared" si="61"/>
        <v>10957.111707173706</v>
      </c>
      <c r="J131" s="32">
        <f t="shared" si="61"/>
        <v>9980.5146989284694</v>
      </c>
      <c r="K131" s="32">
        <f t="shared" si="61"/>
        <v>8080.8228717895563</v>
      </c>
      <c r="L131" s="32">
        <f t="shared" si="61"/>
        <v>6547.554669355959</v>
      </c>
      <c r="M131" s="32">
        <f t="shared" si="61"/>
        <v>5301.2388795800534</v>
      </c>
      <c r="N131" s="32">
        <f t="shared" si="61"/>
        <v>4331.5779544163097</v>
      </c>
      <c r="O131" s="32">
        <f t="shared" si="61"/>
        <v>3506.3752053725184</v>
      </c>
      <c r="P131" s="32">
        <f t="shared" si="61"/>
        <v>2838.2334635915718</v>
      </c>
      <c r="Q131" s="32">
        <f t="shared" si="61"/>
        <v>2295.7005123974809</v>
      </c>
      <c r="R131" s="32">
        <f t="shared" si="61"/>
        <v>1858.0283340858271</v>
      </c>
      <c r="S131" s="32">
        <f t="shared" si="61"/>
        <v>1515.5910433949507</v>
      </c>
      <c r="T131" s="32">
        <f t="shared" si="61"/>
        <v>1227.0881704679116</v>
      </c>
      <c r="U131" s="32">
        <f t="shared" si="61"/>
        <v>8.4752718818236445</v>
      </c>
      <c r="V131" s="32">
        <f t="shared" si="61"/>
        <v>3.0647081990903438</v>
      </c>
      <c r="W131" s="32">
        <f t="shared" si="61"/>
        <v>1.0570667008504639</v>
      </c>
      <c r="X131" s="32">
        <f t="shared" si="61"/>
        <v>0.35191568105370158</v>
      </c>
      <c r="Y131" s="32"/>
      <c r="AA131" s="32">
        <f t="shared" ref="AA131:AA133" si="62">SUM(E131:X131)</f>
        <v>100756.92609155408</v>
      </c>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row>
    <row r="132" spans="2:71">
      <c r="B132" s="7" t="str">
        <f t="shared" si="7"/>
        <v>Wheel/hand line systems: Replace leaking drain with new drain Oregon</v>
      </c>
      <c r="C132" s="7" t="s">
        <v>1298</v>
      </c>
      <c r="D132" s="7" t="s">
        <v>432</v>
      </c>
      <c r="E132" s="32">
        <f t="shared" ref="E132:X132" si="63">E74*E$88*$AA$29</f>
        <v>10414.460234497183</v>
      </c>
      <c r="F132" s="32">
        <f t="shared" si="63"/>
        <v>10519.759203534797</v>
      </c>
      <c r="G132" s="32">
        <f t="shared" si="63"/>
        <v>10625.579749464318</v>
      </c>
      <c r="H132" s="32">
        <f t="shared" si="63"/>
        <v>10744.340431040679</v>
      </c>
      <c r="I132" s="32">
        <f t="shared" si="63"/>
        <v>10957.111707173706</v>
      </c>
      <c r="J132" s="32">
        <f t="shared" si="63"/>
        <v>9980.5146989284694</v>
      </c>
      <c r="K132" s="32">
        <f t="shared" si="63"/>
        <v>8080.8228717895563</v>
      </c>
      <c r="L132" s="32">
        <f t="shared" si="63"/>
        <v>6547.554669355959</v>
      </c>
      <c r="M132" s="32">
        <f t="shared" si="63"/>
        <v>5301.2388795800534</v>
      </c>
      <c r="N132" s="32">
        <f t="shared" si="63"/>
        <v>4331.5779544163097</v>
      </c>
      <c r="O132" s="32">
        <f t="shared" si="63"/>
        <v>3506.3752053725184</v>
      </c>
      <c r="P132" s="32">
        <f t="shared" si="63"/>
        <v>2838.2334635915718</v>
      </c>
      <c r="Q132" s="32">
        <f t="shared" si="63"/>
        <v>2295.7005123974809</v>
      </c>
      <c r="R132" s="32">
        <f t="shared" si="63"/>
        <v>1858.0283340858271</v>
      </c>
      <c r="S132" s="32">
        <f t="shared" si="63"/>
        <v>1515.5910433949507</v>
      </c>
      <c r="T132" s="32">
        <f t="shared" si="63"/>
        <v>1227.0881704679116</v>
      </c>
      <c r="U132" s="32">
        <f t="shared" si="63"/>
        <v>8.4752718818236445</v>
      </c>
      <c r="V132" s="32">
        <f t="shared" si="63"/>
        <v>3.0647081990903438</v>
      </c>
      <c r="W132" s="32">
        <f t="shared" si="63"/>
        <v>1.0570667008504639</v>
      </c>
      <c r="X132" s="32">
        <f t="shared" si="63"/>
        <v>0.35191568105370158</v>
      </c>
      <c r="Y132" s="32"/>
      <c r="AA132" s="32">
        <f t="shared" si="62"/>
        <v>100756.92609155408</v>
      </c>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row>
    <row r="133" spans="2:71">
      <c r="B133" s="7" t="str">
        <f t="shared" si="7"/>
        <v>Wheel/hand line systems: Cut and pipe press repair of leaking hand-lines, wheel-lines, and portable main-lines Oregon</v>
      </c>
      <c r="C133" s="7" t="s">
        <v>1300</v>
      </c>
      <c r="D133" s="7" t="s">
        <v>432</v>
      </c>
      <c r="E133" s="32">
        <f t="shared" ref="E133:X133" si="64">E75*E$88*$AA$29</f>
        <v>10414.460234497183</v>
      </c>
      <c r="F133" s="32">
        <f t="shared" si="64"/>
        <v>10519.759203534797</v>
      </c>
      <c r="G133" s="32">
        <f t="shared" si="64"/>
        <v>10625.579749464318</v>
      </c>
      <c r="H133" s="32">
        <f t="shared" si="64"/>
        <v>10744.340431040679</v>
      </c>
      <c r="I133" s="32">
        <f t="shared" si="64"/>
        <v>10957.111707173706</v>
      </c>
      <c r="J133" s="32">
        <f t="shared" si="64"/>
        <v>9980.5146989284694</v>
      </c>
      <c r="K133" s="32">
        <f t="shared" si="64"/>
        <v>8080.8228717895563</v>
      </c>
      <c r="L133" s="32">
        <f t="shared" si="64"/>
        <v>6547.554669355959</v>
      </c>
      <c r="M133" s="32">
        <f t="shared" si="64"/>
        <v>5301.2388795800534</v>
      </c>
      <c r="N133" s="32">
        <f t="shared" si="64"/>
        <v>4331.5779544163097</v>
      </c>
      <c r="O133" s="32">
        <f t="shared" si="64"/>
        <v>3506.3752053725184</v>
      </c>
      <c r="P133" s="32">
        <f t="shared" si="64"/>
        <v>2838.2334635915718</v>
      </c>
      <c r="Q133" s="32">
        <f t="shared" si="64"/>
        <v>2295.7005123974809</v>
      </c>
      <c r="R133" s="32">
        <f t="shared" si="64"/>
        <v>1858.0283340858271</v>
      </c>
      <c r="S133" s="32">
        <f t="shared" si="64"/>
        <v>1515.5910433949507</v>
      </c>
      <c r="T133" s="32">
        <f t="shared" si="64"/>
        <v>1227.0881704679116</v>
      </c>
      <c r="U133" s="32">
        <f t="shared" si="64"/>
        <v>8.4752718818236445</v>
      </c>
      <c r="V133" s="32">
        <f t="shared" si="64"/>
        <v>3.0647081990903438</v>
      </c>
      <c r="W133" s="32">
        <f t="shared" si="64"/>
        <v>1.0570667008504639</v>
      </c>
      <c r="X133" s="32">
        <f t="shared" si="64"/>
        <v>0.35191568105370158</v>
      </c>
      <c r="Y133" s="32"/>
      <c r="AA133" s="32">
        <f t="shared" si="62"/>
        <v>100756.92609155408</v>
      </c>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row>
    <row r="134" spans="2:71">
      <c r="B134" s="7" t="str">
        <f t="shared" si="7"/>
        <v>Thunderbird wheel line systems: Replace leaking hub with new hub Oregon</v>
      </c>
      <c r="C134" s="7" t="s">
        <v>1302</v>
      </c>
      <c r="D134" s="7" t="s">
        <v>432</v>
      </c>
      <c r="E134" s="32">
        <f t="shared" ref="E134:X134" si="65">E76*E$88*$AA$29</f>
        <v>1679.1209650584981</v>
      </c>
      <c r="F134" s="32">
        <f t="shared" si="65"/>
        <v>1696.0982929784254</v>
      </c>
      <c r="G134" s="32">
        <f t="shared" si="65"/>
        <v>1713.1597146175059</v>
      </c>
      <c r="H134" s="32">
        <f t="shared" si="65"/>
        <v>1732.3074712721389</v>
      </c>
      <c r="I134" s="32">
        <f t="shared" si="65"/>
        <v>1766.6125338939912</v>
      </c>
      <c r="J134" s="32">
        <f t="shared" si="65"/>
        <v>1609.1560288006046</v>
      </c>
      <c r="K134" s="32">
        <f t="shared" si="65"/>
        <v>1302.8691639726801</v>
      </c>
      <c r="L134" s="32">
        <f t="shared" si="65"/>
        <v>1055.6606936540923</v>
      </c>
      <c r="M134" s="32">
        <f t="shared" si="65"/>
        <v>854.71749308723133</v>
      </c>
      <c r="N134" s="32">
        <f t="shared" si="65"/>
        <v>698.37929103166698</v>
      </c>
      <c r="O134" s="32">
        <f t="shared" si="65"/>
        <v>565.33204660957188</v>
      </c>
      <c r="P134" s="32">
        <f t="shared" si="65"/>
        <v>457.6077113109547</v>
      </c>
      <c r="Q134" s="32">
        <f t="shared" si="65"/>
        <v>370.1352516660944</v>
      </c>
      <c r="R134" s="32">
        <f t="shared" si="65"/>
        <v>299.56946967850774</v>
      </c>
      <c r="S134" s="32">
        <f t="shared" si="65"/>
        <v>244.3583861398472</v>
      </c>
      <c r="T134" s="32">
        <f t="shared" si="65"/>
        <v>197.84313604491149</v>
      </c>
      <c r="U134" s="32">
        <f t="shared" si="65"/>
        <v>1.3664660847426007</v>
      </c>
      <c r="V134" s="32">
        <f t="shared" si="65"/>
        <v>0.49412217945136017</v>
      </c>
      <c r="W134" s="32">
        <f t="shared" si="65"/>
        <v>0.17043061463558701</v>
      </c>
      <c r="X134" s="32">
        <f t="shared" si="65"/>
        <v>5.6739282179288059E-2</v>
      </c>
      <c r="Y134" s="32"/>
      <c r="AA134" s="32">
        <f>SUM(E134:X134)</f>
        <v>16245.015407977731</v>
      </c>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row>
    <row r="135" spans="2:71">
      <c r="B135" s="7" t="str">
        <f t="shared" si="7"/>
        <v>Wheel line systems: Rebuild or replace leaking or malfunctioning leveler with new or rebuilt leveler. Oregon</v>
      </c>
      <c r="C135" s="7" t="s">
        <v>1304</v>
      </c>
      <c r="D135" s="7" t="s">
        <v>432</v>
      </c>
      <c r="E135" s="32">
        <f t="shared" ref="E135:X135" si="66">E77*E$88*$AA$29</f>
        <v>1679.1209650584981</v>
      </c>
      <c r="F135" s="32">
        <f t="shared" si="66"/>
        <v>1696.0982929784254</v>
      </c>
      <c r="G135" s="32">
        <f t="shared" si="66"/>
        <v>1713.1597146175059</v>
      </c>
      <c r="H135" s="32">
        <f t="shared" si="66"/>
        <v>1732.3074712721389</v>
      </c>
      <c r="I135" s="32">
        <f t="shared" si="66"/>
        <v>1766.6125338939912</v>
      </c>
      <c r="J135" s="32">
        <f t="shared" si="66"/>
        <v>1609.1560288006046</v>
      </c>
      <c r="K135" s="32">
        <f t="shared" si="66"/>
        <v>1302.8691639726801</v>
      </c>
      <c r="L135" s="32">
        <f t="shared" si="66"/>
        <v>1055.6606936540923</v>
      </c>
      <c r="M135" s="32">
        <f t="shared" si="66"/>
        <v>854.71749308723133</v>
      </c>
      <c r="N135" s="32">
        <f t="shared" si="66"/>
        <v>698.37929103166698</v>
      </c>
      <c r="O135" s="32">
        <f t="shared" si="66"/>
        <v>565.33204660957188</v>
      </c>
      <c r="P135" s="32">
        <f t="shared" si="66"/>
        <v>457.6077113109547</v>
      </c>
      <c r="Q135" s="32">
        <f t="shared" si="66"/>
        <v>370.1352516660944</v>
      </c>
      <c r="R135" s="32">
        <f t="shared" si="66"/>
        <v>299.56946967850774</v>
      </c>
      <c r="S135" s="32">
        <f t="shared" si="66"/>
        <v>244.3583861398472</v>
      </c>
      <c r="T135" s="32">
        <f t="shared" si="66"/>
        <v>197.84313604491149</v>
      </c>
      <c r="U135" s="32">
        <f t="shared" si="66"/>
        <v>1.3664660847426007</v>
      </c>
      <c r="V135" s="32">
        <f t="shared" si="66"/>
        <v>0.49412217945136017</v>
      </c>
      <c r="W135" s="32">
        <f t="shared" si="66"/>
        <v>0.17043061463558701</v>
      </c>
      <c r="X135" s="32">
        <f t="shared" si="66"/>
        <v>5.6739282179288059E-2</v>
      </c>
      <c r="Y135" s="32"/>
      <c r="AA135" s="32">
        <f t="shared" ref="AA135:AA137" si="67">SUM(E135:X135)</f>
        <v>16245.015407977731</v>
      </c>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row>
    <row r="136" spans="2:71">
      <c r="B136" s="7" t="str">
        <f t="shared" si="7"/>
        <v>Center pivot/linear move systems: Install new sprinkler package on an existing system. Oregon</v>
      </c>
      <c r="C136" s="7" t="s">
        <v>1306</v>
      </c>
      <c r="D136" s="7" t="s">
        <v>432</v>
      </c>
      <c r="E136" s="32">
        <f t="shared" ref="E136:X136" si="68">E78*E$88*$AA$29</f>
        <v>15148.513706793612</v>
      </c>
      <c r="F136" s="32">
        <f t="shared" si="68"/>
        <v>15301.677945732637</v>
      </c>
      <c r="G136" s="32">
        <f t="shared" si="68"/>
        <v>15455.600852381589</v>
      </c>
      <c r="H136" s="32">
        <f t="shared" si="68"/>
        <v>15628.346032849842</v>
      </c>
      <c r="I136" s="32">
        <f t="shared" si="68"/>
        <v>15937.835773108929</v>
      </c>
      <c r="J136" s="32">
        <f t="shared" si="68"/>
        <v>14517.311537353293</v>
      </c>
      <c r="K136" s="32">
        <f t="shared" si="68"/>
        <v>11754.085500273224</v>
      </c>
      <c r="L136" s="32">
        <f t="shared" si="68"/>
        <v>9523.8465961177135</v>
      </c>
      <c r="M136" s="32">
        <f t="shared" si="68"/>
        <v>7710.9987480962227</v>
      </c>
      <c r="N136" s="32">
        <f t="shared" si="68"/>
        <v>6300.563498929002</v>
      </c>
      <c r="O136" s="32">
        <f t="shared" si="68"/>
        <v>5100.2521171286962</v>
      </c>
      <c r="P136" s="32">
        <f t="shared" si="68"/>
        <v>4128.3962450477457</v>
      </c>
      <c r="Q136" s="32">
        <f t="shared" si="68"/>
        <v>3339.2465759820916</v>
      </c>
      <c r="R136" s="32">
        <f t="shared" si="68"/>
        <v>2702.6237608817355</v>
      </c>
      <c r="S136" s="32">
        <f t="shared" si="68"/>
        <v>2204.5263199250685</v>
      </c>
      <c r="T136" s="32">
        <f t="shared" si="68"/>
        <v>1784.8800179008915</v>
      </c>
      <c r="U136" s="32">
        <f t="shared" si="68"/>
        <v>12.32783738953002</v>
      </c>
      <c r="V136" s="32">
        <f t="shared" si="68"/>
        <v>4.4578185634105791</v>
      </c>
      <c r="W136" s="32">
        <f t="shared" si="68"/>
        <v>1.5375726678360566</v>
      </c>
      <c r="X136" s="32">
        <f t="shared" si="68"/>
        <v>0.5118843797990642</v>
      </c>
      <c r="Y136" s="32"/>
      <c r="AA136" s="32">
        <f t="shared" si="67"/>
        <v>146557.54034150287</v>
      </c>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row>
    <row r="137" spans="2:71">
      <c r="B137" s="7" t="str">
        <f t="shared" si="7"/>
        <v>Center pivot/linear move systems: New gooseneck elbows Oregon</v>
      </c>
      <c r="C137" s="7" t="s">
        <v>1308</v>
      </c>
      <c r="D137" s="7" t="s">
        <v>432</v>
      </c>
      <c r="E137" s="32">
        <f t="shared" ref="E137:X137" si="69">E79*E$88*$AA$29</f>
        <v>15148.513706793612</v>
      </c>
      <c r="F137" s="32">
        <f t="shared" si="69"/>
        <v>15301.677945732637</v>
      </c>
      <c r="G137" s="32">
        <f t="shared" si="69"/>
        <v>15455.600852381589</v>
      </c>
      <c r="H137" s="32">
        <f t="shared" si="69"/>
        <v>15628.346032849842</v>
      </c>
      <c r="I137" s="32">
        <f t="shared" si="69"/>
        <v>15937.835773108929</v>
      </c>
      <c r="J137" s="32">
        <f t="shared" si="69"/>
        <v>14517.311537353293</v>
      </c>
      <c r="K137" s="32">
        <f t="shared" si="69"/>
        <v>11754.085500273224</v>
      </c>
      <c r="L137" s="32">
        <f t="shared" si="69"/>
        <v>9523.8465961177135</v>
      </c>
      <c r="M137" s="32">
        <f t="shared" si="69"/>
        <v>7710.9987480962227</v>
      </c>
      <c r="N137" s="32">
        <f t="shared" si="69"/>
        <v>6300.563498929002</v>
      </c>
      <c r="O137" s="32">
        <f t="shared" si="69"/>
        <v>5100.2521171286962</v>
      </c>
      <c r="P137" s="32">
        <f t="shared" si="69"/>
        <v>4128.3962450477457</v>
      </c>
      <c r="Q137" s="32">
        <f t="shared" si="69"/>
        <v>3339.2465759820916</v>
      </c>
      <c r="R137" s="32">
        <f t="shared" si="69"/>
        <v>2702.6237608817355</v>
      </c>
      <c r="S137" s="32">
        <f t="shared" si="69"/>
        <v>2204.5263199250685</v>
      </c>
      <c r="T137" s="32">
        <f t="shared" si="69"/>
        <v>1784.8800179008915</v>
      </c>
      <c r="U137" s="32">
        <f t="shared" si="69"/>
        <v>12.32783738953002</v>
      </c>
      <c r="V137" s="32">
        <f t="shared" si="69"/>
        <v>4.4578185634105791</v>
      </c>
      <c r="W137" s="32">
        <f t="shared" si="69"/>
        <v>1.5375726678360566</v>
      </c>
      <c r="X137" s="32">
        <f t="shared" si="69"/>
        <v>0.5118843797990642</v>
      </c>
      <c r="Y137" s="32"/>
      <c r="AA137" s="32">
        <f t="shared" si="67"/>
        <v>146557.54034150287</v>
      </c>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row>
    <row r="138" spans="2:71">
      <c r="B138" s="7" t="str">
        <f t="shared" si="7"/>
        <v>Center pivot/linear move systems: New drop tubes (3 feet minimum) Oregon</v>
      </c>
      <c r="C138" s="7" t="s">
        <v>1310</v>
      </c>
      <c r="D138" s="7" t="s">
        <v>432</v>
      </c>
      <c r="E138" s="32">
        <f t="shared" ref="E138:X138" si="70">E80*E$88*$AA$29</f>
        <v>15148.513706793612</v>
      </c>
      <c r="F138" s="32">
        <f t="shared" si="70"/>
        <v>15301.677945732637</v>
      </c>
      <c r="G138" s="32">
        <f t="shared" si="70"/>
        <v>15455.600852381589</v>
      </c>
      <c r="H138" s="32">
        <f t="shared" si="70"/>
        <v>15628.346032849842</v>
      </c>
      <c r="I138" s="32">
        <f t="shared" si="70"/>
        <v>15937.835773108929</v>
      </c>
      <c r="J138" s="32">
        <f t="shared" si="70"/>
        <v>14517.311537353293</v>
      </c>
      <c r="K138" s="32">
        <f t="shared" si="70"/>
        <v>11754.085500273224</v>
      </c>
      <c r="L138" s="32">
        <f t="shared" si="70"/>
        <v>9523.8465961177135</v>
      </c>
      <c r="M138" s="32">
        <f t="shared" si="70"/>
        <v>7710.9987480962227</v>
      </c>
      <c r="N138" s="32">
        <f t="shared" si="70"/>
        <v>6300.563498929002</v>
      </c>
      <c r="O138" s="32">
        <f t="shared" si="70"/>
        <v>5100.2521171286962</v>
      </c>
      <c r="P138" s="32">
        <f t="shared" si="70"/>
        <v>4128.3962450477457</v>
      </c>
      <c r="Q138" s="32">
        <f t="shared" si="70"/>
        <v>3339.2465759820916</v>
      </c>
      <c r="R138" s="32">
        <f t="shared" si="70"/>
        <v>2702.6237608817355</v>
      </c>
      <c r="S138" s="32">
        <f t="shared" si="70"/>
        <v>2204.5263199250685</v>
      </c>
      <c r="T138" s="32">
        <f t="shared" si="70"/>
        <v>1784.8800179008915</v>
      </c>
      <c r="U138" s="32">
        <f t="shared" si="70"/>
        <v>12.32783738953002</v>
      </c>
      <c r="V138" s="32">
        <f t="shared" si="70"/>
        <v>4.4578185634105791</v>
      </c>
      <c r="W138" s="32">
        <f t="shared" si="70"/>
        <v>1.5375726678360566</v>
      </c>
      <c r="X138" s="32">
        <f t="shared" si="70"/>
        <v>0.5118843797990642</v>
      </c>
      <c r="Y138" s="32"/>
      <c r="AA138" s="32">
        <f>SUM(E138:X138)</f>
        <v>146557.54034150287</v>
      </c>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row>
    <row r="139" spans="2:71">
      <c r="B139" s="7" t="str">
        <f t="shared" si="7"/>
        <v>Center pivot/linear move systems: Replace leaking pivot boot gasket with new pivot boot gasket Oregon</v>
      </c>
      <c r="C139" s="7" t="s">
        <v>1312</v>
      </c>
      <c r="D139" s="7" t="s">
        <v>432</v>
      </c>
      <c r="E139" s="32">
        <f t="shared" ref="E139:X139" si="71">E81*E$88*$AA$29</f>
        <v>15148.513706793612</v>
      </c>
      <c r="F139" s="32">
        <f t="shared" si="71"/>
        <v>15301.677945732637</v>
      </c>
      <c r="G139" s="32">
        <f t="shared" si="71"/>
        <v>15455.600852381589</v>
      </c>
      <c r="H139" s="32">
        <f t="shared" si="71"/>
        <v>15628.346032849842</v>
      </c>
      <c r="I139" s="32">
        <f t="shared" si="71"/>
        <v>15937.835773108929</v>
      </c>
      <c r="J139" s="32">
        <f t="shared" si="71"/>
        <v>14517.311537353293</v>
      </c>
      <c r="K139" s="32">
        <f t="shared" si="71"/>
        <v>11754.085500273224</v>
      </c>
      <c r="L139" s="32">
        <f t="shared" si="71"/>
        <v>9523.8465961177135</v>
      </c>
      <c r="M139" s="32">
        <f t="shared" si="71"/>
        <v>7710.9987480962227</v>
      </c>
      <c r="N139" s="32">
        <f t="shared" si="71"/>
        <v>6300.563498929002</v>
      </c>
      <c r="O139" s="32">
        <f t="shared" si="71"/>
        <v>5100.2521171286962</v>
      </c>
      <c r="P139" s="32">
        <f t="shared" si="71"/>
        <v>4128.3962450477457</v>
      </c>
      <c r="Q139" s="32">
        <f t="shared" si="71"/>
        <v>3339.2465759820916</v>
      </c>
      <c r="R139" s="32">
        <f t="shared" si="71"/>
        <v>2702.6237608817355</v>
      </c>
      <c r="S139" s="32">
        <f t="shared" si="71"/>
        <v>2204.5263199250685</v>
      </c>
      <c r="T139" s="32">
        <f t="shared" si="71"/>
        <v>1784.8800179008915</v>
      </c>
      <c r="U139" s="32">
        <f t="shared" si="71"/>
        <v>12.32783738953002</v>
      </c>
      <c r="V139" s="32">
        <f t="shared" si="71"/>
        <v>4.4578185634105791</v>
      </c>
      <c r="W139" s="32">
        <f t="shared" si="71"/>
        <v>1.5375726678360566</v>
      </c>
      <c r="X139" s="32">
        <f t="shared" si="71"/>
        <v>0.5118843797990642</v>
      </c>
      <c r="Y139" s="32"/>
      <c r="AA139" s="32">
        <f t="shared" ref="AA139:AA140" si="72">SUM(E139:X139)</f>
        <v>146557.54034150287</v>
      </c>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row>
    <row r="140" spans="2:71">
      <c r="B140" s="7" t="str">
        <f t="shared" si="7"/>
        <v>Center pivot/linear move systems: Replace leaking tower gasket with new tower gasket Oregon</v>
      </c>
      <c r="C140" s="7" t="s">
        <v>1314</v>
      </c>
      <c r="D140" s="7" t="s">
        <v>432</v>
      </c>
      <c r="E140" s="32">
        <f t="shared" ref="E140:X140" si="73">E82*E$88*$AA$29</f>
        <v>15148.513706793612</v>
      </c>
      <c r="F140" s="32">
        <f t="shared" si="73"/>
        <v>15301.677945732637</v>
      </c>
      <c r="G140" s="32">
        <f t="shared" si="73"/>
        <v>15455.600852381589</v>
      </c>
      <c r="H140" s="32">
        <f t="shared" si="73"/>
        <v>15628.346032849842</v>
      </c>
      <c r="I140" s="32">
        <f t="shared" si="73"/>
        <v>15937.835773108929</v>
      </c>
      <c r="J140" s="32">
        <f t="shared" si="73"/>
        <v>14517.311537353293</v>
      </c>
      <c r="K140" s="32">
        <f t="shared" si="73"/>
        <v>11754.085500273224</v>
      </c>
      <c r="L140" s="32">
        <f t="shared" si="73"/>
        <v>9523.8465961177135</v>
      </c>
      <c r="M140" s="32">
        <f t="shared" si="73"/>
        <v>7710.9987480962227</v>
      </c>
      <c r="N140" s="32">
        <f t="shared" si="73"/>
        <v>6300.563498929002</v>
      </c>
      <c r="O140" s="32">
        <f t="shared" si="73"/>
        <v>5100.2521171286962</v>
      </c>
      <c r="P140" s="32">
        <f t="shared" si="73"/>
        <v>4128.3962450477457</v>
      </c>
      <c r="Q140" s="32">
        <f t="shared" si="73"/>
        <v>3339.2465759820916</v>
      </c>
      <c r="R140" s="32">
        <f t="shared" si="73"/>
        <v>2702.6237608817355</v>
      </c>
      <c r="S140" s="32">
        <f t="shared" si="73"/>
        <v>2204.5263199250685</v>
      </c>
      <c r="T140" s="32">
        <f t="shared" si="73"/>
        <v>1784.8800179008915</v>
      </c>
      <c r="U140" s="32">
        <f t="shared" si="73"/>
        <v>12.32783738953002</v>
      </c>
      <c r="V140" s="32">
        <f t="shared" si="73"/>
        <v>4.4578185634105791</v>
      </c>
      <c r="W140" s="32">
        <f t="shared" si="73"/>
        <v>1.5375726678360566</v>
      </c>
      <c r="X140" s="32">
        <f t="shared" si="73"/>
        <v>0.5118843797990642</v>
      </c>
      <c r="Y140" s="32"/>
      <c r="AA140" s="32">
        <f t="shared" si="72"/>
        <v>146557.54034150287</v>
      </c>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row>
    <row r="141" spans="2:71">
      <c r="E141" s="32"/>
      <c r="F141" s="32"/>
      <c r="G141" s="32"/>
      <c r="H141" s="32"/>
      <c r="I141" s="32"/>
      <c r="J141" s="32"/>
      <c r="K141" s="32"/>
      <c r="L141" s="32"/>
      <c r="M141" s="32"/>
      <c r="N141" s="32"/>
      <c r="O141" s="32"/>
      <c r="P141" s="32"/>
      <c r="Q141" s="32"/>
      <c r="R141" s="32"/>
      <c r="S141" s="32"/>
      <c r="T141" s="32"/>
      <c r="U141" s="32"/>
      <c r="V141" s="32"/>
      <c r="W141" s="32"/>
      <c r="X141" s="32"/>
      <c r="Y141" s="32"/>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row>
    <row r="142" spans="2:71">
      <c r="C142" s="7" t="s">
        <v>1275</v>
      </c>
      <c r="E142" s="32">
        <f>SUM(E89:E92)</f>
        <v>49317.442787616339</v>
      </c>
      <c r="F142" s="32">
        <f t="shared" ref="F142:X142" si="74">SUM(F89:F92)</f>
        <v>49323.609490084185</v>
      </c>
      <c r="G142" s="32">
        <f t="shared" si="74"/>
        <v>49332.179901041527</v>
      </c>
      <c r="H142" s="32">
        <f t="shared" si="74"/>
        <v>49362.376586052662</v>
      </c>
      <c r="I142" s="32">
        <f t="shared" si="74"/>
        <v>49405.878408287535</v>
      </c>
      <c r="J142" s="32">
        <f t="shared" si="74"/>
        <v>44515.100462223425</v>
      </c>
      <c r="K142" s="32">
        <f t="shared" si="74"/>
        <v>35657.371341237318</v>
      </c>
      <c r="L142" s="32">
        <f t="shared" si="74"/>
        <v>28566.987607946961</v>
      </c>
      <c r="M142" s="32">
        <f t="shared" si="74"/>
        <v>22889.868781143206</v>
      </c>
      <c r="N142" s="32">
        <f t="shared" si="74"/>
        <v>18343.39997459267</v>
      </c>
      <c r="O142" s="32">
        <f t="shared" si="74"/>
        <v>14701.558648478414</v>
      </c>
      <c r="P142" s="32">
        <f t="shared" si="74"/>
        <v>11784.037321742777</v>
      </c>
      <c r="Q142" s="32">
        <f t="shared" si="74"/>
        <v>9446.3823297926629</v>
      </c>
      <c r="R142" s="32">
        <f t="shared" si="74"/>
        <v>7573.187985949311</v>
      </c>
      <c r="S142" s="32">
        <f t="shared" si="74"/>
        <v>6071.9558843581881</v>
      </c>
      <c r="T142" s="32">
        <f t="shared" si="74"/>
        <v>4868.5322265806035</v>
      </c>
      <c r="U142" s="32">
        <f t="shared" si="74"/>
        <v>33.285041909380467</v>
      </c>
      <c r="V142" s="32">
        <f t="shared" si="74"/>
        <v>11.916216980348363</v>
      </c>
      <c r="W142" s="32">
        <f t="shared" si="74"/>
        <v>4.0724409444658924</v>
      </c>
      <c r="X142" s="32">
        <f t="shared" si="74"/>
        <v>1.3313354954566305</v>
      </c>
      <c r="Y142" s="32"/>
      <c r="AA142" s="32">
        <f t="shared" ref="AA142" si="75">SUM(E142:Y142)</f>
        <v>451210.4747724575</v>
      </c>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row>
    <row r="143" spans="2:71">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row>
    <row r="144" spans="2:71">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row>
    <row r="145" spans="1:80">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row>
    <row r="146" spans="1:80" ht="15">
      <c r="A146" s="49" t="s">
        <v>32</v>
      </c>
      <c r="C146" s="57" t="str">
        <f>C8</f>
        <v>Irrigation Hardware</v>
      </c>
      <c r="D146" s="57"/>
      <c r="E146" s="7" t="s">
        <v>128</v>
      </c>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ht="15">
      <c r="A147" s="57" t="s">
        <v>33</v>
      </c>
      <c r="B147" s="57" t="s">
        <v>21</v>
      </c>
      <c r="C147" s="57">
        <v>1</v>
      </c>
      <c r="D147" s="57"/>
      <c r="E147" s="51">
        <f t="shared" ref="E147:X147" si="76">E11</f>
        <v>2016</v>
      </c>
      <c r="F147" s="52">
        <f t="shared" si="76"/>
        <v>2017</v>
      </c>
      <c r="G147" s="52">
        <f t="shared" si="76"/>
        <v>2018</v>
      </c>
      <c r="H147" s="52">
        <f t="shared" si="76"/>
        <v>2019</v>
      </c>
      <c r="I147" s="52">
        <f t="shared" si="76"/>
        <v>2020</v>
      </c>
      <c r="J147" s="52">
        <f t="shared" si="76"/>
        <v>2021</v>
      </c>
      <c r="K147" s="52">
        <f t="shared" si="76"/>
        <v>2022</v>
      </c>
      <c r="L147" s="52">
        <f t="shared" si="76"/>
        <v>2023</v>
      </c>
      <c r="M147" s="52">
        <f t="shared" si="76"/>
        <v>2024</v>
      </c>
      <c r="N147" s="52">
        <f t="shared" si="76"/>
        <v>2025</v>
      </c>
      <c r="O147" s="52">
        <f t="shared" si="76"/>
        <v>2026</v>
      </c>
      <c r="P147" s="52">
        <f t="shared" si="76"/>
        <v>2027</v>
      </c>
      <c r="Q147" s="52">
        <f t="shared" si="76"/>
        <v>2028</v>
      </c>
      <c r="R147" s="52">
        <f t="shared" si="76"/>
        <v>2029</v>
      </c>
      <c r="S147" s="52">
        <f t="shared" si="76"/>
        <v>2030</v>
      </c>
      <c r="T147" s="52">
        <f t="shared" si="76"/>
        <v>2031</v>
      </c>
      <c r="U147" s="52">
        <f t="shared" si="76"/>
        <v>2032</v>
      </c>
      <c r="V147" s="52">
        <f t="shared" si="76"/>
        <v>2033</v>
      </c>
      <c r="W147" s="52">
        <f t="shared" si="76"/>
        <v>2034</v>
      </c>
      <c r="X147" s="52">
        <f t="shared" si="76"/>
        <v>2035</v>
      </c>
      <c r="Y147" s="53" t="s">
        <v>30</v>
      </c>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ht="15">
      <c r="A148" s="57" t="s">
        <v>22</v>
      </c>
      <c r="B148" s="57" t="s">
        <v>34</v>
      </c>
      <c r="C148" s="57" t="s">
        <v>35</v>
      </c>
      <c r="D148" s="57" t="s">
        <v>1274</v>
      </c>
      <c r="E148" s="54" t="str">
        <f>CONCATENATE("Units_",E$11)</f>
        <v>Units_2016</v>
      </c>
      <c r="F148" s="55" t="str">
        <f t="shared" ref="F148:X148" si="77">CONCATENATE("Units_",F$11)</f>
        <v>Units_2017</v>
      </c>
      <c r="G148" s="55" t="str">
        <f t="shared" si="77"/>
        <v>Units_2018</v>
      </c>
      <c r="H148" s="55" t="str">
        <f t="shared" si="77"/>
        <v>Units_2019</v>
      </c>
      <c r="I148" s="55" t="str">
        <f t="shared" si="77"/>
        <v>Units_2020</v>
      </c>
      <c r="J148" s="55" t="str">
        <f t="shared" si="77"/>
        <v>Units_2021</v>
      </c>
      <c r="K148" s="55" t="str">
        <f t="shared" si="77"/>
        <v>Units_2022</v>
      </c>
      <c r="L148" s="55" t="str">
        <f t="shared" si="77"/>
        <v>Units_2023</v>
      </c>
      <c r="M148" s="55" t="str">
        <f t="shared" si="77"/>
        <v>Units_2024</v>
      </c>
      <c r="N148" s="55" t="str">
        <f t="shared" si="77"/>
        <v>Units_2025</v>
      </c>
      <c r="O148" s="55" t="str">
        <f t="shared" si="77"/>
        <v>Units_2026</v>
      </c>
      <c r="P148" s="55" t="str">
        <f t="shared" si="77"/>
        <v>Units_2027</v>
      </c>
      <c r="Q148" s="55" t="str">
        <f t="shared" si="77"/>
        <v>Units_2028</v>
      </c>
      <c r="R148" s="55" t="str">
        <f t="shared" si="77"/>
        <v>Units_2029</v>
      </c>
      <c r="S148" s="55" t="str">
        <f t="shared" si="77"/>
        <v>Units_2030</v>
      </c>
      <c r="T148" s="55" t="str">
        <f t="shared" si="77"/>
        <v>Units_2031</v>
      </c>
      <c r="U148" s="55" t="str">
        <f t="shared" si="77"/>
        <v>Units_2032</v>
      </c>
      <c r="V148" s="55" t="str">
        <f t="shared" si="77"/>
        <v>Units_2033</v>
      </c>
      <c r="W148" s="55" t="str">
        <f t="shared" si="77"/>
        <v>Units_2034</v>
      </c>
      <c r="X148" s="55" t="str">
        <f t="shared" si="77"/>
        <v>Units_2035</v>
      </c>
      <c r="Y148" s="56" t="s">
        <v>30</v>
      </c>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c r="A149" s="62">
        <f t="shared" ref="A149:A174" si="78">VLOOKUP(CONCATENATE($C149," - ", $D149),MeasureOutput,3,FALSE)</f>
        <v>68.27798844872909</v>
      </c>
      <c r="B149" s="62">
        <f t="shared" ref="B149:B174" si="79">VLOOKUP(CONCATENATE($C149," - ", $D149),MeasureOutput,11,FALSE)</f>
        <v>43.585114892527585</v>
      </c>
      <c r="C149" s="7" t="s">
        <v>1290</v>
      </c>
      <c r="D149" s="7" t="s">
        <v>431</v>
      </c>
      <c r="E149" s="42">
        <f>VLOOKUP(CONCATENATE($C149&amp;$D149),$B$89:$Y$140,E$30+1,FALSE)*$C$147*$A149/8760/1000</f>
        <v>6.4065749409697989E-2</v>
      </c>
      <c r="F149" s="42">
        <f t="shared" ref="F149:U164" si="80">VLOOKUP(CONCATENATE($C149&amp;$D149),$B$89:$Y$140,F$30+1,FALSE)*$C$147*$A149/8760/1000</f>
        <v>6.4073760255205336E-2</v>
      </c>
      <c r="G149" s="42">
        <f t="shared" si="80"/>
        <v>6.4084893634587886E-2</v>
      </c>
      <c r="H149" s="42">
        <f t="shared" si="80"/>
        <v>6.412412059254792E-2</v>
      </c>
      <c r="I149" s="42">
        <f t="shared" si="80"/>
        <v>6.4180631568880708E-2</v>
      </c>
      <c r="J149" s="42">
        <f t="shared" si="80"/>
        <v>5.7827273880397746E-2</v>
      </c>
      <c r="K149" s="42">
        <f t="shared" si="80"/>
        <v>4.6320654272242107E-2</v>
      </c>
      <c r="L149" s="42">
        <f t="shared" si="80"/>
        <v>3.7109902015037853E-2</v>
      </c>
      <c r="M149" s="42">
        <f t="shared" si="80"/>
        <v>2.9735049395582584E-2</v>
      </c>
      <c r="N149" s="42">
        <f t="shared" si="80"/>
        <v>2.3828965973661641E-2</v>
      </c>
      <c r="O149" s="42">
        <f t="shared" si="80"/>
        <v>1.9098037511018309E-2</v>
      </c>
      <c r="P149" s="42">
        <f t="shared" si="80"/>
        <v>1.530803584728588E-2</v>
      </c>
      <c r="Q149" s="42">
        <f t="shared" si="80"/>
        <v>1.2271308668110008E-2</v>
      </c>
      <c r="R149" s="42">
        <f t="shared" si="80"/>
        <v>9.8379383908809171E-3</v>
      </c>
      <c r="S149" s="42">
        <f t="shared" si="80"/>
        <v>7.8877651014726217E-3</v>
      </c>
      <c r="T149" s="42">
        <f t="shared" si="80"/>
        <v>6.3244594202575295E-3</v>
      </c>
      <c r="U149" s="42">
        <f t="shared" si="80"/>
        <v>4.3238883314386277E-5</v>
      </c>
      <c r="V149" s="42">
        <f t="shared" ref="V149:X168" si="81">VLOOKUP(CONCATENATE($C149&amp;$D149),$B$89:$Y$140,V$30+1,FALSE)*$C$147*$A149/8760/1000</f>
        <v>1.5479743632739251E-5</v>
      </c>
      <c r="W149" s="42">
        <f t="shared" si="81"/>
        <v>5.2902982451364844E-6</v>
      </c>
      <c r="X149" s="42">
        <f t="shared" si="81"/>
        <v>1.7294693603533266E-6</v>
      </c>
      <c r="Y149" s="26">
        <f>VLOOKUP(C149&amp;D149,$Z$31:$AA$82,2,FALSE)*$C$147*A149/8760/1000</f>
        <v>0.60423636226317301</v>
      </c>
      <c r="Z149" s="42"/>
      <c r="AA149" s="26">
        <f>SUM(E149:X149)</f>
        <v>0.58614428433141963</v>
      </c>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c r="A150" s="62">
        <f t="shared" si="78"/>
        <v>68.27798844872909</v>
      </c>
      <c r="B150" s="62">
        <f t="shared" si="79"/>
        <v>16.185715897644169</v>
      </c>
      <c r="C150" s="7" t="s">
        <v>1292</v>
      </c>
      <c r="D150" s="7" t="s">
        <v>431</v>
      </c>
      <c r="E150" s="42">
        <f t="shared" ref="E150:T165" si="82">VLOOKUP(CONCATENATE($C150&amp;$D150),$B$89:$Y$140,E$30+1,FALSE)*$C$147*$A150/8760/1000</f>
        <v>6.4065749409697989E-2</v>
      </c>
      <c r="F150" s="42">
        <f t="shared" si="80"/>
        <v>6.4073760255205336E-2</v>
      </c>
      <c r="G150" s="42">
        <f t="shared" si="80"/>
        <v>6.4084893634587886E-2</v>
      </c>
      <c r="H150" s="42">
        <f t="shared" si="80"/>
        <v>6.412412059254792E-2</v>
      </c>
      <c r="I150" s="42">
        <f t="shared" si="80"/>
        <v>6.4180631568880708E-2</v>
      </c>
      <c r="J150" s="42">
        <f t="shared" si="80"/>
        <v>5.7827273880397746E-2</v>
      </c>
      <c r="K150" s="42">
        <f t="shared" si="80"/>
        <v>4.6320654272242107E-2</v>
      </c>
      <c r="L150" s="42">
        <f t="shared" si="80"/>
        <v>3.7109902015037853E-2</v>
      </c>
      <c r="M150" s="42">
        <f t="shared" si="80"/>
        <v>2.9735049395582584E-2</v>
      </c>
      <c r="N150" s="42">
        <f t="shared" si="80"/>
        <v>2.3828965973661641E-2</v>
      </c>
      <c r="O150" s="42">
        <f t="shared" si="80"/>
        <v>1.9098037511018309E-2</v>
      </c>
      <c r="P150" s="42">
        <f t="shared" si="80"/>
        <v>1.530803584728588E-2</v>
      </c>
      <c r="Q150" s="42">
        <f t="shared" si="80"/>
        <v>1.2271308668110008E-2</v>
      </c>
      <c r="R150" s="42">
        <f t="shared" si="80"/>
        <v>9.8379383908809171E-3</v>
      </c>
      <c r="S150" s="42">
        <f t="shared" si="80"/>
        <v>7.8877651014726217E-3</v>
      </c>
      <c r="T150" s="42">
        <f t="shared" si="80"/>
        <v>6.3244594202575295E-3</v>
      </c>
      <c r="U150" s="42">
        <f t="shared" si="80"/>
        <v>4.3238883314386277E-5</v>
      </c>
      <c r="V150" s="42">
        <f t="shared" si="81"/>
        <v>1.5479743632739251E-5</v>
      </c>
      <c r="W150" s="42">
        <f t="shared" si="81"/>
        <v>5.2902982451364844E-6</v>
      </c>
      <c r="X150" s="42">
        <f t="shared" si="81"/>
        <v>1.7294693603533266E-6</v>
      </c>
      <c r="Y150" s="26">
        <f t="shared" ref="Y150:Y200" si="83">VLOOKUP(C150&amp;D150,$Z$31:$AA$82,2,FALSE)*$C$147*A150/8760/1000</f>
        <v>0.60423636226317301</v>
      </c>
      <c r="Z150" s="42"/>
      <c r="AA150" s="26">
        <f t="shared" ref="AA150:AA200" si="84">SUM(E150:X150)</f>
        <v>0.58614428433141963</v>
      </c>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c r="A151" s="62">
        <f t="shared" si="78"/>
        <v>48.503075778542595</v>
      </c>
      <c r="B151" s="62">
        <f t="shared" si="79"/>
        <v>109.66482821351977</v>
      </c>
      <c r="C151" s="7" t="s">
        <v>1294</v>
      </c>
      <c r="D151" s="7" t="s">
        <v>431</v>
      </c>
      <c r="E151" s="42">
        <f t="shared" si="82"/>
        <v>9.1021600636670252E-2</v>
      </c>
      <c r="F151" s="42">
        <f t="shared" si="80"/>
        <v>9.1032982068827845E-2</v>
      </c>
      <c r="G151" s="42">
        <f t="shared" si="80"/>
        <v>9.1048799850110856E-2</v>
      </c>
      <c r="H151" s="42">
        <f t="shared" si="80"/>
        <v>9.1104531665230942E-2</v>
      </c>
      <c r="I151" s="42">
        <f t="shared" si="80"/>
        <v>9.1184819799947928E-2</v>
      </c>
      <c r="J151" s="42">
        <f t="shared" si="80"/>
        <v>8.2158268303221427E-2</v>
      </c>
      <c r="K151" s="42">
        <f t="shared" si="80"/>
        <v>6.5810204879287168E-2</v>
      </c>
      <c r="L151" s="42">
        <f t="shared" si="80"/>
        <v>5.2724001701405586E-2</v>
      </c>
      <c r="M151" s="42">
        <f t="shared" si="80"/>
        <v>4.2246158297286354E-2</v>
      </c>
      <c r="N151" s="42">
        <f t="shared" si="80"/>
        <v>3.3855073021452992E-2</v>
      </c>
      <c r="O151" s="42">
        <f t="shared" si="80"/>
        <v>2.7133592587132299E-2</v>
      </c>
      <c r="P151" s="42">
        <f t="shared" si="80"/>
        <v>2.1748936651204871E-2</v>
      </c>
      <c r="Q151" s="42">
        <f t="shared" si="80"/>
        <v>1.7434497639840917E-2</v>
      </c>
      <c r="R151" s="42">
        <f t="shared" si="80"/>
        <v>1.397727970957564E-2</v>
      </c>
      <c r="S151" s="42">
        <f t="shared" si="80"/>
        <v>1.12065653113772E-2</v>
      </c>
      <c r="T151" s="42">
        <f t="shared" si="80"/>
        <v>8.9854941977212978E-3</v>
      </c>
      <c r="U151" s="42">
        <f t="shared" si="80"/>
        <v>6.1431769787771939E-5</v>
      </c>
      <c r="V151" s="42">
        <f t="shared" si="81"/>
        <v>2.1992890989017987E-5</v>
      </c>
      <c r="W151" s="42">
        <f t="shared" si="81"/>
        <v>7.5162066869508674E-6</v>
      </c>
      <c r="X151" s="42">
        <f t="shared" si="81"/>
        <v>2.4571486462251331E-6</v>
      </c>
      <c r="Y151" s="26">
        <f>VLOOKUP(C151&amp;D151,$Z$31:$AA$82,2,FALSE)*$C$147*A151/8760/1000</f>
        <v>0.85847057691246653</v>
      </c>
      <c r="Z151" s="42"/>
      <c r="AA151" s="26">
        <f t="shared" si="84"/>
        <v>0.83276620433640358</v>
      </c>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c r="A152" s="62">
        <f t="shared" si="78"/>
        <v>290.22000108964318</v>
      </c>
      <c r="B152" s="62">
        <f t="shared" si="79"/>
        <v>5.6773009492221416</v>
      </c>
      <c r="C152" s="7" t="s">
        <v>1296</v>
      </c>
      <c r="D152" s="7" t="s">
        <v>431</v>
      </c>
      <c r="E152" s="42">
        <f t="shared" si="82"/>
        <v>0.54463121383411062</v>
      </c>
      <c r="F152" s="42">
        <f t="shared" si="80"/>
        <v>0.54469931506687086</v>
      </c>
      <c r="G152" s="42">
        <f t="shared" si="80"/>
        <v>0.54479396136357483</v>
      </c>
      <c r="H152" s="42">
        <f t="shared" si="80"/>
        <v>0.54512743480181047</v>
      </c>
      <c r="I152" s="42">
        <f t="shared" si="80"/>
        <v>0.54560784191354594</v>
      </c>
      <c r="J152" s="42">
        <f t="shared" si="80"/>
        <v>0.49159712726986526</v>
      </c>
      <c r="K152" s="42">
        <f t="shared" si="80"/>
        <v>0.39377786718065849</v>
      </c>
      <c r="L152" s="42">
        <f t="shared" si="80"/>
        <v>0.31547607209688699</v>
      </c>
      <c r="M152" s="42">
        <f t="shared" si="80"/>
        <v>0.25278149705499131</v>
      </c>
      <c r="N152" s="42">
        <f t="shared" si="80"/>
        <v>0.2025731187448267</v>
      </c>
      <c r="O152" s="42">
        <f t="shared" si="80"/>
        <v>0.16235488458831274</v>
      </c>
      <c r="P152" s="42">
        <f t="shared" si="80"/>
        <v>0.13013559072894157</v>
      </c>
      <c r="Q152" s="42">
        <f t="shared" si="80"/>
        <v>0.10431998059534293</v>
      </c>
      <c r="R152" s="42">
        <f t="shared" si="80"/>
        <v>8.3633585446509964E-2</v>
      </c>
      <c r="S152" s="42">
        <f t="shared" si="80"/>
        <v>6.7054910326282302E-2</v>
      </c>
      <c r="T152" s="42">
        <f t="shared" si="80"/>
        <v>5.3765046731475863E-2</v>
      </c>
      <c r="U152" s="42">
        <f t="shared" si="80"/>
        <v>3.6757933406427769E-4</v>
      </c>
      <c r="V152" s="42">
        <f t="shared" si="81"/>
        <v>1.3159530079989064E-4</v>
      </c>
      <c r="W152" s="42">
        <f t="shared" si="81"/>
        <v>4.4973508955114115E-5</v>
      </c>
      <c r="X152" s="42">
        <f t="shared" si="81"/>
        <v>1.4702442501602129E-5</v>
      </c>
      <c r="Y152" s="26">
        <f t="shared" si="83"/>
        <v>5.1366913905526523</v>
      </c>
      <c r="Z152" s="42"/>
      <c r="AA152" s="26">
        <f t="shared" si="84"/>
        <v>4.9828882983303275</v>
      </c>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c r="A153" s="62">
        <f t="shared" si="78"/>
        <v>300.79245479872253</v>
      </c>
      <c r="B153" s="62">
        <f t="shared" si="79"/>
        <v>19.471265328815996</v>
      </c>
      <c r="C153" s="7" t="s">
        <v>1298</v>
      </c>
      <c r="D153" s="7" t="s">
        <v>431</v>
      </c>
      <c r="E153" s="42">
        <f t="shared" si="82"/>
        <v>0.564471639287773</v>
      </c>
      <c r="F153" s="42">
        <f t="shared" si="80"/>
        <v>0.56454222138721422</v>
      </c>
      <c r="G153" s="42">
        <f t="shared" si="80"/>
        <v>0.56464031556341254</v>
      </c>
      <c r="H153" s="42">
        <f t="shared" si="80"/>
        <v>0.56498593713918432</v>
      </c>
      <c r="I153" s="42">
        <f t="shared" si="80"/>
        <v>0.56548384505007654</v>
      </c>
      <c r="J153" s="42">
        <f t="shared" si="80"/>
        <v>0.50950556863180863</v>
      </c>
      <c r="K153" s="42">
        <f t="shared" si="80"/>
        <v>0.40812284084476369</v>
      </c>
      <c r="L153" s="42">
        <f t="shared" si="80"/>
        <v>0.32696858176556515</v>
      </c>
      <c r="M153" s="42">
        <f t="shared" si="80"/>
        <v>0.26199009972224918</v>
      </c>
      <c r="N153" s="42">
        <f t="shared" si="80"/>
        <v>0.20995267533152792</v>
      </c>
      <c r="O153" s="42">
        <f t="shared" si="80"/>
        <v>0.16826932706404915</v>
      </c>
      <c r="P153" s="42">
        <f t="shared" si="80"/>
        <v>0.13487631329706143</v>
      </c>
      <c r="Q153" s="42">
        <f t="shared" si="80"/>
        <v>0.10812026369656054</v>
      </c>
      <c r="R153" s="42">
        <f t="shared" si="80"/>
        <v>8.6680281771152459E-2</v>
      </c>
      <c r="S153" s="42">
        <f t="shared" si="80"/>
        <v>6.9497660421828297E-2</v>
      </c>
      <c r="T153" s="42">
        <f t="shared" si="80"/>
        <v>5.5723659044896123E-2</v>
      </c>
      <c r="U153" s="42">
        <f t="shared" si="80"/>
        <v>3.8096991872149579E-4</v>
      </c>
      <c r="V153" s="42">
        <f t="shared" si="81"/>
        <v>1.3638919929350097E-4</v>
      </c>
      <c r="W153" s="42">
        <f t="shared" si="81"/>
        <v>4.6611853451625721E-5</v>
      </c>
      <c r="X153" s="42">
        <f t="shared" si="81"/>
        <v>1.5238039263282852E-5</v>
      </c>
      <c r="Y153" s="26">
        <f t="shared" si="83"/>
        <v>5.3238164396207548</v>
      </c>
      <c r="Z153" s="42"/>
      <c r="AA153" s="26">
        <f t="shared" si="84"/>
        <v>5.1644104390298535</v>
      </c>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c r="A154" s="62">
        <f t="shared" si="78"/>
        <v>144.40583318509411</v>
      </c>
      <c r="B154" s="62">
        <f t="shared" si="79"/>
        <v>35.943897237065414</v>
      </c>
      <c r="C154" s="7" t="s">
        <v>1300</v>
      </c>
      <c r="D154" s="7" t="s">
        <v>431</v>
      </c>
      <c r="E154" s="42">
        <f t="shared" si="82"/>
        <v>0.2709941558715353</v>
      </c>
      <c r="F154" s="42">
        <f t="shared" si="80"/>
        <v>0.27102804125235241</v>
      </c>
      <c r="G154" s="42">
        <f t="shared" si="80"/>
        <v>0.27107513475825173</v>
      </c>
      <c r="H154" s="42">
        <f t="shared" si="80"/>
        <v>0.27124106236321599</v>
      </c>
      <c r="I154" s="42">
        <f t="shared" si="80"/>
        <v>0.27148010029643127</v>
      </c>
      <c r="J154" s="42">
        <f t="shared" si="80"/>
        <v>0.24460579039442701</v>
      </c>
      <c r="K154" s="42">
        <f t="shared" si="80"/>
        <v>0.19593350143537561</v>
      </c>
      <c r="L154" s="42">
        <f t="shared" si="80"/>
        <v>0.15697258931178992</v>
      </c>
      <c r="M154" s="42">
        <f t="shared" si="80"/>
        <v>0.12577741905778003</v>
      </c>
      <c r="N154" s="42">
        <f t="shared" si="80"/>
        <v>0.10079505162779638</v>
      </c>
      <c r="O154" s="42">
        <f t="shared" si="80"/>
        <v>8.0783516961683857E-2</v>
      </c>
      <c r="P154" s="42">
        <f t="shared" si="80"/>
        <v>6.4752044434189915E-2</v>
      </c>
      <c r="Q154" s="42">
        <f t="shared" si="80"/>
        <v>5.1906876366767885E-2</v>
      </c>
      <c r="R154" s="42">
        <f t="shared" si="80"/>
        <v>4.1613870661276829E-2</v>
      </c>
      <c r="S154" s="42">
        <f t="shared" si="80"/>
        <v>3.3364758315977135E-2</v>
      </c>
      <c r="T154" s="42">
        <f t="shared" si="80"/>
        <v>2.6752072015519535E-2</v>
      </c>
      <c r="U154" s="42">
        <f t="shared" si="80"/>
        <v>1.8289780097126564E-4</v>
      </c>
      <c r="V154" s="42">
        <f t="shared" si="81"/>
        <v>6.5478357742068932E-5</v>
      </c>
      <c r="W154" s="42">
        <f t="shared" si="81"/>
        <v>2.2377634234501096E-5</v>
      </c>
      <c r="X154" s="42">
        <f t="shared" si="81"/>
        <v>7.3155483816706542E-6</v>
      </c>
      <c r="Y154" s="26">
        <f t="shared" si="83"/>
        <v>2.555882424651835</v>
      </c>
      <c r="Z154" s="42"/>
      <c r="AA154" s="26">
        <f t="shared" si="84"/>
        <v>2.4793540544657007</v>
      </c>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c r="A155" s="62">
        <f t="shared" si="78"/>
        <v>249.92788826230839</v>
      </c>
      <c r="B155" s="62">
        <f t="shared" si="79"/>
        <v>96.830068384897544</v>
      </c>
      <c r="C155" s="7" t="s">
        <v>1302</v>
      </c>
      <c r="D155" s="7" t="s">
        <v>431</v>
      </c>
      <c r="E155" s="42">
        <f t="shared" si="82"/>
        <v>9.9301085426962102E-2</v>
      </c>
      <c r="F155" s="42">
        <f t="shared" si="80"/>
        <v>9.9313502134194848E-2</v>
      </c>
      <c r="G155" s="42">
        <f t="shared" si="80"/>
        <v>9.9330758728667631E-2</v>
      </c>
      <c r="H155" s="42">
        <f t="shared" si="80"/>
        <v>9.9391560007655561E-2</v>
      </c>
      <c r="I155" s="42">
        <f t="shared" si="80"/>
        <v>9.9479151292235668E-2</v>
      </c>
      <c r="J155" s="42">
        <f t="shared" si="80"/>
        <v>8.9631528804632488E-2</v>
      </c>
      <c r="K155" s="42">
        <f t="shared" si="80"/>
        <v>7.1796416795280787E-2</v>
      </c>
      <c r="L155" s="42">
        <f t="shared" si="80"/>
        <v>5.7519869573610882E-2</v>
      </c>
      <c r="M155" s="42">
        <f t="shared" si="80"/>
        <v>4.6088943115659767E-2</v>
      </c>
      <c r="N155" s="42">
        <f t="shared" si="80"/>
        <v>3.6934589973414977E-2</v>
      </c>
      <c r="O155" s="42">
        <f t="shared" si="80"/>
        <v>2.9601711863872754E-2</v>
      </c>
      <c r="P155" s="42">
        <f t="shared" si="80"/>
        <v>2.3727258158947353E-2</v>
      </c>
      <c r="Q155" s="42">
        <f t="shared" si="80"/>
        <v>1.9020370191254687E-2</v>
      </c>
      <c r="R155" s="42">
        <f t="shared" si="80"/>
        <v>1.5248677641007572E-2</v>
      </c>
      <c r="S155" s="42">
        <f t="shared" si="80"/>
        <v>1.2225934190829525E-2</v>
      </c>
      <c r="T155" s="42">
        <f t="shared" si="80"/>
        <v>9.8028305445105792E-3</v>
      </c>
      <c r="U155" s="42">
        <f t="shared" si="80"/>
        <v>6.7019711551494961E-5</v>
      </c>
      <c r="V155" s="42">
        <f t="shared" si="81"/>
        <v>2.3993403012147155E-5</v>
      </c>
      <c r="W155" s="42">
        <f t="shared" si="81"/>
        <v>8.1998940590693074E-6</v>
      </c>
      <c r="X155" s="42">
        <f t="shared" si="81"/>
        <v>2.6806552062241566E-6</v>
      </c>
      <c r="Y155" s="26">
        <f t="shared" si="83"/>
        <v>0.93655856959490125</v>
      </c>
      <c r="Z155" s="42"/>
      <c r="AA155" s="26">
        <f t="shared" si="84"/>
        <v>0.90851608210656631</v>
      </c>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c r="A156" s="62">
        <f t="shared" si="78"/>
        <v>71.967111042948147</v>
      </c>
      <c r="B156" s="62">
        <f t="shared" si="79"/>
        <v>19.352060572653851</v>
      </c>
      <c r="C156" s="7" t="s">
        <v>1304</v>
      </c>
      <c r="D156" s="7" t="s">
        <v>431</v>
      </c>
      <c r="E156" s="42">
        <f t="shared" si="82"/>
        <v>2.8593896788769096E-2</v>
      </c>
      <c r="F156" s="42">
        <f t="shared" si="80"/>
        <v>2.8597472198277896E-2</v>
      </c>
      <c r="G156" s="42">
        <f t="shared" si="80"/>
        <v>2.8602441260591353E-2</v>
      </c>
      <c r="H156" s="42">
        <f t="shared" si="80"/>
        <v>2.8619949080254458E-2</v>
      </c>
      <c r="I156" s="42">
        <f t="shared" si="80"/>
        <v>2.8645171122290661E-2</v>
      </c>
      <c r="J156" s="42">
        <f t="shared" si="80"/>
        <v>2.580953342694647E-2</v>
      </c>
      <c r="K156" s="42">
        <f t="shared" si="80"/>
        <v>2.0673886119378666E-2</v>
      </c>
      <c r="L156" s="42">
        <f t="shared" si="80"/>
        <v>1.656293289060784E-2</v>
      </c>
      <c r="M156" s="42">
        <f t="shared" si="80"/>
        <v>1.327138043744687E-2</v>
      </c>
      <c r="N156" s="42">
        <f t="shared" si="80"/>
        <v>1.0635370692016442E-2</v>
      </c>
      <c r="O156" s="42">
        <f t="shared" si="80"/>
        <v>8.5238574197562395E-3</v>
      </c>
      <c r="P156" s="42">
        <f t="shared" si="80"/>
        <v>6.8322996466784539E-3</v>
      </c>
      <c r="Q156" s="42">
        <f t="shared" si="80"/>
        <v>5.476944182376953E-3</v>
      </c>
      <c r="R156" s="42">
        <f t="shared" si="80"/>
        <v>4.3908796440385554E-3</v>
      </c>
      <c r="S156" s="42">
        <f t="shared" si="80"/>
        <v>3.5204761246642245E-3</v>
      </c>
      <c r="T156" s="42">
        <f t="shared" si="80"/>
        <v>2.8227397880126463E-3</v>
      </c>
      <c r="U156" s="42">
        <f t="shared" si="80"/>
        <v>1.9298426665497425E-5</v>
      </c>
      <c r="V156" s="42">
        <f t="shared" si="81"/>
        <v>6.9089364571477069E-6</v>
      </c>
      <c r="W156" s="42">
        <f t="shared" si="81"/>
        <v>2.3611718179689355E-6</v>
      </c>
      <c r="X156" s="42">
        <f t="shared" si="81"/>
        <v>7.7189869540175302E-7</v>
      </c>
      <c r="Y156" s="26">
        <f t="shared" si="83"/>
        <v>0.2696834476731973</v>
      </c>
      <c r="Z156" s="42"/>
      <c r="AA156" s="26">
        <f t="shared" si="84"/>
        <v>0.26160857125574288</v>
      </c>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c r="A157" s="62">
        <f t="shared" si="78"/>
        <v>100.97737308839594</v>
      </c>
      <c r="B157" s="62">
        <f t="shared" si="79"/>
        <v>64.680202912984029</v>
      </c>
      <c r="C157" s="7" t="s">
        <v>1306</v>
      </c>
      <c r="D157" s="7" t="s">
        <v>431</v>
      </c>
      <c r="E157" s="42">
        <f t="shared" si="82"/>
        <v>0.71680563761620508</v>
      </c>
      <c r="F157" s="42">
        <f t="shared" si="80"/>
        <v>0.71689526771145329</v>
      </c>
      <c r="G157" s="42">
        <f t="shared" si="80"/>
        <v>0.71701983456941831</v>
      </c>
      <c r="H157" s="42">
        <f t="shared" si="80"/>
        <v>0.71745872906251873</v>
      </c>
      <c r="I157" s="42">
        <f t="shared" si="80"/>
        <v>0.71809100741399023</v>
      </c>
      <c r="J157" s="42">
        <f t="shared" si="80"/>
        <v>0.64700586986610309</v>
      </c>
      <c r="K157" s="42">
        <f t="shared" si="80"/>
        <v>0.51826297867965287</v>
      </c>
      <c r="L157" s="42">
        <f t="shared" si="80"/>
        <v>0.41520761437838455</v>
      </c>
      <c r="M157" s="42">
        <f t="shared" si="80"/>
        <v>0.33269338512293228</v>
      </c>
      <c r="N157" s="42">
        <f t="shared" si="80"/>
        <v>0.26661261759781713</v>
      </c>
      <c r="O157" s="42">
        <f t="shared" si="80"/>
        <v>0.21368018139863379</v>
      </c>
      <c r="P157" s="42">
        <f t="shared" si="80"/>
        <v>0.17127539281550111</v>
      </c>
      <c r="Q157" s="42">
        <f t="shared" si="80"/>
        <v>0.13729868635390277</v>
      </c>
      <c r="R157" s="42">
        <f t="shared" si="80"/>
        <v>0.11007269509965108</v>
      </c>
      <c r="S157" s="42">
        <f t="shared" si="80"/>
        <v>8.825299859946785E-2</v>
      </c>
      <c r="T157" s="42">
        <f t="shared" si="80"/>
        <v>7.0761806567258625E-2</v>
      </c>
      <c r="U157" s="42">
        <f t="shared" si="80"/>
        <v>4.8378229568153057E-4</v>
      </c>
      <c r="V157" s="42">
        <f t="shared" si="81"/>
        <v>1.7319656145505706E-4</v>
      </c>
      <c r="W157" s="42">
        <f t="shared" si="81"/>
        <v>5.9190997400725224E-5</v>
      </c>
      <c r="X157" s="42">
        <f t="shared" si="81"/>
        <v>1.935032991900188E-5</v>
      </c>
      <c r="Y157" s="26">
        <f t="shared" si="83"/>
        <v>6.7605551314660204</v>
      </c>
      <c r="Z157" s="42"/>
      <c r="AA157" s="26">
        <f t="shared" si="84"/>
        <v>6.5581302230373471</v>
      </c>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c r="A158" s="62">
        <f t="shared" si="78"/>
        <v>7.7081209822715397</v>
      </c>
      <c r="B158" s="62">
        <f t="shared" si="79"/>
        <v>57.627929346261482</v>
      </c>
      <c r="C158" s="7" t="s">
        <v>1308</v>
      </c>
      <c r="D158" s="7" t="s">
        <v>431</v>
      </c>
      <c r="E158" s="42">
        <f t="shared" si="82"/>
        <v>5.4717452103682666E-2</v>
      </c>
      <c r="F158" s="42">
        <f t="shared" si="80"/>
        <v>5.4724294028726819E-2</v>
      </c>
      <c r="G158" s="42">
        <f t="shared" si="80"/>
        <v>5.4733802856122588E-2</v>
      </c>
      <c r="H158" s="42">
        <f t="shared" si="80"/>
        <v>5.4767305924659622E-2</v>
      </c>
      <c r="I158" s="42">
        <f t="shared" si="80"/>
        <v>5.4815570975319507E-2</v>
      </c>
      <c r="J158" s="42">
        <f t="shared" si="80"/>
        <v>4.9389277702856726E-2</v>
      </c>
      <c r="K158" s="42">
        <f t="shared" si="80"/>
        <v>3.9561672264915117E-2</v>
      </c>
      <c r="L158" s="42">
        <f t="shared" si="80"/>
        <v>3.1694927551613301E-2</v>
      </c>
      <c r="M158" s="42">
        <f t="shared" si="80"/>
        <v>2.5396193068759083E-2</v>
      </c>
      <c r="N158" s="42">
        <f t="shared" si="80"/>
        <v>2.0351909036542735E-2</v>
      </c>
      <c r="O158" s="42">
        <f t="shared" si="80"/>
        <v>1.6311304595857775E-2</v>
      </c>
      <c r="P158" s="42">
        <f t="shared" si="80"/>
        <v>1.3074329512932036E-2</v>
      </c>
      <c r="Q158" s="42">
        <f t="shared" si="80"/>
        <v>1.0480713181124101E-2</v>
      </c>
      <c r="R158" s="42">
        <f t="shared" si="80"/>
        <v>8.4024135776443604E-3</v>
      </c>
      <c r="S158" s="42">
        <f t="shared" si="80"/>
        <v>6.7368041913452503E-3</v>
      </c>
      <c r="T158" s="42">
        <f t="shared" si="80"/>
        <v>5.4016117597656833E-3</v>
      </c>
      <c r="U158" s="42">
        <f t="shared" si="80"/>
        <v>3.6929584818272847E-5</v>
      </c>
      <c r="V158" s="42">
        <f t="shared" si="81"/>
        <v>1.3220982172316234E-5</v>
      </c>
      <c r="W158" s="42">
        <f t="shared" si="81"/>
        <v>4.5183525286076347E-6</v>
      </c>
      <c r="X158" s="42">
        <f t="shared" si="81"/>
        <v>1.4771099653381221E-6</v>
      </c>
      <c r="Y158" s="26">
        <f t="shared" si="83"/>
        <v>0.51606786022288842</v>
      </c>
      <c r="Z158" s="42"/>
      <c r="AA158" s="26">
        <f t="shared" si="84"/>
        <v>0.50061572836135182</v>
      </c>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c r="A159" s="62">
        <f t="shared" si="78"/>
        <v>7.7081209822715397</v>
      </c>
      <c r="B159" s="62">
        <f t="shared" si="79"/>
        <v>121.2074872067093</v>
      </c>
      <c r="C159" s="7" t="s">
        <v>1310</v>
      </c>
      <c r="D159" s="7" t="s">
        <v>431</v>
      </c>
      <c r="E159" s="42">
        <f t="shared" si="82"/>
        <v>5.4717452103682666E-2</v>
      </c>
      <c r="F159" s="42">
        <f t="shared" si="80"/>
        <v>5.4724294028726819E-2</v>
      </c>
      <c r="G159" s="42">
        <f t="shared" si="80"/>
        <v>5.4733802856122588E-2</v>
      </c>
      <c r="H159" s="42">
        <f t="shared" si="80"/>
        <v>5.4767305924659622E-2</v>
      </c>
      <c r="I159" s="42">
        <f t="shared" si="80"/>
        <v>5.4815570975319507E-2</v>
      </c>
      <c r="J159" s="42">
        <f t="shared" si="80"/>
        <v>4.9389277702856726E-2</v>
      </c>
      <c r="K159" s="42">
        <f t="shared" si="80"/>
        <v>3.9561672264915117E-2</v>
      </c>
      <c r="L159" s="42">
        <f t="shared" si="80"/>
        <v>3.1694927551613301E-2</v>
      </c>
      <c r="M159" s="42">
        <f t="shared" si="80"/>
        <v>2.5396193068759083E-2</v>
      </c>
      <c r="N159" s="42">
        <f t="shared" si="80"/>
        <v>2.0351909036542735E-2</v>
      </c>
      <c r="O159" s="42">
        <f t="shared" si="80"/>
        <v>1.6311304595857775E-2</v>
      </c>
      <c r="P159" s="42">
        <f t="shared" si="80"/>
        <v>1.3074329512932036E-2</v>
      </c>
      <c r="Q159" s="42">
        <f t="shared" si="80"/>
        <v>1.0480713181124101E-2</v>
      </c>
      <c r="R159" s="42">
        <f t="shared" si="80"/>
        <v>8.4024135776443604E-3</v>
      </c>
      <c r="S159" s="42">
        <f t="shared" si="80"/>
        <v>6.7368041913452503E-3</v>
      </c>
      <c r="T159" s="42">
        <f t="shared" si="80"/>
        <v>5.4016117597656833E-3</v>
      </c>
      <c r="U159" s="42">
        <f t="shared" si="80"/>
        <v>3.6929584818272847E-5</v>
      </c>
      <c r="V159" s="42">
        <f t="shared" si="81"/>
        <v>1.3220982172316234E-5</v>
      </c>
      <c r="W159" s="42">
        <f t="shared" si="81"/>
        <v>4.5183525286076347E-6</v>
      </c>
      <c r="X159" s="42">
        <f t="shared" si="81"/>
        <v>1.4771099653381221E-6</v>
      </c>
      <c r="Y159" s="26">
        <f t="shared" si="83"/>
        <v>0.51606786022288842</v>
      </c>
      <c r="Z159" s="42"/>
      <c r="AA159" s="26">
        <f t="shared" si="84"/>
        <v>0.50061572836135182</v>
      </c>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c r="A160" s="62">
        <f t="shared" si="78"/>
        <v>12.827549704832846</v>
      </c>
      <c r="B160" s="62">
        <f t="shared" si="79"/>
        <v>29.125045372586339</v>
      </c>
      <c r="C160" s="7" t="s">
        <v>1312</v>
      </c>
      <c r="D160" s="7" t="s">
        <v>431</v>
      </c>
      <c r="E160" s="42">
        <f t="shared" si="82"/>
        <v>9.1058617034700029E-2</v>
      </c>
      <c r="F160" s="42">
        <f t="shared" si="80"/>
        <v>9.1070003095425123E-2</v>
      </c>
      <c r="G160" s="42">
        <f t="shared" si="80"/>
        <v>9.1085827309437137E-2</v>
      </c>
      <c r="H160" s="42">
        <f t="shared" si="80"/>
        <v>9.1141581789408552E-2</v>
      </c>
      <c r="I160" s="42">
        <f t="shared" si="80"/>
        <v>9.122190257546911E-2</v>
      </c>
      <c r="J160" s="42">
        <f t="shared" si="80"/>
        <v>8.219168018721025E-2</v>
      </c>
      <c r="K160" s="42">
        <f t="shared" si="80"/>
        <v>6.5836968380710917E-2</v>
      </c>
      <c r="L160" s="42">
        <f t="shared" si="80"/>
        <v>5.2745443344038218E-2</v>
      </c>
      <c r="M160" s="42">
        <f t="shared" si="80"/>
        <v>4.2263338841243205E-2</v>
      </c>
      <c r="N160" s="42">
        <f t="shared" si="80"/>
        <v>3.3868841103419513E-2</v>
      </c>
      <c r="O160" s="42">
        <f t="shared" si="80"/>
        <v>2.7144627197116713E-2</v>
      </c>
      <c r="P160" s="42">
        <f t="shared" si="80"/>
        <v>2.1757781445079893E-2</v>
      </c>
      <c r="Q160" s="42">
        <f t="shared" si="80"/>
        <v>1.7441587850291748E-2</v>
      </c>
      <c r="R160" s="42">
        <f t="shared" si="80"/>
        <v>1.3982963948761548E-2</v>
      </c>
      <c r="S160" s="42">
        <f t="shared" si="80"/>
        <v>1.1211122764544484E-2</v>
      </c>
      <c r="T160" s="42">
        <f t="shared" si="80"/>
        <v>8.9891483921915177E-3</v>
      </c>
      <c r="U160" s="42">
        <f t="shared" si="80"/>
        <v>6.1456752680033049E-5</v>
      </c>
      <c r="V160" s="42">
        <f t="shared" si="81"/>
        <v>2.2001834993528783E-5</v>
      </c>
      <c r="W160" s="42">
        <f t="shared" si="81"/>
        <v>7.5192633558783735E-6</v>
      </c>
      <c r="X160" s="42">
        <f t="shared" si="81"/>
        <v>2.4581479122418889E-6</v>
      </c>
      <c r="Y160" s="26">
        <f t="shared" si="83"/>
        <v>0.85881969721302776</v>
      </c>
      <c r="Z160" s="42"/>
      <c r="AA160" s="26">
        <f t="shared" si="84"/>
        <v>0.8331048712579896</v>
      </c>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c r="A161" s="62">
        <f t="shared" si="78"/>
        <v>3.206887426208211</v>
      </c>
      <c r="B161" s="62">
        <f t="shared" si="79"/>
        <v>280.8991642195852</v>
      </c>
      <c r="C161" s="7" t="s">
        <v>1314</v>
      </c>
      <c r="D161" s="7" t="s">
        <v>431</v>
      </c>
      <c r="E161" s="42">
        <f t="shared" si="82"/>
        <v>2.2764654258675004E-2</v>
      </c>
      <c r="F161" s="42">
        <f t="shared" si="80"/>
        <v>2.2767500773856277E-2</v>
      </c>
      <c r="G161" s="42">
        <f t="shared" si="80"/>
        <v>2.2771456827359281E-2</v>
      </c>
      <c r="H161" s="42">
        <f t="shared" si="80"/>
        <v>2.2785395447352134E-2</v>
      </c>
      <c r="I161" s="42">
        <f t="shared" si="80"/>
        <v>2.2805475643867274E-2</v>
      </c>
      <c r="J161" s="42">
        <f t="shared" si="80"/>
        <v>2.0547920046802559E-2</v>
      </c>
      <c r="K161" s="42">
        <f t="shared" si="80"/>
        <v>1.6459242095177729E-2</v>
      </c>
      <c r="L161" s="42">
        <f t="shared" si="80"/>
        <v>1.3186360836009553E-2</v>
      </c>
      <c r="M161" s="42">
        <f t="shared" si="80"/>
        <v>1.0565834710310799E-2</v>
      </c>
      <c r="N161" s="42">
        <f t="shared" si="80"/>
        <v>8.4672102758548765E-3</v>
      </c>
      <c r="O161" s="42">
        <f t="shared" si="80"/>
        <v>6.7861567992791774E-3</v>
      </c>
      <c r="P161" s="42">
        <f t="shared" si="80"/>
        <v>5.4394453612699725E-3</v>
      </c>
      <c r="Q161" s="42">
        <f t="shared" si="80"/>
        <v>4.3603969625729353E-3</v>
      </c>
      <c r="R161" s="42">
        <f t="shared" si="80"/>
        <v>3.4957409871903865E-3</v>
      </c>
      <c r="S161" s="42">
        <f t="shared" si="80"/>
        <v>2.8027806911361205E-3</v>
      </c>
      <c r="T161" s="42">
        <f t="shared" si="80"/>
        <v>2.247287098047879E-3</v>
      </c>
      <c r="U161" s="42">
        <f t="shared" si="80"/>
        <v>1.5364188170008259E-5</v>
      </c>
      <c r="V161" s="42">
        <f t="shared" si="81"/>
        <v>5.5004587483821948E-6</v>
      </c>
      <c r="W161" s="42">
        <f t="shared" si="81"/>
        <v>1.8798158389695934E-6</v>
      </c>
      <c r="X161" s="42">
        <f t="shared" si="81"/>
        <v>6.1453697806047211E-7</v>
      </c>
      <c r="Y161" s="26">
        <f t="shared" si="83"/>
        <v>0.21470492430325691</v>
      </c>
      <c r="Z161" s="42"/>
      <c r="AA161" s="26">
        <f t="shared" si="84"/>
        <v>0.2082762178144974</v>
      </c>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c r="A162" s="62">
        <f t="shared" si="78"/>
        <v>10.308621518278239</v>
      </c>
      <c r="B162" s="62">
        <f t="shared" si="79"/>
        <v>289.53029339717068</v>
      </c>
      <c r="C162" s="7" t="s">
        <v>1290</v>
      </c>
      <c r="D162" s="7" t="s">
        <v>149</v>
      </c>
      <c r="E162" s="42">
        <f t="shared" si="82"/>
        <v>5.5403697796467196E-4</v>
      </c>
      <c r="F162" s="42">
        <f t="shared" si="80"/>
        <v>5.6004730534470356E-4</v>
      </c>
      <c r="G162" s="42">
        <f t="shared" si="80"/>
        <v>5.6597970530433326E-4</v>
      </c>
      <c r="H162" s="42">
        <f t="shared" si="80"/>
        <v>5.7206529573190854E-4</v>
      </c>
      <c r="I162" s="42">
        <f t="shared" si="80"/>
        <v>5.7821985925449128E-4</v>
      </c>
      <c r="J162" s="42">
        <f t="shared" si="80"/>
        <v>5.2438242433704174E-4</v>
      </c>
      <c r="K162" s="42">
        <f t="shared" si="80"/>
        <v>4.2271650520808658E-4</v>
      </c>
      <c r="L162" s="42">
        <f t="shared" si="80"/>
        <v>3.4085274254097103E-4</v>
      </c>
      <c r="M162" s="42">
        <f t="shared" si="80"/>
        <v>2.7490343738533694E-4</v>
      </c>
      <c r="N162" s="42">
        <f t="shared" si="80"/>
        <v>2.2175498888868256E-4</v>
      </c>
      <c r="O162" s="42">
        <f t="shared" si="80"/>
        <v>1.7890684391260082E-4</v>
      </c>
      <c r="P162" s="42">
        <f t="shared" si="80"/>
        <v>1.4435547921811727E-4</v>
      </c>
      <c r="Q162" s="42">
        <f t="shared" si="80"/>
        <v>1.1648755039772898E-4</v>
      </c>
      <c r="R162" s="42">
        <f t="shared" si="80"/>
        <v>9.4007138053244668E-5</v>
      </c>
      <c r="S162" s="42">
        <f t="shared" si="80"/>
        <v>7.5869565296023331E-5</v>
      </c>
      <c r="T162" s="42">
        <f t="shared" si="80"/>
        <v>6.1231932110164726E-5</v>
      </c>
      <c r="U162" s="42">
        <f t="shared" si="80"/>
        <v>4.2135795193959177E-7</v>
      </c>
      <c r="V162" s="42">
        <f t="shared" si="81"/>
        <v>1.5182398399642038E-7</v>
      </c>
      <c r="W162" s="42">
        <f t="shared" si="81"/>
        <v>5.2219438956982985E-8</v>
      </c>
      <c r="X162" s="42">
        <f t="shared" si="81"/>
        <v>1.7179653793974454E-8</v>
      </c>
      <c r="Y162" s="26">
        <f t="shared" si="83"/>
        <v>6.0021713893162699E-3</v>
      </c>
      <c r="Z162" s="42"/>
      <c r="AA162" s="26">
        <f t="shared" si="84"/>
        <v>5.2864603319767948E-3</v>
      </c>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c r="A163" s="62">
        <f t="shared" si="78"/>
        <v>10.308621518278239</v>
      </c>
      <c r="B163" s="62">
        <f t="shared" si="79"/>
        <v>108.05347375084912</v>
      </c>
      <c r="C163" s="7" t="s">
        <v>1292</v>
      </c>
      <c r="D163" s="7" t="s">
        <v>149</v>
      </c>
      <c r="E163" s="42">
        <f t="shared" si="82"/>
        <v>5.5403697796467196E-4</v>
      </c>
      <c r="F163" s="42">
        <f t="shared" si="80"/>
        <v>5.6004730534470356E-4</v>
      </c>
      <c r="G163" s="42">
        <f t="shared" si="80"/>
        <v>5.6597970530433326E-4</v>
      </c>
      <c r="H163" s="42">
        <f t="shared" si="80"/>
        <v>5.7206529573190854E-4</v>
      </c>
      <c r="I163" s="42">
        <f t="shared" si="80"/>
        <v>5.7821985925449128E-4</v>
      </c>
      <c r="J163" s="42">
        <f t="shared" si="80"/>
        <v>5.2438242433704174E-4</v>
      </c>
      <c r="K163" s="42">
        <f t="shared" si="80"/>
        <v>4.2271650520808658E-4</v>
      </c>
      <c r="L163" s="42">
        <f t="shared" si="80"/>
        <v>3.4085274254097103E-4</v>
      </c>
      <c r="M163" s="42">
        <f t="shared" si="80"/>
        <v>2.7490343738533694E-4</v>
      </c>
      <c r="N163" s="42">
        <f t="shared" si="80"/>
        <v>2.2175498888868256E-4</v>
      </c>
      <c r="O163" s="42">
        <f t="shared" si="80"/>
        <v>1.7890684391260082E-4</v>
      </c>
      <c r="P163" s="42">
        <f t="shared" si="80"/>
        <v>1.4435547921811727E-4</v>
      </c>
      <c r="Q163" s="42">
        <f t="shared" si="80"/>
        <v>1.1648755039772898E-4</v>
      </c>
      <c r="R163" s="42">
        <f t="shared" si="80"/>
        <v>9.4007138053244668E-5</v>
      </c>
      <c r="S163" s="42">
        <f t="shared" si="80"/>
        <v>7.5869565296023331E-5</v>
      </c>
      <c r="T163" s="42">
        <f t="shared" si="80"/>
        <v>6.1231932110164726E-5</v>
      </c>
      <c r="U163" s="42">
        <f t="shared" si="80"/>
        <v>4.2135795193959177E-7</v>
      </c>
      <c r="V163" s="42">
        <f t="shared" si="81"/>
        <v>1.5182398399642038E-7</v>
      </c>
      <c r="W163" s="42">
        <f t="shared" si="81"/>
        <v>5.2219438956982985E-8</v>
      </c>
      <c r="X163" s="42">
        <f t="shared" si="81"/>
        <v>1.7179653793974454E-8</v>
      </c>
      <c r="Y163" s="26">
        <f t="shared" si="83"/>
        <v>6.0021713893162699E-3</v>
      </c>
      <c r="Z163" s="42"/>
      <c r="AA163" s="26">
        <f t="shared" si="84"/>
        <v>5.2864603319767948E-3</v>
      </c>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c r="A164" s="62">
        <f t="shared" si="78"/>
        <v>9.0622322821728929</v>
      </c>
      <c r="B164" s="62">
        <f t="shared" si="79"/>
        <v>587.60771790177819</v>
      </c>
      <c r="C164" s="7" t="s">
        <v>1294</v>
      </c>
      <c r="D164" s="7" t="s">
        <v>149</v>
      </c>
      <c r="E164" s="42">
        <f t="shared" si="82"/>
        <v>9.740995492610819E-4</v>
      </c>
      <c r="F164" s="42">
        <f t="shared" si="80"/>
        <v>9.8466681719563075E-4</v>
      </c>
      <c r="G164" s="42">
        <f t="shared" si="80"/>
        <v>9.9509707430218844E-4</v>
      </c>
      <c r="H164" s="42">
        <f t="shared" si="80"/>
        <v>1.0057966686041174E-3</v>
      </c>
      <c r="I164" s="42">
        <f t="shared" si="80"/>
        <v>1.0166175303727135E-3</v>
      </c>
      <c r="J164" s="42">
        <f t="shared" si="80"/>
        <v>9.2196135547421333E-4</v>
      </c>
      <c r="K164" s="42">
        <f t="shared" si="80"/>
        <v>7.432138531639188E-4</v>
      </c>
      <c r="L164" s="42">
        <f t="shared" si="80"/>
        <v>5.9928220692651133E-4</v>
      </c>
      <c r="M164" s="42">
        <f t="shared" si="80"/>
        <v>4.8333112246607833E-4</v>
      </c>
      <c r="N164" s="42">
        <f t="shared" si="80"/>
        <v>3.8988631321398165E-4</v>
      </c>
      <c r="O164" s="42">
        <f t="shared" si="80"/>
        <v>3.145513439467567E-4</v>
      </c>
      <c r="P164" s="42">
        <f t="shared" si="80"/>
        <v>2.5380364999518477E-4</v>
      </c>
      <c r="Q164" s="42">
        <f t="shared" si="80"/>
        <v>2.048066732906604E-4</v>
      </c>
      <c r="R164" s="42">
        <f t="shared" si="80"/>
        <v>1.6528194768044709E-4</v>
      </c>
      <c r="S164" s="42">
        <f t="shared" si="80"/>
        <v>1.3339273784394057E-4</v>
      </c>
      <c r="T164" s="42">
        <f t="shared" si="80"/>
        <v>1.0765706954798234E-4</v>
      </c>
      <c r="U164" s="42">
        <f t="shared" ref="U164:X183" si="85">VLOOKUP(CONCATENATE($C164&amp;$D164),$B$89:$Y$140,U$30+1,FALSE)*$C$147*$A164/8760/1000</f>
        <v>7.408252650748176E-7</v>
      </c>
      <c r="V164" s="42">
        <f t="shared" si="81"/>
        <v>2.6693466367756616E-7</v>
      </c>
      <c r="W164" s="42">
        <f t="shared" si="81"/>
        <v>9.1811438538868148E-8</v>
      </c>
      <c r="X164" s="42">
        <f t="shared" si="81"/>
        <v>3.0205011006032593E-8</v>
      </c>
      <c r="Y164" s="26">
        <f t="shared" si="83"/>
        <v>1.0552928193348054E-2</v>
      </c>
      <c r="Z164" s="42"/>
      <c r="AA164" s="26">
        <f t="shared" si="84"/>
        <v>9.294575689663704E-3</v>
      </c>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c r="A165" s="62">
        <f t="shared" si="78"/>
        <v>54.224211982249763</v>
      </c>
      <c r="B165" s="62">
        <f t="shared" si="79"/>
        <v>31.043423600315389</v>
      </c>
      <c r="C165" s="7" t="s">
        <v>1296</v>
      </c>
      <c r="D165" s="7" t="s">
        <v>149</v>
      </c>
      <c r="E165" s="42">
        <f t="shared" si="82"/>
        <v>5.8285617501609675E-3</v>
      </c>
      <c r="F165" s="42">
        <f t="shared" si="82"/>
        <v>5.8917914002862906E-3</v>
      </c>
      <c r="G165" s="42">
        <f t="shared" si="82"/>
        <v>5.9542012409044727E-3</v>
      </c>
      <c r="H165" s="42">
        <f t="shared" si="82"/>
        <v>6.0182226708884708E-3</v>
      </c>
      <c r="I165" s="42">
        <f t="shared" si="82"/>
        <v>6.0829697093775668E-3</v>
      </c>
      <c r="J165" s="42">
        <f t="shared" si="82"/>
        <v>5.5165908820303498E-3</v>
      </c>
      <c r="K165" s="42">
        <f t="shared" si="82"/>
        <v>4.4470483946193904E-3</v>
      </c>
      <c r="L165" s="42">
        <f t="shared" si="82"/>
        <v>3.5858279079315322E-3</v>
      </c>
      <c r="M165" s="42">
        <f t="shared" si="82"/>
        <v>2.89203017823499E-3</v>
      </c>
      <c r="N165" s="42">
        <f t="shared" si="82"/>
        <v>2.3328996033661177E-3</v>
      </c>
      <c r="O165" s="42">
        <f t="shared" si="82"/>
        <v>1.882129945733506E-3</v>
      </c>
      <c r="P165" s="42">
        <f t="shared" si="82"/>
        <v>1.518643805487159E-3</v>
      </c>
      <c r="Q165" s="42">
        <f t="shared" si="82"/>
        <v>1.2254685293974089E-3</v>
      </c>
      <c r="R165" s="42">
        <f t="shared" si="82"/>
        <v>9.8897082846730478E-4</v>
      </c>
      <c r="S165" s="42">
        <f t="shared" si="82"/>
        <v>7.9816052695663047E-4</v>
      </c>
      <c r="T165" s="42">
        <f t="shared" si="82"/>
        <v>6.4417017560246053E-4</v>
      </c>
      <c r="U165" s="42">
        <f t="shared" si="85"/>
        <v>4.4327561868223684E-6</v>
      </c>
      <c r="V165" s="42">
        <f t="shared" si="81"/>
        <v>1.5972137259311476E-6</v>
      </c>
      <c r="W165" s="42">
        <f t="shared" si="81"/>
        <v>5.4935723900173375E-7</v>
      </c>
      <c r="X165" s="42">
        <f t="shared" si="81"/>
        <v>1.8073283366828304E-7</v>
      </c>
      <c r="Y165" s="26">
        <f t="shared" si="83"/>
        <v>6.314384773774083E-2</v>
      </c>
      <c r="Z165" s="42"/>
      <c r="AA165" s="26">
        <f t="shared" si="84"/>
        <v>5.5614447609430052E-2</v>
      </c>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c r="A166" s="62">
        <f t="shared" si="78"/>
        <v>56.199551272930009</v>
      </c>
      <c r="B166" s="62">
        <f t="shared" si="79"/>
        <v>104.8717783320854</v>
      </c>
      <c r="C166" s="7" t="s">
        <v>1298</v>
      </c>
      <c r="D166" s="7" t="s">
        <v>149</v>
      </c>
      <c r="E166" s="42">
        <f t="shared" ref="E166:T181" si="86">VLOOKUP(CONCATENATE($C166&amp;$D166),$B$89:$Y$140,E$30+1,FALSE)*$C$147*$A166/8760/1000</f>
        <v>6.0408910143837074E-3</v>
      </c>
      <c r="F166" s="42">
        <f t="shared" si="86"/>
        <v>6.1064240638146671E-3</v>
      </c>
      <c r="G166" s="42">
        <f t="shared" si="86"/>
        <v>6.1711074388152111E-3</v>
      </c>
      <c r="H166" s="42">
        <f t="shared" si="86"/>
        <v>6.2374611119332237E-3</v>
      </c>
      <c r="I166" s="42">
        <f t="shared" si="86"/>
        <v>6.3045668268217944E-3</v>
      </c>
      <c r="J166" s="42">
        <f t="shared" si="86"/>
        <v>5.7175553280134489E-3</v>
      </c>
      <c r="K166" s="42">
        <f t="shared" si="86"/>
        <v>4.6090503693889603E-3</v>
      </c>
      <c r="L166" s="42">
        <f t="shared" si="86"/>
        <v>3.7164563946760444E-3</v>
      </c>
      <c r="M166" s="42">
        <f t="shared" si="86"/>
        <v>2.9973842374654064E-3</v>
      </c>
      <c r="N166" s="42">
        <f t="shared" si="86"/>
        <v>2.4178850384564418E-3</v>
      </c>
      <c r="O166" s="42">
        <f t="shared" si="86"/>
        <v>1.9506942474736642E-3</v>
      </c>
      <c r="P166" s="42">
        <f t="shared" si="86"/>
        <v>1.5739666339407831E-3</v>
      </c>
      <c r="Q166" s="42">
        <f t="shared" si="86"/>
        <v>1.2701112461307247E-3</v>
      </c>
      <c r="R166" s="42">
        <f t="shared" si="86"/>
        <v>1.0249981465857783E-3</v>
      </c>
      <c r="S166" s="42">
        <f t="shared" si="86"/>
        <v>8.2723679734454485E-4</v>
      </c>
      <c r="T166" s="42">
        <f t="shared" si="86"/>
        <v>6.6763671593998491E-4</v>
      </c>
      <c r="U166" s="42">
        <f t="shared" si="85"/>
        <v>4.5942375093117119E-6</v>
      </c>
      <c r="V166" s="42">
        <f t="shared" si="81"/>
        <v>1.6553987859460058E-6</v>
      </c>
      <c r="W166" s="42">
        <f t="shared" si="81"/>
        <v>5.6936982930318383E-7</v>
      </c>
      <c r="X166" s="42">
        <f t="shared" si="81"/>
        <v>1.8731676830578047E-7</v>
      </c>
      <c r="Y166" s="26">
        <f t="shared" si="83"/>
        <v>6.5444121339539266E-2</v>
      </c>
      <c r="Z166" s="42"/>
      <c r="AA166" s="26">
        <f t="shared" si="84"/>
        <v>5.7640431934077252E-2</v>
      </c>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c r="A167" s="62">
        <f t="shared" si="78"/>
        <v>26.980540557862223</v>
      </c>
      <c r="B167" s="62">
        <f t="shared" si="79"/>
        <v>193.03695539222213</v>
      </c>
      <c r="C167" s="7" t="s">
        <v>1300</v>
      </c>
      <c r="D167" s="7" t="s">
        <v>149</v>
      </c>
      <c r="E167" s="42">
        <f t="shared" si="86"/>
        <v>2.9001389037373298E-3</v>
      </c>
      <c r="F167" s="42">
        <f t="shared" si="86"/>
        <v>2.9316003132682637E-3</v>
      </c>
      <c r="G167" s="42">
        <f t="shared" si="86"/>
        <v>2.9626538071679956E-3</v>
      </c>
      <c r="H167" s="42">
        <f t="shared" si="86"/>
        <v>2.9945091855148685E-3</v>
      </c>
      <c r="I167" s="42">
        <f t="shared" si="86"/>
        <v>3.0267256075539447E-3</v>
      </c>
      <c r="J167" s="42">
        <f t="shared" si="86"/>
        <v>2.7449104116529272E-3</v>
      </c>
      <c r="K167" s="42">
        <f t="shared" si="86"/>
        <v>2.2127342231009479E-3</v>
      </c>
      <c r="L167" s="42">
        <f t="shared" si="86"/>
        <v>1.7842135785233941E-3</v>
      </c>
      <c r="M167" s="42">
        <f t="shared" si="86"/>
        <v>1.4389980908154688E-3</v>
      </c>
      <c r="N167" s="42">
        <f t="shared" si="86"/>
        <v>1.1607894345545217E-3</v>
      </c>
      <c r="O167" s="42">
        <f t="shared" si="86"/>
        <v>9.3649831836473618E-4</v>
      </c>
      <c r="P167" s="42">
        <f t="shared" si="86"/>
        <v>7.5563718289359846E-4</v>
      </c>
      <c r="Q167" s="42">
        <f t="shared" si="86"/>
        <v>6.097608826590963E-4</v>
      </c>
      <c r="R167" s="42">
        <f t="shared" si="86"/>
        <v>4.9208585192052877E-4</v>
      </c>
      <c r="S167" s="42">
        <f t="shared" si="86"/>
        <v>3.9714366852002284E-4</v>
      </c>
      <c r="T167" s="42">
        <f t="shared" si="86"/>
        <v>3.2052212311903694E-4</v>
      </c>
      <c r="U167" s="42">
        <f t="shared" si="85"/>
        <v>2.2056227967098155E-6</v>
      </c>
      <c r="V167" s="42">
        <f t="shared" si="81"/>
        <v>7.947315071386605E-7</v>
      </c>
      <c r="W167" s="42">
        <f t="shared" si="81"/>
        <v>2.7334570159347709E-7</v>
      </c>
      <c r="X167" s="42">
        <f t="shared" si="81"/>
        <v>8.9927900667707619E-8</v>
      </c>
      <c r="Y167" s="26">
        <f t="shared" si="83"/>
        <v>3.1418716521418207E-2</v>
      </c>
      <c r="Z167" s="42"/>
      <c r="AA167" s="26">
        <f t="shared" si="84"/>
        <v>2.7672285211272792E-2</v>
      </c>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c r="A168" s="62">
        <f t="shared" si="78"/>
        <v>46.696102069221105</v>
      </c>
      <c r="B168" s="62">
        <f t="shared" si="79"/>
        <v>518.91323853032338</v>
      </c>
      <c r="C168" s="7" t="s">
        <v>1302</v>
      </c>
      <c r="D168" s="7" t="s">
        <v>149</v>
      </c>
      <c r="E168" s="42">
        <f t="shared" si="86"/>
        <v>3.7783632807436969E-4</v>
      </c>
      <c r="F168" s="42">
        <f t="shared" si="86"/>
        <v>3.8193518811100222E-4</v>
      </c>
      <c r="G168" s="42">
        <f t="shared" si="86"/>
        <v>3.8598090402268989E-4</v>
      </c>
      <c r="H168" s="42">
        <f t="shared" si="86"/>
        <v>3.9013109116320643E-4</v>
      </c>
      <c r="I168" s="42">
        <f t="shared" si="86"/>
        <v>3.9432831585173848E-4</v>
      </c>
      <c r="J168" s="42">
        <f t="shared" si="86"/>
        <v>3.5761282657721384E-4</v>
      </c>
      <c r="K168" s="42">
        <f t="shared" si="86"/>
        <v>2.8827976921503966E-4</v>
      </c>
      <c r="L168" s="42">
        <f t="shared" si="86"/>
        <v>2.3245117885249008E-4</v>
      </c>
      <c r="M168" s="42">
        <f t="shared" si="86"/>
        <v>1.8747576332950346E-4</v>
      </c>
      <c r="N168" s="42">
        <f t="shared" si="86"/>
        <v>1.5123014178886659E-4</v>
      </c>
      <c r="O168" s="42">
        <f t="shared" si="86"/>
        <v>1.2200901322442392E-4</v>
      </c>
      <c r="P168" s="42">
        <f t="shared" si="86"/>
        <v>9.8446035868507219E-5</v>
      </c>
      <c r="Q168" s="42">
        <f t="shared" si="86"/>
        <v>7.9440958021149497E-5</v>
      </c>
      <c r="R168" s="42">
        <f t="shared" si="86"/>
        <v>6.4110002161413905E-5</v>
      </c>
      <c r="S168" s="42">
        <f t="shared" si="86"/>
        <v>5.1740730500259129E-5</v>
      </c>
      <c r="T168" s="42">
        <f t="shared" si="86"/>
        <v>4.1758310924291748E-5</v>
      </c>
      <c r="U168" s="42">
        <f t="shared" si="85"/>
        <v>2.8735327730407166E-7</v>
      </c>
      <c r="V168" s="42">
        <f t="shared" si="81"/>
        <v>1.0353932843537968E-7</v>
      </c>
      <c r="W168" s="42">
        <f t="shared" si="81"/>
        <v>3.5612065357248168E-8</v>
      </c>
      <c r="X168" s="42">
        <f t="shared" si="81"/>
        <v>1.1716000132247724E-8</v>
      </c>
      <c r="Y168" s="26">
        <f t="shared" si="83"/>
        <v>4.0932978996158394E-3</v>
      </c>
      <c r="Z168" s="42"/>
      <c r="AA168" s="26">
        <f t="shared" si="84"/>
        <v>3.6052047783573945E-3</v>
      </c>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c r="A169" s="62">
        <f t="shared" si="78"/>
        <v>13.446212770626941</v>
      </c>
      <c r="B169" s="62">
        <f t="shared" si="79"/>
        <v>104.23376805589017</v>
      </c>
      <c r="C169" s="7" t="s">
        <v>1304</v>
      </c>
      <c r="D169" s="7" t="s">
        <v>149</v>
      </c>
      <c r="E169" s="42">
        <f t="shared" si="86"/>
        <v>1.0879853852103596E-4</v>
      </c>
      <c r="F169" s="42">
        <f t="shared" si="86"/>
        <v>1.0997881142878065E-4</v>
      </c>
      <c r="G169" s="42">
        <f t="shared" si="86"/>
        <v>1.1114378140587687E-4</v>
      </c>
      <c r="H169" s="42">
        <f t="shared" si="86"/>
        <v>1.1233883403032464E-4</v>
      </c>
      <c r="I169" s="42">
        <f t="shared" si="86"/>
        <v>1.1354743118741649E-4</v>
      </c>
      <c r="J169" s="42">
        <f t="shared" si="86"/>
        <v>1.02975150870933E-4</v>
      </c>
      <c r="K169" s="42">
        <f t="shared" si="86"/>
        <v>8.3010592802512054E-5</v>
      </c>
      <c r="L169" s="42">
        <f t="shared" si="86"/>
        <v>6.6934666302560929E-5</v>
      </c>
      <c r="M169" s="42">
        <f t="shared" si="86"/>
        <v>5.3983927808950228E-5</v>
      </c>
      <c r="N169" s="42">
        <f t="shared" si="86"/>
        <v>4.3546946612606198E-5</v>
      </c>
      <c r="O169" s="42">
        <f t="shared" si="86"/>
        <v>3.5132678725901303E-5</v>
      </c>
      <c r="P169" s="42">
        <f t="shared" si="86"/>
        <v>2.8347683983353935E-5</v>
      </c>
      <c r="Q169" s="42">
        <f t="shared" si="86"/>
        <v>2.2875143254385049E-5</v>
      </c>
      <c r="R169" s="42">
        <f t="shared" si="86"/>
        <v>1.8460571473607435E-5</v>
      </c>
      <c r="S169" s="42">
        <f t="shared" si="86"/>
        <v>1.4898821108940491E-5</v>
      </c>
      <c r="T169" s="42">
        <f t="shared" si="86"/>
        <v>1.2024368389414648E-5</v>
      </c>
      <c r="U169" s="42">
        <f t="shared" si="85"/>
        <v>8.2743808064319693E-8</v>
      </c>
      <c r="V169" s="42">
        <f t="shared" si="85"/>
        <v>2.9814305232718569E-8</v>
      </c>
      <c r="W169" s="42">
        <f t="shared" si="85"/>
        <v>1.0254547741162646E-8</v>
      </c>
      <c r="X169" s="42">
        <f t="shared" si="85"/>
        <v>3.3736398461132627E-9</v>
      </c>
      <c r="Y169" s="26">
        <f t="shared" si="83"/>
        <v>1.1786712820313354E-3</v>
      </c>
      <c r="Z169" s="42"/>
      <c r="AA169" s="26">
        <f t="shared" si="84"/>
        <v>1.0381241342074846E-3</v>
      </c>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c r="A170" s="62">
        <f t="shared" si="78"/>
        <v>22.29338935784876</v>
      </c>
      <c r="B170" s="62">
        <f t="shared" si="79"/>
        <v>293.50043344613579</v>
      </c>
      <c r="C170" s="7" t="s">
        <v>1306</v>
      </c>
      <c r="D170" s="7" t="s">
        <v>149</v>
      </c>
      <c r="E170" s="42">
        <f t="shared" si="86"/>
        <v>7.6373922005312286E-3</v>
      </c>
      <c r="F170" s="42">
        <f t="shared" si="86"/>
        <v>7.7202444816614974E-3</v>
      </c>
      <c r="G170" s="42">
        <f t="shared" si="86"/>
        <v>7.8020225343621514E-3</v>
      </c>
      <c r="H170" s="42">
        <f t="shared" si="86"/>
        <v>7.885912315578442E-3</v>
      </c>
      <c r="I170" s="42">
        <f t="shared" si="86"/>
        <v>7.9707528899706503E-3</v>
      </c>
      <c r="J170" s="42">
        <f t="shared" si="86"/>
        <v>7.2286045823871919E-3</v>
      </c>
      <c r="K170" s="42">
        <f t="shared" si="86"/>
        <v>5.8271412709169764E-3</v>
      </c>
      <c r="L170" s="42">
        <f t="shared" si="86"/>
        <v>4.6986504167562722E-3</v>
      </c>
      <c r="M170" s="42">
        <f t="shared" si="86"/>
        <v>3.7895401427878598E-3</v>
      </c>
      <c r="N170" s="42">
        <f t="shared" si="86"/>
        <v>3.05688950363762E-3</v>
      </c>
      <c r="O170" s="42">
        <f t="shared" si="86"/>
        <v>2.4662284083263519E-3</v>
      </c>
      <c r="P170" s="42">
        <f t="shared" si="86"/>
        <v>1.9899383162737152E-3</v>
      </c>
      <c r="Q170" s="42">
        <f t="shared" si="86"/>
        <v>1.6057792967806796E-3</v>
      </c>
      <c r="R170" s="42">
        <f t="shared" si="86"/>
        <v>1.2958871185812699E-3</v>
      </c>
      <c r="S170" s="42">
        <f t="shared" si="86"/>
        <v>1.0458609249841292E-3</v>
      </c>
      <c r="T170" s="42">
        <f t="shared" si="86"/>
        <v>8.4408135074234977E-4</v>
      </c>
      <c r="U170" s="42">
        <f t="shared" si="85"/>
        <v>5.808413632601343E-6</v>
      </c>
      <c r="V170" s="42">
        <f t="shared" si="85"/>
        <v>2.0928915529926542E-6</v>
      </c>
      <c r="W170" s="42">
        <f t="shared" si="85"/>
        <v>7.1984425529013906E-7</v>
      </c>
      <c r="X170" s="42">
        <f t="shared" si="85"/>
        <v>2.3682129372652391E-7</v>
      </c>
      <c r="Y170" s="26">
        <f t="shared" si="83"/>
        <v>8.2739850909263307E-2</v>
      </c>
      <c r="Z170" s="42"/>
      <c r="AA170" s="26">
        <f t="shared" si="84"/>
        <v>7.2873783725012978E-2</v>
      </c>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c r="A171" s="62">
        <f t="shared" si="78"/>
        <v>1.7017687925467591</v>
      </c>
      <c r="B171" s="62">
        <f t="shared" si="79"/>
        <v>261.55732925333763</v>
      </c>
      <c r="C171" s="7" t="s">
        <v>1308</v>
      </c>
      <c r="D171" s="7" t="s">
        <v>149</v>
      </c>
      <c r="E171" s="42">
        <f t="shared" si="86"/>
        <v>5.830013325779117E-4</v>
      </c>
      <c r="F171" s="42">
        <f t="shared" si="86"/>
        <v>5.8932587229484641E-4</v>
      </c>
      <c r="G171" s="42">
        <f t="shared" si="86"/>
        <v>5.9556841064410009E-4</v>
      </c>
      <c r="H171" s="42">
        <f t="shared" si="86"/>
        <v>6.0197214806580353E-4</v>
      </c>
      <c r="I171" s="42">
        <f t="shared" si="86"/>
        <v>6.0844846440895187E-4</v>
      </c>
      <c r="J171" s="42">
        <f t="shared" si="86"/>
        <v>5.5179647627856554E-4</v>
      </c>
      <c r="K171" s="42">
        <f t="shared" si="86"/>
        <v>4.4481559108985451E-4</v>
      </c>
      <c r="L171" s="42">
        <f t="shared" si="86"/>
        <v>3.5867209413392839E-4</v>
      </c>
      <c r="M171" s="42">
        <f t="shared" si="86"/>
        <v>2.8927504246137065E-4</v>
      </c>
      <c r="N171" s="42">
        <f t="shared" si="86"/>
        <v>2.3334806009310386E-4</v>
      </c>
      <c r="O171" s="42">
        <f t="shared" si="86"/>
        <v>1.8825986812563543E-4</v>
      </c>
      <c r="P171" s="42">
        <f t="shared" si="86"/>
        <v>1.5190220165133423E-4</v>
      </c>
      <c r="Q171" s="42">
        <f t="shared" si="86"/>
        <v>1.2257737265136676E-4</v>
      </c>
      <c r="R171" s="42">
        <f t="shared" si="86"/>
        <v>9.8921712695451304E-5</v>
      </c>
      <c r="S171" s="42">
        <f t="shared" si="86"/>
        <v>7.9835930504459831E-5</v>
      </c>
      <c r="T171" s="42">
        <f t="shared" si="86"/>
        <v>6.4433060312487939E-5</v>
      </c>
      <c r="U171" s="42">
        <f t="shared" si="85"/>
        <v>4.43386014369506E-7</v>
      </c>
      <c r="V171" s="42">
        <f t="shared" si="85"/>
        <v>1.5976115044228094E-7</v>
      </c>
      <c r="W171" s="42">
        <f t="shared" si="85"/>
        <v>5.4949405381265469E-8</v>
      </c>
      <c r="X171" s="42">
        <f t="shared" si="85"/>
        <v>1.8077784432202534E-8</v>
      </c>
      <c r="Y171" s="26">
        <f t="shared" si="83"/>
        <v>6.3159573413085991E-3</v>
      </c>
      <c r="Z171" s="42"/>
      <c r="AA171" s="26">
        <f t="shared" si="84"/>
        <v>5.5628298123437973E-3</v>
      </c>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c r="A172" s="62">
        <f t="shared" si="78"/>
        <v>1.7017687925467591</v>
      </c>
      <c r="B172" s="62">
        <f t="shared" si="79"/>
        <v>549.53941361994794</v>
      </c>
      <c r="C172" s="7" t="s">
        <v>1310</v>
      </c>
      <c r="D172" s="7" t="s">
        <v>149</v>
      </c>
      <c r="E172" s="42">
        <f t="shared" si="86"/>
        <v>5.830013325779117E-4</v>
      </c>
      <c r="F172" s="42">
        <f t="shared" si="86"/>
        <v>5.8932587229484641E-4</v>
      </c>
      <c r="G172" s="42">
        <f t="shared" si="86"/>
        <v>5.9556841064410009E-4</v>
      </c>
      <c r="H172" s="42">
        <f t="shared" si="86"/>
        <v>6.0197214806580353E-4</v>
      </c>
      <c r="I172" s="42">
        <f t="shared" si="86"/>
        <v>6.0844846440895187E-4</v>
      </c>
      <c r="J172" s="42">
        <f t="shared" si="86"/>
        <v>5.5179647627856554E-4</v>
      </c>
      <c r="K172" s="42">
        <f t="shared" si="86"/>
        <v>4.4481559108985451E-4</v>
      </c>
      <c r="L172" s="42">
        <f t="shared" si="86"/>
        <v>3.5867209413392839E-4</v>
      </c>
      <c r="M172" s="42">
        <f t="shared" si="86"/>
        <v>2.8927504246137065E-4</v>
      </c>
      <c r="N172" s="42">
        <f t="shared" si="86"/>
        <v>2.3334806009310386E-4</v>
      </c>
      <c r="O172" s="42">
        <f t="shared" si="86"/>
        <v>1.8825986812563543E-4</v>
      </c>
      <c r="P172" s="42">
        <f t="shared" si="86"/>
        <v>1.5190220165133423E-4</v>
      </c>
      <c r="Q172" s="42">
        <f t="shared" si="86"/>
        <v>1.2257737265136676E-4</v>
      </c>
      <c r="R172" s="42">
        <f t="shared" si="86"/>
        <v>9.8921712695451304E-5</v>
      </c>
      <c r="S172" s="42">
        <f t="shared" si="86"/>
        <v>7.9835930504459831E-5</v>
      </c>
      <c r="T172" s="42">
        <f t="shared" si="86"/>
        <v>6.4433060312487939E-5</v>
      </c>
      <c r="U172" s="42">
        <f t="shared" si="85"/>
        <v>4.43386014369506E-7</v>
      </c>
      <c r="V172" s="42">
        <f t="shared" si="85"/>
        <v>1.5976115044228094E-7</v>
      </c>
      <c r="W172" s="42">
        <f t="shared" si="85"/>
        <v>5.4949405381265469E-8</v>
      </c>
      <c r="X172" s="42">
        <f t="shared" si="85"/>
        <v>1.8077784432202534E-8</v>
      </c>
      <c r="Y172" s="26">
        <f t="shared" si="83"/>
        <v>6.3159573413085991E-3</v>
      </c>
      <c r="Z172" s="42"/>
      <c r="AA172" s="26">
        <f t="shared" si="84"/>
        <v>5.5628298123437973E-3</v>
      </c>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c r="A173" s="62">
        <f t="shared" si="78"/>
        <v>2.8320162362181653</v>
      </c>
      <c r="B173" s="62">
        <f t="shared" si="79"/>
        <v>132.45419904259862</v>
      </c>
      <c r="C173" s="7" t="s">
        <v>1312</v>
      </c>
      <c r="D173" s="7" t="s">
        <v>149</v>
      </c>
      <c r="E173" s="42">
        <f t="shared" si="86"/>
        <v>9.7020773140785296E-4</v>
      </c>
      <c r="F173" s="42">
        <f t="shared" si="86"/>
        <v>9.8073277995934342E-4</v>
      </c>
      <c r="G173" s="42">
        <f t="shared" si="86"/>
        <v>9.9112136508191086E-4</v>
      </c>
      <c r="H173" s="42">
        <f t="shared" si="86"/>
        <v>1.0017782113175278E-3</v>
      </c>
      <c r="I173" s="42">
        <f t="shared" si="86"/>
        <v>1.0125558405201603E-3</v>
      </c>
      <c r="J173" s="42">
        <f t="shared" si="86"/>
        <v>9.1827784523550757E-4</v>
      </c>
      <c r="K173" s="42">
        <f t="shared" si="86"/>
        <v>7.4024449244025918E-4</v>
      </c>
      <c r="L173" s="42">
        <f t="shared" si="86"/>
        <v>5.9688789600232685E-4</v>
      </c>
      <c r="M173" s="42">
        <f t="shared" si="86"/>
        <v>4.8140007066253159E-4</v>
      </c>
      <c r="N173" s="42">
        <f t="shared" si="86"/>
        <v>3.8832860125769664E-4</v>
      </c>
      <c r="O173" s="42">
        <f t="shared" si="86"/>
        <v>3.1329461763263637E-4</v>
      </c>
      <c r="P173" s="42">
        <f t="shared" si="86"/>
        <v>2.527896288132479E-4</v>
      </c>
      <c r="Q173" s="42">
        <f t="shared" si="86"/>
        <v>2.0398840962533213E-4</v>
      </c>
      <c r="R173" s="42">
        <f t="shared" si="86"/>
        <v>1.6462159706711696E-4</v>
      </c>
      <c r="S173" s="42">
        <f t="shared" si="86"/>
        <v>1.3285979412271012E-4</v>
      </c>
      <c r="T173" s="42">
        <f t="shared" si="86"/>
        <v>1.0722694748744861E-4</v>
      </c>
      <c r="U173" s="42">
        <f t="shared" si="85"/>
        <v>7.3786544747206001E-7</v>
      </c>
      <c r="V173" s="42">
        <f t="shared" si="85"/>
        <v>2.6586818018464794E-7</v>
      </c>
      <c r="W173" s="42">
        <f t="shared" si="85"/>
        <v>9.1444624494136014E-8</v>
      </c>
      <c r="X173" s="42">
        <f t="shared" si="85"/>
        <v>3.0084332989931032E-8</v>
      </c>
      <c r="Y173" s="26">
        <f t="shared" si="83"/>
        <v>1.0510766101826842E-2</v>
      </c>
      <c r="Z173" s="42"/>
      <c r="AA173" s="26">
        <f t="shared" si="84"/>
        <v>9.2574410912187478E-3</v>
      </c>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c r="A174" s="62">
        <f t="shared" si="78"/>
        <v>0.70800405905454133</v>
      </c>
      <c r="B174" s="62">
        <f t="shared" si="79"/>
        <v>1272.8590394517028</v>
      </c>
      <c r="C174" s="7" t="s">
        <v>1314</v>
      </c>
      <c r="D174" s="7" t="s">
        <v>149</v>
      </c>
      <c r="E174" s="42">
        <f t="shared" si="86"/>
        <v>2.4255193285196324E-4</v>
      </c>
      <c r="F174" s="42">
        <f t="shared" si="86"/>
        <v>2.4518319498983586E-4</v>
      </c>
      <c r="G174" s="42">
        <f t="shared" si="86"/>
        <v>2.4778034127047771E-4</v>
      </c>
      <c r="H174" s="42">
        <f t="shared" si="86"/>
        <v>2.5044455282938194E-4</v>
      </c>
      <c r="I174" s="42">
        <f t="shared" si="86"/>
        <v>2.5313896013004006E-4</v>
      </c>
      <c r="J174" s="42">
        <f t="shared" si="86"/>
        <v>2.2956946130887689E-4</v>
      </c>
      <c r="K174" s="42">
        <f t="shared" si="86"/>
        <v>1.8506112311006479E-4</v>
      </c>
      <c r="L174" s="42">
        <f t="shared" si="86"/>
        <v>1.4922197400058171E-4</v>
      </c>
      <c r="M174" s="42">
        <f t="shared" si="86"/>
        <v>1.203500176656329E-4</v>
      </c>
      <c r="N174" s="42">
        <f t="shared" si="86"/>
        <v>9.708215031442416E-5</v>
      </c>
      <c r="O174" s="42">
        <f t="shared" si="86"/>
        <v>7.8323654408159093E-5</v>
      </c>
      <c r="P174" s="42">
        <f t="shared" si="86"/>
        <v>6.3197407203311975E-5</v>
      </c>
      <c r="Q174" s="42">
        <f t="shared" si="86"/>
        <v>5.0997102406333034E-5</v>
      </c>
      <c r="R174" s="42">
        <f t="shared" si="86"/>
        <v>4.115539926677924E-5</v>
      </c>
      <c r="S174" s="42">
        <f t="shared" si="86"/>
        <v>3.321494853067753E-5</v>
      </c>
      <c r="T174" s="42">
        <f t="shared" si="86"/>
        <v>2.6806736871862153E-5</v>
      </c>
      <c r="U174" s="42">
        <f t="shared" si="85"/>
        <v>1.84466361868015E-7</v>
      </c>
      <c r="V174" s="42">
        <f t="shared" si="85"/>
        <v>6.6467045046161985E-8</v>
      </c>
      <c r="W174" s="42">
        <f t="shared" si="85"/>
        <v>2.2861156123534004E-8</v>
      </c>
      <c r="X174" s="42">
        <f t="shared" si="85"/>
        <v>7.5210832474827579E-9</v>
      </c>
      <c r="Y174" s="26">
        <f t="shared" si="83"/>
        <v>2.6276915254567104E-3</v>
      </c>
      <c r="Z174" s="42"/>
      <c r="AA174" s="26">
        <f t="shared" si="84"/>
        <v>2.3143602728046869E-3</v>
      </c>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c r="A175" s="62">
        <f t="shared" ref="A175:A200" si="87">VLOOKUP(CONCATENATE($C175," - ", $D175),MeasureOutput,3,FALSE)</f>
        <v>75.807619128618981</v>
      </c>
      <c r="B175" s="62">
        <f t="shared" ref="B175:B200" si="88">VLOOKUP(CONCATENATE($C175," - ", $D175),MeasureOutput,11,FALSE)</f>
        <v>39.241001346540749</v>
      </c>
      <c r="C175" s="7" t="s">
        <v>1290</v>
      </c>
      <c r="D175" s="7" t="s">
        <v>433</v>
      </c>
      <c r="E175" s="42">
        <f t="shared" si="86"/>
        <v>2.0267848197889349E-2</v>
      </c>
      <c r="F175" s="42">
        <f t="shared" si="86"/>
        <v>2.0483946472232367E-2</v>
      </c>
      <c r="G175" s="42">
        <f t="shared" si="86"/>
        <v>2.0707861794471035E-2</v>
      </c>
      <c r="H175" s="42">
        <f t="shared" si="86"/>
        <v>2.093924650365182E-2</v>
      </c>
      <c r="I175" s="42">
        <f t="shared" si="86"/>
        <v>2.131854837099895E-2</v>
      </c>
      <c r="J175" s="42">
        <f t="shared" si="86"/>
        <v>1.9424608326733161E-2</v>
      </c>
      <c r="K175" s="42">
        <f t="shared" si="86"/>
        <v>1.5725228390486429E-2</v>
      </c>
      <c r="L175" s="42">
        <f t="shared" si="86"/>
        <v>1.2734771581148243E-2</v>
      </c>
      <c r="M175" s="42">
        <f t="shared" si="86"/>
        <v>1.030846370199884E-2</v>
      </c>
      <c r="N175" s="42">
        <f t="shared" si="86"/>
        <v>8.4090852092841614E-3</v>
      </c>
      <c r="O175" s="42">
        <f t="shared" si="86"/>
        <v>6.8052522408480962E-3</v>
      </c>
      <c r="P175" s="42">
        <f t="shared" si="86"/>
        <v>5.5048929050968958E-3</v>
      </c>
      <c r="Q175" s="42">
        <f t="shared" si="86"/>
        <v>4.4542333831638905E-3</v>
      </c>
      <c r="R175" s="42">
        <f t="shared" si="86"/>
        <v>3.6025333959727166E-3</v>
      </c>
      <c r="S175" s="42">
        <f t="shared" si="86"/>
        <v>2.9337021140272194E-3</v>
      </c>
      <c r="T175" s="42">
        <f t="shared" si="86"/>
        <v>2.3745064678029506E-3</v>
      </c>
      <c r="U175" s="42">
        <f t="shared" si="85"/>
        <v>1.6390016335184697E-5</v>
      </c>
      <c r="V175" s="42">
        <f t="shared" si="85"/>
        <v>5.9230160495040396E-6</v>
      </c>
      <c r="W175" s="42">
        <f t="shared" si="85"/>
        <v>2.042265424170721E-6</v>
      </c>
      <c r="X175" s="42">
        <f t="shared" si="85"/>
        <v>6.7850150291963383E-7</v>
      </c>
      <c r="Y175" s="26">
        <f t="shared" si="83"/>
        <v>0.23705264129715387</v>
      </c>
      <c r="Z175" s="42"/>
      <c r="AA175" s="26">
        <f t="shared" si="84"/>
        <v>0.19601976285511793</v>
      </c>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c r="A176" s="62">
        <f t="shared" si="87"/>
        <v>75.807619128618981</v>
      </c>
      <c r="B176" s="62">
        <f t="shared" si="88"/>
        <v>14.563061720172616</v>
      </c>
      <c r="C176" s="7" t="s">
        <v>1292</v>
      </c>
      <c r="D176" s="7" t="s">
        <v>433</v>
      </c>
      <c r="E176" s="42">
        <f t="shared" si="86"/>
        <v>2.0267848197889349E-2</v>
      </c>
      <c r="F176" s="42">
        <f t="shared" si="86"/>
        <v>2.0483946472232367E-2</v>
      </c>
      <c r="G176" s="42">
        <f t="shared" si="86"/>
        <v>2.0707861794471035E-2</v>
      </c>
      <c r="H176" s="42">
        <f t="shared" si="86"/>
        <v>2.093924650365182E-2</v>
      </c>
      <c r="I176" s="42">
        <f t="shared" si="86"/>
        <v>2.131854837099895E-2</v>
      </c>
      <c r="J176" s="42">
        <f t="shared" si="86"/>
        <v>1.9424608326733161E-2</v>
      </c>
      <c r="K176" s="42">
        <f t="shared" si="86"/>
        <v>1.5725228390486429E-2</v>
      </c>
      <c r="L176" s="42">
        <f t="shared" si="86"/>
        <v>1.2734771581148243E-2</v>
      </c>
      <c r="M176" s="42">
        <f t="shared" si="86"/>
        <v>1.030846370199884E-2</v>
      </c>
      <c r="N176" s="42">
        <f t="shared" si="86"/>
        <v>8.4090852092841614E-3</v>
      </c>
      <c r="O176" s="42">
        <f t="shared" si="86"/>
        <v>6.8052522408480962E-3</v>
      </c>
      <c r="P176" s="42">
        <f t="shared" si="86"/>
        <v>5.5048929050968958E-3</v>
      </c>
      <c r="Q176" s="42">
        <f t="shared" si="86"/>
        <v>4.4542333831638905E-3</v>
      </c>
      <c r="R176" s="42">
        <f t="shared" si="86"/>
        <v>3.6025333959727166E-3</v>
      </c>
      <c r="S176" s="42">
        <f t="shared" si="86"/>
        <v>2.9337021140272194E-3</v>
      </c>
      <c r="T176" s="42">
        <f t="shared" si="86"/>
        <v>2.3745064678029506E-3</v>
      </c>
      <c r="U176" s="42">
        <f t="shared" si="85"/>
        <v>1.6390016335184697E-5</v>
      </c>
      <c r="V176" s="42">
        <f t="shared" si="85"/>
        <v>5.9230160495040396E-6</v>
      </c>
      <c r="W176" s="42">
        <f t="shared" si="85"/>
        <v>2.042265424170721E-6</v>
      </c>
      <c r="X176" s="42">
        <f t="shared" si="85"/>
        <v>6.7850150291963383E-7</v>
      </c>
      <c r="Y176" s="26">
        <f t="shared" si="83"/>
        <v>0.23705264129715387</v>
      </c>
      <c r="Z176" s="42"/>
      <c r="AA176" s="26">
        <f t="shared" si="84"/>
        <v>0.19601976285511793</v>
      </c>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c r="A177" s="62">
        <f t="shared" si="87"/>
        <v>66.641912508276818</v>
      </c>
      <c r="B177" s="62">
        <f t="shared" si="88"/>
        <v>79.774754914869376</v>
      </c>
      <c r="C177" s="7" t="s">
        <v>1294</v>
      </c>
      <c r="D177" s="7" t="s">
        <v>433</v>
      </c>
      <c r="E177" s="42">
        <f t="shared" si="86"/>
        <v>3.5634628335791237E-2</v>
      </c>
      <c r="F177" s="42">
        <f t="shared" si="86"/>
        <v>3.6014569097880693E-2</v>
      </c>
      <c r="G177" s="42">
        <f t="shared" si="86"/>
        <v>3.640825367696169E-2</v>
      </c>
      <c r="H177" s="42">
        <f t="shared" si="86"/>
        <v>3.6815070820732342E-2</v>
      </c>
      <c r="I177" s="42">
        <f t="shared" si="86"/>
        <v>3.7481953705290075E-2</v>
      </c>
      <c r="J177" s="42">
        <f t="shared" si="86"/>
        <v>3.4152056574191979E-2</v>
      </c>
      <c r="K177" s="42">
        <f t="shared" si="86"/>
        <v>2.7647861959454165E-2</v>
      </c>
      <c r="L177" s="42">
        <f t="shared" si="86"/>
        <v>2.2390085410382728E-2</v>
      </c>
      <c r="M177" s="42">
        <f t="shared" si="86"/>
        <v>1.8124187094117727E-2</v>
      </c>
      <c r="N177" s="42">
        <f t="shared" si="86"/>
        <v>1.4784728164090242E-2</v>
      </c>
      <c r="O177" s="42">
        <f t="shared" si="86"/>
        <v>1.1964892965755789E-2</v>
      </c>
      <c r="P177" s="42">
        <f t="shared" si="86"/>
        <v>9.678620581038801E-3</v>
      </c>
      <c r="Q177" s="42">
        <f t="shared" si="86"/>
        <v>7.8313666838322055E-3</v>
      </c>
      <c r="R177" s="42">
        <f t="shared" si="86"/>
        <v>6.3339204724324073E-3</v>
      </c>
      <c r="S177" s="42">
        <f t="shared" si="86"/>
        <v>5.1579912904701816E-3</v>
      </c>
      <c r="T177" s="42">
        <f t="shared" si="86"/>
        <v>4.1748218476346287E-3</v>
      </c>
      <c r="U177" s="42">
        <f t="shared" si="85"/>
        <v>2.8816682206188804E-5</v>
      </c>
      <c r="V177" s="42">
        <f t="shared" si="85"/>
        <v>1.0413758455768517E-5</v>
      </c>
      <c r="W177" s="42">
        <f t="shared" si="85"/>
        <v>3.5906806012559018E-6</v>
      </c>
      <c r="X177" s="42">
        <f t="shared" si="85"/>
        <v>1.1929312202138354E-6</v>
      </c>
      <c r="Y177" s="26">
        <f t="shared" si="83"/>
        <v>0.41678241746064576</v>
      </c>
      <c r="Z177" s="42"/>
      <c r="AA177" s="26">
        <f t="shared" si="84"/>
        <v>0.34463902273254032</v>
      </c>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c r="A178" s="62">
        <f t="shared" si="87"/>
        <v>398.75442145308739</v>
      </c>
      <c r="B178" s="62">
        <f t="shared" si="88"/>
        <v>4.0909288497475105</v>
      </c>
      <c r="C178" s="7" t="s">
        <v>1296</v>
      </c>
      <c r="D178" s="7" t="s">
        <v>433</v>
      </c>
      <c r="E178" s="42">
        <f t="shared" si="86"/>
        <v>0.21322115573993228</v>
      </c>
      <c r="F178" s="42">
        <f t="shared" si="86"/>
        <v>0.21549454575938293</v>
      </c>
      <c r="G178" s="42">
        <f t="shared" si="86"/>
        <v>0.21785017243121582</v>
      </c>
      <c r="H178" s="42">
        <f t="shared" si="86"/>
        <v>0.22028437830400369</v>
      </c>
      <c r="I178" s="42">
        <f t="shared" si="86"/>
        <v>0.22427469744101458</v>
      </c>
      <c r="J178" s="42">
        <f t="shared" si="86"/>
        <v>0.20435013114282491</v>
      </c>
      <c r="K178" s="42">
        <f t="shared" si="86"/>
        <v>0.16543203496279787</v>
      </c>
      <c r="L178" s="42">
        <f t="shared" si="86"/>
        <v>0.1339719287466955</v>
      </c>
      <c r="M178" s="42">
        <f t="shared" si="86"/>
        <v>0.10844676371082286</v>
      </c>
      <c r="N178" s="42">
        <f t="shared" si="86"/>
        <v>8.8464984024592089E-2</v>
      </c>
      <c r="O178" s="42">
        <f t="shared" si="86"/>
        <v>7.1592392726056706E-2</v>
      </c>
      <c r="P178" s="42">
        <f t="shared" si="86"/>
        <v>5.7912394842761165E-2</v>
      </c>
      <c r="Q178" s="42">
        <f t="shared" si="86"/>
        <v>4.6859280798861362E-2</v>
      </c>
      <c r="R178" s="42">
        <f t="shared" si="86"/>
        <v>3.7899254364900846E-2</v>
      </c>
      <c r="S178" s="42">
        <f t="shared" si="86"/>
        <v>3.0863037321086074E-2</v>
      </c>
      <c r="T178" s="42">
        <f t="shared" si="86"/>
        <v>2.4980205517308632E-2</v>
      </c>
      <c r="U178" s="42">
        <f t="shared" si="85"/>
        <v>1.72425715421945E-4</v>
      </c>
      <c r="V178" s="42">
        <f t="shared" si="85"/>
        <v>6.2311120312857679E-5</v>
      </c>
      <c r="W178" s="42">
        <f t="shared" si="85"/>
        <v>2.148497412343612E-5</v>
      </c>
      <c r="X178" s="42">
        <f t="shared" si="85"/>
        <v>7.1379493871910428E-6</v>
      </c>
      <c r="Y178" s="26">
        <f t="shared" si="83"/>
        <v>2.4938334674248428</v>
      </c>
      <c r="Z178" s="42"/>
      <c r="AA178" s="26">
        <f t="shared" si="84"/>
        <v>2.0621607175935024</v>
      </c>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c r="A179" s="62">
        <f t="shared" si="87"/>
        <v>413.28068651502326</v>
      </c>
      <c r="B179" s="62">
        <f t="shared" si="88"/>
        <v>14.130402124270704</v>
      </c>
      <c r="C179" s="7" t="s">
        <v>1298</v>
      </c>
      <c r="D179" s="7" t="s">
        <v>433</v>
      </c>
      <c r="E179" s="42">
        <f t="shared" si="86"/>
        <v>0.22098861074094209</v>
      </c>
      <c r="F179" s="42">
        <f t="shared" si="86"/>
        <v>0.22334481831484487</v>
      </c>
      <c r="G179" s="42">
        <f t="shared" si="86"/>
        <v>0.22578625834843888</v>
      </c>
      <c r="H179" s="42">
        <f t="shared" si="86"/>
        <v>0.22830914015262976</v>
      </c>
      <c r="I179" s="42">
        <f t="shared" si="86"/>
        <v>0.23244482302819114</v>
      </c>
      <c r="J179" s="42">
        <f t="shared" si="86"/>
        <v>0.21179442269351126</v>
      </c>
      <c r="K179" s="42">
        <f t="shared" si="86"/>
        <v>0.17145857526007649</v>
      </c>
      <c r="L179" s="42">
        <f t="shared" si="86"/>
        <v>0.13885240565963236</v>
      </c>
      <c r="M179" s="42">
        <f t="shared" si="86"/>
        <v>0.11239738181063465</v>
      </c>
      <c r="N179" s="42">
        <f t="shared" si="86"/>
        <v>9.1687683855626631E-2</v>
      </c>
      <c r="O179" s="42">
        <f t="shared" si="86"/>
        <v>7.4200439225872772E-2</v>
      </c>
      <c r="P179" s="42">
        <f t="shared" si="86"/>
        <v>6.002209131908328E-2</v>
      </c>
      <c r="Q179" s="42">
        <f t="shared" si="86"/>
        <v>4.8566322268183415E-2</v>
      </c>
      <c r="R179" s="42">
        <f t="shared" si="86"/>
        <v>3.9279890127002483E-2</v>
      </c>
      <c r="S179" s="42">
        <f t="shared" si="86"/>
        <v>3.1987350022394292E-2</v>
      </c>
      <c r="T179" s="42">
        <f t="shared" si="86"/>
        <v>2.5890211945133908E-2</v>
      </c>
      <c r="U179" s="42">
        <f t="shared" si="85"/>
        <v>1.7870702921048129E-4</v>
      </c>
      <c r="V179" s="42">
        <f t="shared" si="85"/>
        <v>6.4581058403255089E-5</v>
      </c>
      <c r="W179" s="42">
        <f t="shared" si="85"/>
        <v>2.2267652414070656E-5</v>
      </c>
      <c r="X179" s="42">
        <f t="shared" si="85"/>
        <v>7.3979784657882771E-6</v>
      </c>
      <c r="Y179" s="26">
        <f t="shared" si="83"/>
        <v>2.5846815784906196</v>
      </c>
      <c r="Z179" s="42"/>
      <c r="AA179" s="26">
        <f t="shared" si="84"/>
        <v>2.1372833784906917</v>
      </c>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c r="A180" s="62">
        <f t="shared" si="87"/>
        <v>198.409703845281</v>
      </c>
      <c r="B180" s="62">
        <f t="shared" si="88"/>
        <v>26.119453513193985</v>
      </c>
      <c r="C180" s="7" t="s">
        <v>1300</v>
      </c>
      <c r="D180" s="7" t="s">
        <v>433</v>
      </c>
      <c r="E180" s="42">
        <f t="shared" si="86"/>
        <v>0.10609323455209788</v>
      </c>
      <c r="F180" s="42">
        <f t="shared" si="86"/>
        <v>0.10722441358414557</v>
      </c>
      <c r="G180" s="42">
        <f t="shared" si="86"/>
        <v>0.10839651140973265</v>
      </c>
      <c r="H180" s="42">
        <f t="shared" si="86"/>
        <v>0.1096077081773028</v>
      </c>
      <c r="I180" s="42">
        <f t="shared" si="86"/>
        <v>0.11159318594413839</v>
      </c>
      <c r="J180" s="42">
        <f t="shared" si="86"/>
        <v>0.10167924622137955</v>
      </c>
      <c r="K180" s="42">
        <f t="shared" si="86"/>
        <v>8.2314625989300769E-2</v>
      </c>
      <c r="L180" s="42">
        <f t="shared" si="86"/>
        <v>6.6660905249273025E-2</v>
      </c>
      <c r="M180" s="42">
        <f t="shared" si="86"/>
        <v>5.3960255017197221E-2</v>
      </c>
      <c r="N180" s="42">
        <f t="shared" si="86"/>
        <v>4.4017847418556633E-2</v>
      </c>
      <c r="O180" s="42">
        <f t="shared" si="86"/>
        <v>3.5622490119581296E-2</v>
      </c>
      <c r="P180" s="42">
        <f t="shared" si="86"/>
        <v>2.8815683266536624E-2</v>
      </c>
      <c r="Q180" s="42">
        <f t="shared" si="86"/>
        <v>2.3315944665453083E-2</v>
      </c>
      <c r="R180" s="42">
        <f t="shared" si="86"/>
        <v>1.8857671363480072E-2</v>
      </c>
      <c r="S180" s="42">
        <f t="shared" si="86"/>
        <v>1.5356634974298242E-2</v>
      </c>
      <c r="T180" s="42">
        <f t="shared" si="86"/>
        <v>1.2429492720412532E-2</v>
      </c>
      <c r="U180" s="42">
        <f t="shared" si="85"/>
        <v>8.5794497293627242E-5</v>
      </c>
      <c r="V180" s="42">
        <f t="shared" si="85"/>
        <v>3.1004373274382015E-5</v>
      </c>
      <c r="W180" s="42">
        <f t="shared" si="85"/>
        <v>1.0690357582545321E-5</v>
      </c>
      <c r="X180" s="42">
        <f t="shared" si="85"/>
        <v>3.551655725381837E-6</v>
      </c>
      <c r="Y180" s="26">
        <f t="shared" si="83"/>
        <v>1.2408658891056974</v>
      </c>
      <c r="Z180" s="42"/>
      <c r="AA180" s="26">
        <f t="shared" si="84"/>
        <v>1.026076891556762</v>
      </c>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c r="A181" s="62">
        <f t="shared" si="87"/>
        <v>343.39414966181369</v>
      </c>
      <c r="B181" s="62">
        <f t="shared" si="88"/>
        <v>70.433406428063208</v>
      </c>
      <c r="C181" s="7" t="s">
        <v>1302</v>
      </c>
      <c r="D181" s="7" t="s">
        <v>433</v>
      </c>
      <c r="E181" s="42">
        <f t="shared" si="86"/>
        <v>2.1450846041724907E-2</v>
      </c>
      <c r="F181" s="42">
        <f t="shared" si="86"/>
        <v>2.1679557583648593E-2</v>
      </c>
      <c r="G181" s="42">
        <f t="shared" si="86"/>
        <v>2.1916542440493191E-2</v>
      </c>
      <c r="H181" s="42">
        <f t="shared" si="86"/>
        <v>2.2161432658960648E-2</v>
      </c>
      <c r="I181" s="42">
        <f t="shared" si="86"/>
        <v>2.256287369406024E-2</v>
      </c>
      <c r="J181" s="42">
        <f t="shared" si="86"/>
        <v>2.0558387776012269E-2</v>
      </c>
      <c r="K181" s="42">
        <f t="shared" si="86"/>
        <v>1.664308168690614E-2</v>
      </c>
      <c r="L181" s="42">
        <f t="shared" si="86"/>
        <v>1.3478077292496797E-2</v>
      </c>
      <c r="M181" s="42">
        <f t="shared" si="86"/>
        <v>1.0910150186605115E-2</v>
      </c>
      <c r="N181" s="42">
        <f t="shared" si="86"/>
        <v>8.8999083876543476E-3</v>
      </c>
      <c r="O181" s="42">
        <f t="shared" si="86"/>
        <v>7.202462573641032E-3</v>
      </c>
      <c r="P181" s="42">
        <f t="shared" si="86"/>
        <v>5.8262036023989106E-3</v>
      </c>
      <c r="Q181" s="42">
        <f t="shared" si="86"/>
        <v>4.7142189739762365E-3</v>
      </c>
      <c r="R181" s="42">
        <f t="shared" si="86"/>
        <v>3.8128067904727348E-3</v>
      </c>
      <c r="S181" s="42">
        <f t="shared" si="86"/>
        <v>3.1049370296168965E-3</v>
      </c>
      <c r="T181" s="42">
        <f t="shared" ref="T181:X196" si="89">VLOOKUP(CONCATENATE($C181&amp;$D181),$B$89:$Y$140,T$30+1,FALSE)*$C$147*$A181/8760/1000</f>
        <v>2.5131021393393583E-3</v>
      </c>
      <c r="U181" s="42">
        <f t="shared" si="85"/>
        <v>1.7346672108192309E-5</v>
      </c>
      <c r="V181" s="42">
        <f t="shared" si="85"/>
        <v>6.2687318426732573E-6</v>
      </c>
      <c r="W181" s="42">
        <f t="shared" si="85"/>
        <v>2.1614687835873084E-6</v>
      </c>
      <c r="X181" s="42">
        <f t="shared" si="85"/>
        <v>7.1810441523455283E-7</v>
      </c>
      <c r="Y181" s="26">
        <f t="shared" si="83"/>
        <v>0.2508889775866302</v>
      </c>
      <c r="Z181" s="42"/>
      <c r="AA181" s="26">
        <f t="shared" si="84"/>
        <v>0.20746108383515716</v>
      </c>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c r="A182" s="62">
        <f t="shared" si="87"/>
        <v>98.880861483826095</v>
      </c>
      <c r="B182" s="62">
        <f t="shared" si="88"/>
        <v>14.043642949696046</v>
      </c>
      <c r="C182" s="7" t="s">
        <v>1304</v>
      </c>
      <c r="D182" s="7" t="s">
        <v>433</v>
      </c>
      <c r="E182" s="42">
        <f t="shared" ref="E182:T197" si="90">VLOOKUP(CONCATENATE($C182&amp;$D182),$B$89:$Y$140,E$30+1,FALSE)*$C$147*$A182/8760/1000</f>
        <v>6.1768033562936055E-3</v>
      </c>
      <c r="F182" s="42">
        <f t="shared" si="90"/>
        <v>6.2426611885222005E-3</v>
      </c>
      <c r="G182" s="42">
        <f t="shared" si="90"/>
        <v>6.3109013342162752E-3</v>
      </c>
      <c r="H182" s="42">
        <f t="shared" si="90"/>
        <v>6.3814178406706576E-3</v>
      </c>
      <c r="I182" s="42">
        <f t="shared" si="90"/>
        <v>6.4970133900552323E-3</v>
      </c>
      <c r="J182" s="42">
        <f t="shared" si="90"/>
        <v>5.9198186574018642E-3</v>
      </c>
      <c r="K182" s="42">
        <f t="shared" si="90"/>
        <v>4.7924003847115426E-3</v>
      </c>
      <c r="L182" s="42">
        <f t="shared" si="90"/>
        <v>3.8810326126411583E-3</v>
      </c>
      <c r="M182" s="42">
        <f t="shared" si="90"/>
        <v>3.1415941431497418E-3</v>
      </c>
      <c r="N182" s="42">
        <f t="shared" si="90"/>
        <v>2.5627419959398717E-3</v>
      </c>
      <c r="O182" s="42">
        <f t="shared" si="90"/>
        <v>2.0739599226953205E-3</v>
      </c>
      <c r="P182" s="42">
        <f t="shared" si="90"/>
        <v>1.6776640835399739E-3</v>
      </c>
      <c r="Q182" s="42">
        <f t="shared" si="90"/>
        <v>1.3574664385786583E-3</v>
      </c>
      <c r="R182" s="42">
        <f t="shared" si="90"/>
        <v>1.0979034456021512E-3</v>
      </c>
      <c r="S182" s="42">
        <f t="shared" si="90"/>
        <v>8.9407128410286967E-4</v>
      </c>
      <c r="T182" s="42">
        <f t="shared" si="89"/>
        <v>7.236515379759707E-4</v>
      </c>
      <c r="U182" s="42">
        <f t="shared" si="85"/>
        <v>4.9950003039502977E-6</v>
      </c>
      <c r="V182" s="42">
        <f t="shared" si="85"/>
        <v>1.8050907554047768E-6</v>
      </c>
      <c r="W182" s="42">
        <f t="shared" si="85"/>
        <v>6.2239818471571885E-7</v>
      </c>
      <c r="X182" s="42">
        <f t="shared" si="85"/>
        <v>2.0677924560934329E-7</v>
      </c>
      <c r="Y182" s="26">
        <f t="shared" si="83"/>
        <v>7.2243858158312274E-2</v>
      </c>
      <c r="Z182" s="42"/>
      <c r="AA182" s="26">
        <f t="shared" si="84"/>
        <v>5.9738730884586776E-2</v>
      </c>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c r="A183" s="62">
        <f t="shared" si="87"/>
        <v>131.05318682818603</v>
      </c>
      <c r="B183" s="62">
        <f t="shared" si="88"/>
        <v>49.801879993743583</v>
      </c>
      <c r="C183" s="7" t="s">
        <v>1306</v>
      </c>
      <c r="D183" s="7" t="s">
        <v>433</v>
      </c>
      <c r="E183" s="42">
        <f t="shared" si="90"/>
        <v>0.4131119642471458</v>
      </c>
      <c r="F183" s="42">
        <f t="shared" si="90"/>
        <v>0.41751661449480049</v>
      </c>
      <c r="G183" s="42">
        <f t="shared" si="90"/>
        <v>0.42208059670405551</v>
      </c>
      <c r="H183" s="42">
        <f t="shared" si="90"/>
        <v>0.42679682463181279</v>
      </c>
      <c r="I183" s="42">
        <f t="shared" si="90"/>
        <v>0.43452799263408259</v>
      </c>
      <c r="J183" s="42">
        <f t="shared" si="90"/>
        <v>0.39592452154954755</v>
      </c>
      <c r="K183" s="42">
        <f t="shared" si="90"/>
        <v>0.32052144486188416</v>
      </c>
      <c r="L183" s="42">
        <f t="shared" si="90"/>
        <v>0.25956808294403633</v>
      </c>
      <c r="M183" s="42">
        <f t="shared" si="90"/>
        <v>0.21011355752835276</v>
      </c>
      <c r="N183" s="42">
        <f t="shared" si="90"/>
        <v>0.17139923658451139</v>
      </c>
      <c r="O183" s="42">
        <f t="shared" si="90"/>
        <v>0.13870890944934219</v>
      </c>
      <c r="P183" s="42">
        <f t="shared" si="90"/>
        <v>0.11220417178926664</v>
      </c>
      <c r="Q183" s="42">
        <f t="shared" si="90"/>
        <v>9.0788971980048067E-2</v>
      </c>
      <c r="R183" s="42">
        <f t="shared" si="90"/>
        <v>7.3429089903644135E-2</v>
      </c>
      <c r="S183" s="42">
        <f t="shared" si="90"/>
        <v>5.9796552204688311E-2</v>
      </c>
      <c r="T183" s="42">
        <f t="shared" si="89"/>
        <v>4.8398676635726001E-2</v>
      </c>
      <c r="U183" s="42">
        <f t="shared" si="85"/>
        <v>3.3407156873101413E-4</v>
      </c>
      <c r="V183" s="42">
        <f t="shared" si="85"/>
        <v>1.2072661935235899E-4</v>
      </c>
      <c r="W183" s="42">
        <f t="shared" si="85"/>
        <v>4.1626731789961592E-5</v>
      </c>
      <c r="X183" s="42">
        <f t="shared" si="85"/>
        <v>1.3829642193834857E-5</v>
      </c>
      <c r="Y183" s="26">
        <f t="shared" si="83"/>
        <v>4.831755266769731</v>
      </c>
      <c r="Z183" s="42"/>
      <c r="AA183" s="26">
        <f t="shared" si="84"/>
        <v>3.9953974627050108</v>
      </c>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c r="A184" s="62">
        <f t="shared" si="87"/>
        <v>10.003962157933968</v>
      </c>
      <c r="B184" s="62">
        <f t="shared" si="88"/>
        <v>44.368055175717714</v>
      </c>
      <c r="C184" s="7" t="s">
        <v>1308</v>
      </c>
      <c r="D184" s="7" t="s">
        <v>433</v>
      </c>
      <c r="E184" s="42">
        <f t="shared" si="90"/>
        <v>3.1534955824739787E-2</v>
      </c>
      <c r="F184" s="42">
        <f t="shared" si="90"/>
        <v>3.1871185377510915E-2</v>
      </c>
      <c r="G184" s="42">
        <f t="shared" si="90"/>
        <v>3.2219577556411E-2</v>
      </c>
      <c r="H184" s="42">
        <f t="shared" si="90"/>
        <v>3.2579591432146282E-2</v>
      </c>
      <c r="I184" s="42">
        <f t="shared" si="90"/>
        <v>3.3169751152815521E-2</v>
      </c>
      <c r="J184" s="42">
        <f t="shared" si="90"/>
        <v>3.0222950138347346E-2</v>
      </c>
      <c r="K184" s="42">
        <f t="shared" si="90"/>
        <v>2.4467046416874919E-2</v>
      </c>
      <c r="L184" s="42">
        <f t="shared" si="90"/>
        <v>1.9814163562340191E-2</v>
      </c>
      <c r="M184" s="42">
        <f t="shared" si="90"/>
        <v>1.6039045896215059E-2</v>
      </c>
      <c r="N184" s="42">
        <f t="shared" si="90"/>
        <v>1.3083783143237866E-2</v>
      </c>
      <c r="O184" s="42">
        <f t="shared" si="90"/>
        <v>1.0588362745567853E-2</v>
      </c>
      <c r="P184" s="42">
        <f t="shared" si="90"/>
        <v>8.565120129537581E-3</v>
      </c>
      <c r="Q184" s="42">
        <f t="shared" si="90"/>
        <v>6.9303880510503384E-3</v>
      </c>
      <c r="R184" s="42">
        <f t="shared" si="90"/>
        <v>5.6052191821221566E-3</v>
      </c>
      <c r="S184" s="42">
        <f t="shared" si="90"/>
        <v>4.564577633773095E-3</v>
      </c>
      <c r="T184" s="42">
        <f t="shared" si="89"/>
        <v>3.6945193114048865E-3</v>
      </c>
      <c r="U184" s="42">
        <f t="shared" si="89"/>
        <v>2.5501396894744712E-5</v>
      </c>
      <c r="V184" s="42">
        <f t="shared" si="89"/>
        <v>9.2156822789794572E-6</v>
      </c>
      <c r="W184" s="42">
        <f t="shared" si="89"/>
        <v>3.1775820158512867E-6</v>
      </c>
      <c r="X184" s="42">
        <f t="shared" si="89"/>
        <v>1.0556875457463899E-6</v>
      </c>
      <c r="Y184" s="26">
        <f t="shared" si="83"/>
        <v>0.36883267026946198</v>
      </c>
      <c r="Z184" s="42"/>
      <c r="AA184" s="26">
        <f t="shared" si="84"/>
        <v>0.30498918790283014</v>
      </c>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c r="A185" s="62">
        <f t="shared" si="87"/>
        <v>10.003962157933968</v>
      </c>
      <c r="B185" s="62">
        <f t="shared" si="88"/>
        <v>93.356537564067438</v>
      </c>
      <c r="C185" s="7" t="s">
        <v>1310</v>
      </c>
      <c r="D185" s="7" t="s">
        <v>433</v>
      </c>
      <c r="E185" s="42">
        <f t="shared" si="90"/>
        <v>3.1534955824739787E-2</v>
      </c>
      <c r="F185" s="42">
        <f t="shared" si="90"/>
        <v>3.1871185377510915E-2</v>
      </c>
      <c r="G185" s="42">
        <f t="shared" si="90"/>
        <v>3.2219577556411E-2</v>
      </c>
      <c r="H185" s="42">
        <f t="shared" si="90"/>
        <v>3.2579591432146282E-2</v>
      </c>
      <c r="I185" s="42">
        <f t="shared" si="90"/>
        <v>3.3169751152815521E-2</v>
      </c>
      <c r="J185" s="42">
        <f t="shared" si="90"/>
        <v>3.0222950138347346E-2</v>
      </c>
      <c r="K185" s="42">
        <f t="shared" si="90"/>
        <v>2.4467046416874919E-2</v>
      </c>
      <c r="L185" s="42">
        <f t="shared" si="90"/>
        <v>1.9814163562340191E-2</v>
      </c>
      <c r="M185" s="42">
        <f t="shared" si="90"/>
        <v>1.6039045896215059E-2</v>
      </c>
      <c r="N185" s="42">
        <f t="shared" si="90"/>
        <v>1.3083783143237866E-2</v>
      </c>
      <c r="O185" s="42">
        <f t="shared" si="90"/>
        <v>1.0588362745567853E-2</v>
      </c>
      <c r="P185" s="42">
        <f t="shared" si="90"/>
        <v>8.565120129537581E-3</v>
      </c>
      <c r="Q185" s="42">
        <f t="shared" si="90"/>
        <v>6.9303880510503384E-3</v>
      </c>
      <c r="R185" s="42">
        <f t="shared" si="90"/>
        <v>5.6052191821221566E-3</v>
      </c>
      <c r="S185" s="42">
        <f t="shared" si="90"/>
        <v>4.564577633773095E-3</v>
      </c>
      <c r="T185" s="42">
        <f t="shared" si="89"/>
        <v>3.6945193114048865E-3</v>
      </c>
      <c r="U185" s="42">
        <f t="shared" si="89"/>
        <v>2.5501396894744712E-5</v>
      </c>
      <c r="V185" s="42">
        <f t="shared" si="89"/>
        <v>9.2156822789794572E-6</v>
      </c>
      <c r="W185" s="42">
        <f t="shared" si="89"/>
        <v>3.1775820158512867E-6</v>
      </c>
      <c r="X185" s="42">
        <f t="shared" si="89"/>
        <v>1.0556875457463899E-6</v>
      </c>
      <c r="Y185" s="26">
        <f t="shared" si="83"/>
        <v>0.36883267026946198</v>
      </c>
      <c r="Z185" s="42"/>
      <c r="AA185" s="26">
        <f t="shared" si="84"/>
        <v>0.30498918790283014</v>
      </c>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c r="A186" s="62">
        <f t="shared" si="87"/>
        <v>16.648197676361288</v>
      </c>
      <c r="B186" s="62">
        <f t="shared" si="88"/>
        <v>22.406388933458576</v>
      </c>
      <c r="C186" s="7" t="s">
        <v>1312</v>
      </c>
      <c r="D186" s="7" t="s">
        <v>433</v>
      </c>
      <c r="E186" s="42">
        <f t="shared" si="90"/>
        <v>5.247922473089528E-2</v>
      </c>
      <c r="F186" s="42">
        <f t="shared" si="90"/>
        <v>5.3038764638263777E-2</v>
      </c>
      <c r="G186" s="42">
        <f t="shared" si="90"/>
        <v>5.3618545106408268E-2</v>
      </c>
      <c r="H186" s="42">
        <f t="shared" si="90"/>
        <v>5.4217665942218371E-2</v>
      </c>
      <c r="I186" s="42">
        <f t="shared" si="90"/>
        <v>5.519978637962282E-2</v>
      </c>
      <c r="J186" s="42">
        <f t="shared" si="90"/>
        <v>5.0295836821710863E-2</v>
      </c>
      <c r="K186" s="42">
        <f t="shared" si="90"/>
        <v>4.071708977645349E-2</v>
      </c>
      <c r="L186" s="42">
        <f t="shared" si="90"/>
        <v>3.2973946379433301E-2</v>
      </c>
      <c r="M186" s="42">
        <f t="shared" si="90"/>
        <v>2.6691545050342848E-2</v>
      </c>
      <c r="N186" s="42">
        <f t="shared" si="90"/>
        <v>2.1773513802280559E-2</v>
      </c>
      <c r="O186" s="42">
        <f t="shared" si="90"/>
        <v>1.7620733992624194E-2</v>
      </c>
      <c r="P186" s="42">
        <f t="shared" si="90"/>
        <v>1.42537337494059E-2</v>
      </c>
      <c r="Q186" s="42">
        <f t="shared" si="90"/>
        <v>1.1533277358138909E-2</v>
      </c>
      <c r="R186" s="42">
        <f t="shared" si="90"/>
        <v>9.3279838018273473E-3</v>
      </c>
      <c r="S186" s="42">
        <f t="shared" si="90"/>
        <v>7.5961893454269055E-3</v>
      </c>
      <c r="T186" s="42">
        <f t="shared" si="89"/>
        <v>6.1482727387790577E-3</v>
      </c>
      <c r="U186" s="42">
        <f t="shared" si="89"/>
        <v>4.243841488248243E-5</v>
      </c>
      <c r="V186" s="42">
        <f t="shared" si="89"/>
        <v>1.5336373516898143E-5</v>
      </c>
      <c r="W186" s="42">
        <f t="shared" si="89"/>
        <v>5.2880061617174291E-6</v>
      </c>
      <c r="X186" s="42">
        <f t="shared" si="89"/>
        <v>1.7568334094626638E-6</v>
      </c>
      <c r="Y186" s="26">
        <f t="shared" si="83"/>
        <v>0.6137967244584529</v>
      </c>
      <c r="Z186" s="42"/>
      <c r="AA186" s="26">
        <f t="shared" si="84"/>
        <v>0.50755092924180245</v>
      </c>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c r="A187" s="62">
        <f t="shared" si="87"/>
        <v>4.1620494190903221</v>
      </c>
      <c r="B187" s="62">
        <f t="shared" si="88"/>
        <v>216.40006240395863</v>
      </c>
      <c r="C187" s="7" t="s">
        <v>1314</v>
      </c>
      <c r="D187" s="7" t="s">
        <v>433</v>
      </c>
      <c r="E187" s="42">
        <f t="shared" si="90"/>
        <v>1.311980618272382E-2</v>
      </c>
      <c r="F187" s="42">
        <f t="shared" si="90"/>
        <v>1.3259691159565944E-2</v>
      </c>
      <c r="G187" s="42">
        <f t="shared" si="90"/>
        <v>1.3404636276602067E-2</v>
      </c>
      <c r="H187" s="42">
        <f t="shared" si="90"/>
        <v>1.3554416485554593E-2</v>
      </c>
      <c r="I187" s="42">
        <f t="shared" si="90"/>
        <v>1.3799946594905705E-2</v>
      </c>
      <c r="J187" s="42">
        <f t="shared" si="90"/>
        <v>1.2573959205427716E-2</v>
      </c>
      <c r="K187" s="42">
        <f t="shared" si="90"/>
        <v>1.0179272444113372E-2</v>
      </c>
      <c r="L187" s="42">
        <f t="shared" si="90"/>
        <v>8.2434865948583253E-3</v>
      </c>
      <c r="M187" s="42">
        <f t="shared" si="90"/>
        <v>6.6728862625857121E-3</v>
      </c>
      <c r="N187" s="42">
        <f t="shared" si="90"/>
        <v>5.4433784505701398E-3</v>
      </c>
      <c r="O187" s="42">
        <f t="shared" si="90"/>
        <v>4.4051834981560485E-3</v>
      </c>
      <c r="P187" s="42">
        <f t="shared" si="90"/>
        <v>3.5634334373514749E-3</v>
      </c>
      <c r="Q187" s="42">
        <f t="shared" si="90"/>
        <v>2.8833193395347272E-3</v>
      </c>
      <c r="R187" s="42">
        <f t="shared" si="90"/>
        <v>2.3319959504568368E-3</v>
      </c>
      <c r="S187" s="42">
        <f t="shared" si="90"/>
        <v>1.8990473363567264E-3</v>
      </c>
      <c r="T187" s="42">
        <f t="shared" si="89"/>
        <v>1.5370681846947644E-3</v>
      </c>
      <c r="U187" s="42">
        <f t="shared" si="89"/>
        <v>1.0609603720620607E-5</v>
      </c>
      <c r="V187" s="42">
        <f t="shared" si="89"/>
        <v>3.8340933792245358E-6</v>
      </c>
      <c r="W187" s="42">
        <f t="shared" si="89"/>
        <v>1.3220015404293573E-6</v>
      </c>
      <c r="X187" s="42">
        <f t="shared" si="89"/>
        <v>4.3920835236566595E-7</v>
      </c>
      <c r="Y187" s="26">
        <f t="shared" si="83"/>
        <v>0.15344918111461323</v>
      </c>
      <c r="Z187" s="42"/>
      <c r="AA187" s="26">
        <f t="shared" si="84"/>
        <v>0.12688773231045061</v>
      </c>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c r="A188" s="62">
        <f t="shared" si="87"/>
        <v>75.807619128618981</v>
      </c>
      <c r="B188" s="62">
        <f t="shared" si="88"/>
        <v>39.241001346540749</v>
      </c>
      <c r="C188" s="7" t="s">
        <v>1290</v>
      </c>
      <c r="D188" s="7" t="s">
        <v>432</v>
      </c>
      <c r="E188" s="42">
        <f t="shared" si="90"/>
        <v>4.5062524822312232E-2</v>
      </c>
      <c r="F188" s="42">
        <f t="shared" si="90"/>
        <v>4.5518144921595324E-2</v>
      </c>
      <c r="G188" s="42">
        <f t="shared" si="90"/>
        <v>4.5976021841789824E-2</v>
      </c>
      <c r="H188" s="42">
        <f t="shared" si="90"/>
        <v>4.6489889679483656E-2</v>
      </c>
      <c r="I188" s="42">
        <f t="shared" si="90"/>
        <v>4.7410533735568292E-2</v>
      </c>
      <c r="J188" s="42">
        <f t="shared" si="90"/>
        <v>4.3184877682874018E-2</v>
      </c>
      <c r="K188" s="42">
        <f t="shared" si="90"/>
        <v>3.4965065211784004E-2</v>
      </c>
      <c r="L188" s="42">
        <f t="shared" si="90"/>
        <v>2.8330738047850877E-2</v>
      </c>
      <c r="M188" s="42">
        <f t="shared" si="90"/>
        <v>2.293803070165705E-2</v>
      </c>
      <c r="N188" s="42">
        <f t="shared" si="90"/>
        <v>1.8742386517940305E-2</v>
      </c>
      <c r="O188" s="42">
        <f t="shared" si="90"/>
        <v>1.5171801146741611E-2</v>
      </c>
      <c r="P188" s="42">
        <f t="shared" si="90"/>
        <v>1.2280806016327108E-2</v>
      </c>
      <c r="Q188" s="42">
        <f t="shared" si="90"/>
        <v>9.9333099359134504E-3</v>
      </c>
      <c r="R188" s="42">
        <f t="shared" si="90"/>
        <v>8.0395379155571243E-3</v>
      </c>
      <c r="S188" s="42">
        <f t="shared" si="90"/>
        <v>6.5578395303898781E-3</v>
      </c>
      <c r="T188" s="42">
        <f t="shared" si="89"/>
        <v>5.3095109968073822E-3</v>
      </c>
      <c r="U188" s="42">
        <f t="shared" si="89"/>
        <v>3.6671814088400724E-5</v>
      </c>
      <c r="V188" s="42">
        <f t="shared" si="89"/>
        <v>1.3260743829737249E-5</v>
      </c>
      <c r="W188" s="42">
        <f t="shared" si="89"/>
        <v>4.5738418865078647E-6</v>
      </c>
      <c r="X188" s="42">
        <f t="shared" si="89"/>
        <v>1.5227106115700664E-6</v>
      </c>
      <c r="Y188" s="26">
        <f t="shared" si="83"/>
        <v>0.53199966521908137</v>
      </c>
      <c r="Z188" s="42"/>
      <c r="AA188" s="26">
        <f t="shared" si="84"/>
        <v>0.43596704781500822</v>
      </c>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c r="A189" s="62">
        <f t="shared" si="87"/>
        <v>75.807619128618981</v>
      </c>
      <c r="B189" s="62">
        <f t="shared" si="88"/>
        <v>14.563061720172616</v>
      </c>
      <c r="C189" s="7" t="s">
        <v>1292</v>
      </c>
      <c r="D189" s="7" t="s">
        <v>432</v>
      </c>
      <c r="E189" s="42">
        <f t="shared" si="90"/>
        <v>4.5062524822312232E-2</v>
      </c>
      <c r="F189" s="42">
        <f t="shared" si="90"/>
        <v>4.5518144921595324E-2</v>
      </c>
      <c r="G189" s="42">
        <f t="shared" si="90"/>
        <v>4.5976021841789824E-2</v>
      </c>
      <c r="H189" s="42">
        <f t="shared" si="90"/>
        <v>4.6489889679483656E-2</v>
      </c>
      <c r="I189" s="42">
        <f t="shared" si="90"/>
        <v>4.7410533735568292E-2</v>
      </c>
      <c r="J189" s="42">
        <f t="shared" si="90"/>
        <v>4.3184877682874018E-2</v>
      </c>
      <c r="K189" s="42">
        <f t="shared" si="90"/>
        <v>3.4965065211784004E-2</v>
      </c>
      <c r="L189" s="42">
        <f t="shared" si="90"/>
        <v>2.8330738047850877E-2</v>
      </c>
      <c r="M189" s="42">
        <f t="shared" si="90"/>
        <v>2.293803070165705E-2</v>
      </c>
      <c r="N189" s="42">
        <f t="shared" si="90"/>
        <v>1.8742386517940305E-2</v>
      </c>
      <c r="O189" s="42">
        <f t="shared" si="90"/>
        <v>1.5171801146741611E-2</v>
      </c>
      <c r="P189" s="42">
        <f t="shared" si="90"/>
        <v>1.2280806016327108E-2</v>
      </c>
      <c r="Q189" s="42">
        <f t="shared" si="90"/>
        <v>9.9333099359134504E-3</v>
      </c>
      <c r="R189" s="42">
        <f t="shared" si="90"/>
        <v>8.0395379155571243E-3</v>
      </c>
      <c r="S189" s="42">
        <f t="shared" si="90"/>
        <v>6.5578395303898781E-3</v>
      </c>
      <c r="T189" s="42">
        <f t="shared" si="89"/>
        <v>5.3095109968073822E-3</v>
      </c>
      <c r="U189" s="42">
        <f t="shared" si="89"/>
        <v>3.6671814088400724E-5</v>
      </c>
      <c r="V189" s="42">
        <f t="shared" si="89"/>
        <v>1.3260743829737249E-5</v>
      </c>
      <c r="W189" s="42">
        <f t="shared" si="89"/>
        <v>4.5738418865078647E-6</v>
      </c>
      <c r="X189" s="42">
        <f t="shared" si="89"/>
        <v>1.5227106115700664E-6</v>
      </c>
      <c r="Y189" s="26">
        <f t="shared" si="83"/>
        <v>0.53199966521908137</v>
      </c>
      <c r="Z189" s="42"/>
      <c r="AA189" s="26">
        <f t="shared" si="84"/>
        <v>0.43596704781500822</v>
      </c>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c r="A190" s="62">
        <f t="shared" si="87"/>
        <v>66.641912508276818</v>
      </c>
      <c r="B190" s="62">
        <f t="shared" si="88"/>
        <v>79.774754914869376</v>
      </c>
      <c r="C190" s="7" t="s">
        <v>1294</v>
      </c>
      <c r="D190" s="7" t="s">
        <v>432</v>
      </c>
      <c r="E190" s="42">
        <f t="shared" si="90"/>
        <v>7.9228258877658608E-2</v>
      </c>
      <c r="F190" s="42">
        <f t="shared" si="90"/>
        <v>8.002932333905316E-2</v>
      </c>
      <c r="G190" s="42">
        <f t="shared" si="90"/>
        <v>8.0834355709305819E-2</v>
      </c>
      <c r="H190" s="42">
        <f t="shared" si="90"/>
        <v>8.1737830475405712E-2</v>
      </c>
      <c r="I190" s="42">
        <f t="shared" si="90"/>
        <v>8.3356493120192443E-2</v>
      </c>
      <c r="J190" s="42">
        <f t="shared" si="90"/>
        <v>7.592700768876276E-2</v>
      </c>
      <c r="K190" s="42">
        <f t="shared" si="90"/>
        <v>6.1475056029301582E-2</v>
      </c>
      <c r="L190" s="42">
        <f t="shared" si="90"/>
        <v>4.981068098383324E-2</v>
      </c>
      <c r="M190" s="42">
        <f t="shared" si="90"/>
        <v>4.0329303378818425E-2</v>
      </c>
      <c r="N190" s="42">
        <f t="shared" si="90"/>
        <v>3.2952584367693195E-2</v>
      </c>
      <c r="O190" s="42">
        <f t="shared" si="90"/>
        <v>2.6674834435802115E-2</v>
      </c>
      <c r="P190" s="42">
        <f t="shared" si="90"/>
        <v>2.1591929926796007E-2</v>
      </c>
      <c r="Q190" s="42">
        <f t="shared" si="90"/>
        <v>1.7464597339314977E-2</v>
      </c>
      <c r="R190" s="42">
        <f t="shared" si="90"/>
        <v>1.4134995625347832E-2</v>
      </c>
      <c r="S190" s="42">
        <f t="shared" si="90"/>
        <v>1.1529895629252771E-2</v>
      </c>
      <c r="T190" s="42">
        <f t="shared" si="89"/>
        <v>9.3351030246876746E-3</v>
      </c>
      <c r="U190" s="42">
        <f t="shared" si="89"/>
        <v>6.4475836442049082E-5</v>
      </c>
      <c r="V190" s="42">
        <f t="shared" si="89"/>
        <v>2.3314841971138962E-5</v>
      </c>
      <c r="W190" s="42">
        <f t="shared" si="89"/>
        <v>8.0416605700330431E-6</v>
      </c>
      <c r="X190" s="42">
        <f t="shared" si="89"/>
        <v>2.6772070807159167E-6</v>
      </c>
      <c r="Y190" s="26">
        <f t="shared" si="83"/>
        <v>0.93535387475526566</v>
      </c>
      <c r="Z190" s="42"/>
      <c r="AA190" s="26">
        <f t="shared" si="84"/>
        <v>0.76651075949729019</v>
      </c>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c r="A191" s="62">
        <f t="shared" si="87"/>
        <v>398.75442145308739</v>
      </c>
      <c r="B191" s="62">
        <f t="shared" si="88"/>
        <v>4.0909288497475105</v>
      </c>
      <c r="C191" s="7" t="s">
        <v>1296</v>
      </c>
      <c r="D191" s="7" t="s">
        <v>432</v>
      </c>
      <c r="E191" s="42">
        <f t="shared" si="90"/>
        <v>0.47406530428688454</v>
      </c>
      <c r="F191" s="42">
        <f t="shared" si="90"/>
        <v>0.47885850399900787</v>
      </c>
      <c r="G191" s="42">
        <f t="shared" si="90"/>
        <v>0.48367544584489558</v>
      </c>
      <c r="H191" s="42">
        <f t="shared" si="90"/>
        <v>0.48908142151537004</v>
      </c>
      <c r="I191" s="42">
        <f t="shared" si="90"/>
        <v>0.4987667510948518</v>
      </c>
      <c r="J191" s="42">
        <f t="shared" si="90"/>
        <v>0.45431214207480097</v>
      </c>
      <c r="K191" s="42">
        <f t="shared" si="90"/>
        <v>0.36783833893896356</v>
      </c>
      <c r="L191" s="42">
        <f t="shared" si="90"/>
        <v>0.29804410663373243</v>
      </c>
      <c r="M191" s="42">
        <f t="shared" si="90"/>
        <v>0.24131192264972115</v>
      </c>
      <c r="N191" s="42">
        <f t="shared" si="90"/>
        <v>0.19717304351509399</v>
      </c>
      <c r="O191" s="42">
        <f t="shared" si="90"/>
        <v>0.15960988771869508</v>
      </c>
      <c r="P191" s="42">
        <f t="shared" si="90"/>
        <v>0.12919613501406957</v>
      </c>
      <c r="Q191" s="42">
        <f t="shared" si="90"/>
        <v>0.10450008329344905</v>
      </c>
      <c r="R191" s="42">
        <f t="shared" si="90"/>
        <v>8.4577284634912986E-2</v>
      </c>
      <c r="S191" s="42">
        <f t="shared" si="90"/>
        <v>6.8989569596853276E-2</v>
      </c>
      <c r="T191" s="42">
        <f t="shared" si="89"/>
        <v>5.5856944461970273E-2</v>
      </c>
      <c r="U191" s="42">
        <f t="shared" si="89"/>
        <v>3.8579362281897331E-4</v>
      </c>
      <c r="V191" s="42">
        <f t="shared" si="89"/>
        <v>1.3950524484598211E-4</v>
      </c>
      <c r="W191" s="42">
        <f t="shared" si="89"/>
        <v>4.8117582275679293E-5</v>
      </c>
      <c r="X191" s="42">
        <f t="shared" si="89"/>
        <v>1.6019170524981505E-5</v>
      </c>
      <c r="Y191" s="26">
        <f t="shared" si="83"/>
        <v>5.5967255311830453</v>
      </c>
      <c r="Z191" s="42"/>
      <c r="AA191" s="26">
        <f t="shared" si="84"/>
        <v>4.5864463208937387</v>
      </c>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c r="A192" s="62">
        <f t="shared" si="87"/>
        <v>413.28068651502326</v>
      </c>
      <c r="B192" s="62">
        <f t="shared" si="88"/>
        <v>14.130402124270704</v>
      </c>
      <c r="C192" s="7" t="s">
        <v>1298</v>
      </c>
      <c r="D192" s="7" t="s">
        <v>432</v>
      </c>
      <c r="E192" s="42">
        <f t="shared" si="90"/>
        <v>0.49133507710004631</v>
      </c>
      <c r="F192" s="42">
        <f t="shared" si="90"/>
        <v>0.4963028887682186</v>
      </c>
      <c r="G192" s="42">
        <f t="shared" si="90"/>
        <v>0.50129530747474227</v>
      </c>
      <c r="H192" s="42">
        <f t="shared" si="90"/>
        <v>0.50689821797849466</v>
      </c>
      <c r="I192" s="42">
        <f t="shared" si="90"/>
        <v>0.51693637540668347</v>
      </c>
      <c r="J192" s="42">
        <f t="shared" si="90"/>
        <v>0.47086232494822361</v>
      </c>
      <c r="K192" s="42">
        <f t="shared" si="90"/>
        <v>0.38123835891090069</v>
      </c>
      <c r="L192" s="42">
        <f t="shared" si="90"/>
        <v>0.30890158547329644</v>
      </c>
      <c r="M192" s="42">
        <f t="shared" si="90"/>
        <v>0.2501026990334449</v>
      </c>
      <c r="N192" s="42">
        <f t="shared" si="90"/>
        <v>0.20435588021626855</v>
      </c>
      <c r="O192" s="42">
        <f t="shared" si="90"/>
        <v>0.1654243324264395</v>
      </c>
      <c r="P192" s="42">
        <f t="shared" si="90"/>
        <v>0.13390263405514122</v>
      </c>
      <c r="Q192" s="42">
        <f t="shared" si="90"/>
        <v>0.10830692737403214</v>
      </c>
      <c r="R192" s="42">
        <f t="shared" si="90"/>
        <v>8.7658359072529182E-2</v>
      </c>
      <c r="S192" s="42">
        <f t="shared" si="90"/>
        <v>7.1502797590215258E-2</v>
      </c>
      <c r="T192" s="42">
        <f t="shared" si="89"/>
        <v>5.7891762728931782E-2</v>
      </c>
      <c r="U192" s="42">
        <f t="shared" si="89"/>
        <v>3.9984773763944626E-4</v>
      </c>
      <c r="V192" s="42">
        <f t="shared" si="89"/>
        <v>1.4458729548952941E-4</v>
      </c>
      <c r="W192" s="42">
        <f t="shared" si="89"/>
        <v>4.9870462536489777E-5</v>
      </c>
      <c r="X192" s="42">
        <f t="shared" si="89"/>
        <v>1.6602734504711842E-5</v>
      </c>
      <c r="Y192" s="26">
        <f t="shared" si="83"/>
        <v>5.8006092103874227</v>
      </c>
      <c r="Z192" s="42"/>
      <c r="AA192" s="26">
        <f t="shared" si="84"/>
        <v>4.7535264367877783</v>
      </c>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c r="A193" s="62">
        <f t="shared" si="87"/>
        <v>198.409703845281</v>
      </c>
      <c r="B193" s="62">
        <f t="shared" si="88"/>
        <v>26.119453513193985</v>
      </c>
      <c r="C193" s="7" t="s">
        <v>1300</v>
      </c>
      <c r="D193" s="7" t="s">
        <v>432</v>
      </c>
      <c r="E193" s="42">
        <f t="shared" si="90"/>
        <v>0.23588241676199107</v>
      </c>
      <c r="F193" s="42">
        <f t="shared" si="90"/>
        <v>0.23826738676906487</v>
      </c>
      <c r="G193" s="42">
        <f t="shared" si="90"/>
        <v>0.24066417023694414</v>
      </c>
      <c r="H193" s="42">
        <f t="shared" si="90"/>
        <v>0.24335404143101141</v>
      </c>
      <c r="I193" s="42">
        <f t="shared" si="90"/>
        <v>0.24817320648630092</v>
      </c>
      <c r="J193" s="42">
        <f t="shared" si="90"/>
        <v>0.22605376320067025</v>
      </c>
      <c r="K193" s="42">
        <f t="shared" si="90"/>
        <v>0.18302667497921679</v>
      </c>
      <c r="L193" s="42">
        <f t="shared" si="90"/>
        <v>0.14829890215270577</v>
      </c>
      <c r="M193" s="42">
        <f t="shared" si="90"/>
        <v>0.12007046074321548</v>
      </c>
      <c r="N193" s="42">
        <f t="shared" si="90"/>
        <v>9.8108116337726953E-2</v>
      </c>
      <c r="O193" s="42">
        <f t="shared" si="90"/>
        <v>7.941767877493125E-2</v>
      </c>
      <c r="P193" s="42">
        <f t="shared" si="90"/>
        <v>6.4284595999425778E-2</v>
      </c>
      <c r="Q193" s="42">
        <f t="shared" si="90"/>
        <v>5.1996490728566672E-2</v>
      </c>
      <c r="R193" s="42">
        <f t="shared" si="90"/>
        <v>4.2083430536770522E-2</v>
      </c>
      <c r="S193" s="42">
        <f t="shared" si="90"/>
        <v>3.4327393843670388E-2</v>
      </c>
      <c r="T193" s="42">
        <f t="shared" si="89"/>
        <v>2.7792945261939043E-2</v>
      </c>
      <c r="U193" s="42">
        <f t="shared" si="89"/>
        <v>1.9196075160740489E-4</v>
      </c>
      <c r="V193" s="42">
        <f t="shared" si="89"/>
        <v>6.9414137688780783E-5</v>
      </c>
      <c r="W193" s="42">
        <f t="shared" si="89"/>
        <v>2.394204235849872E-5</v>
      </c>
      <c r="X193" s="42">
        <f t="shared" si="89"/>
        <v>7.9707175863442137E-6</v>
      </c>
      <c r="Y193" s="26">
        <f t="shared" si="83"/>
        <v>2.7847833037156482</v>
      </c>
      <c r="Z193" s="42"/>
      <c r="AA193" s="26">
        <f t="shared" si="84"/>
        <v>2.2820949618933923</v>
      </c>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c r="A194" s="62">
        <f t="shared" si="87"/>
        <v>343.39414966181369</v>
      </c>
      <c r="B194" s="62">
        <f t="shared" si="88"/>
        <v>70.433406428063208</v>
      </c>
      <c r="C194" s="7" t="s">
        <v>1302</v>
      </c>
      <c r="D194" s="7" t="s">
        <v>432</v>
      </c>
      <c r="E194" s="42">
        <f t="shared" si="90"/>
        <v>6.5821953878491657E-2</v>
      </c>
      <c r="F194" s="42">
        <f t="shared" si="90"/>
        <v>6.6487469299107316E-2</v>
      </c>
      <c r="G194" s="42">
        <f t="shared" si="90"/>
        <v>6.7156281214149988E-2</v>
      </c>
      <c r="H194" s="42">
        <f t="shared" si="90"/>
        <v>6.7906877973778867E-2</v>
      </c>
      <c r="I194" s="42">
        <f t="shared" si="90"/>
        <v>6.9251644846852645E-2</v>
      </c>
      <c r="J194" s="42">
        <f t="shared" si="90"/>
        <v>6.3079311208123809E-2</v>
      </c>
      <c r="K194" s="42">
        <f t="shared" si="90"/>
        <v>5.107279094554755E-2</v>
      </c>
      <c r="L194" s="42">
        <f t="shared" si="90"/>
        <v>4.1382158245290797E-2</v>
      </c>
      <c r="M194" s="42">
        <f t="shared" si="90"/>
        <v>3.3505135472576129E-2</v>
      </c>
      <c r="N194" s="42">
        <f t="shared" si="90"/>
        <v>2.7376639587356116E-2</v>
      </c>
      <c r="O194" s="42">
        <f t="shared" si="90"/>
        <v>2.2161154956856936E-2</v>
      </c>
      <c r="P194" s="42">
        <f t="shared" si="90"/>
        <v>1.793833457811804E-2</v>
      </c>
      <c r="Q194" s="42">
        <f t="shared" si="90"/>
        <v>1.4509392694719165E-2</v>
      </c>
      <c r="R194" s="42">
        <f t="shared" si="90"/>
        <v>1.1743196724302699E-2</v>
      </c>
      <c r="S194" s="42">
        <f t="shared" si="90"/>
        <v>9.57890870105319E-3</v>
      </c>
      <c r="T194" s="42">
        <f t="shared" si="89"/>
        <v>7.7554994827133458E-3</v>
      </c>
      <c r="U194" s="42">
        <f t="shared" si="89"/>
        <v>5.3565805846106525E-5</v>
      </c>
      <c r="V194" s="42">
        <f t="shared" si="89"/>
        <v>1.936971068969657E-5</v>
      </c>
      <c r="W194" s="42">
        <f t="shared" si="89"/>
        <v>6.6809219165670845E-6</v>
      </c>
      <c r="X194" s="42">
        <f t="shared" si="89"/>
        <v>2.2241937849746945E-6</v>
      </c>
      <c r="Y194" s="26">
        <f t="shared" si="83"/>
        <v>0.77708156756642621</v>
      </c>
      <c r="Z194" s="42"/>
      <c r="AA194" s="26">
        <f t="shared" si="84"/>
        <v>0.63680859044127558</v>
      </c>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c r="A195" s="62">
        <f t="shared" si="87"/>
        <v>98.880861483826095</v>
      </c>
      <c r="B195" s="62">
        <f t="shared" si="88"/>
        <v>14.043642949696046</v>
      </c>
      <c r="C195" s="7" t="s">
        <v>1304</v>
      </c>
      <c r="D195" s="7" t="s">
        <v>432</v>
      </c>
      <c r="E195" s="42">
        <f t="shared" si="90"/>
        <v>1.8953530543440379E-2</v>
      </c>
      <c r="F195" s="42">
        <f t="shared" si="90"/>
        <v>1.9145166709012965E-2</v>
      </c>
      <c r="G195" s="42">
        <f t="shared" si="90"/>
        <v>1.9337752105110115E-2</v>
      </c>
      <c r="H195" s="42">
        <f t="shared" si="90"/>
        <v>1.9553887570120707E-2</v>
      </c>
      <c r="I195" s="42">
        <f t="shared" si="90"/>
        <v>1.9941115212278857E-2</v>
      </c>
      <c r="J195" s="42">
        <f t="shared" si="90"/>
        <v>1.8163782464577199E-2</v>
      </c>
      <c r="K195" s="42">
        <f t="shared" si="90"/>
        <v>1.4706486910311746E-2</v>
      </c>
      <c r="L195" s="42">
        <f t="shared" si="90"/>
        <v>1.1916054660174666E-2</v>
      </c>
      <c r="M195" s="42">
        <f t="shared" si="90"/>
        <v>9.6478541143563482E-3</v>
      </c>
      <c r="N195" s="42">
        <f t="shared" si="90"/>
        <v>7.883144513661523E-3</v>
      </c>
      <c r="O195" s="42">
        <f t="shared" si="90"/>
        <v>6.3813378759325331E-3</v>
      </c>
      <c r="P195" s="42">
        <f t="shared" si="90"/>
        <v>5.1653704013777616E-3</v>
      </c>
      <c r="Q195" s="42">
        <f t="shared" si="90"/>
        <v>4.1780014326799307E-3</v>
      </c>
      <c r="R195" s="42">
        <f t="shared" si="90"/>
        <v>3.3814711456693794E-3</v>
      </c>
      <c r="S195" s="42">
        <f t="shared" si="90"/>
        <v>2.7582611566558811E-3</v>
      </c>
      <c r="T195" s="42">
        <f t="shared" si="89"/>
        <v>2.2332077318245038E-3</v>
      </c>
      <c r="U195" s="42">
        <f t="shared" si="89"/>
        <v>1.54243542976917E-5</v>
      </c>
      <c r="V195" s="42">
        <f t="shared" si="89"/>
        <v>5.577537303928791E-6</v>
      </c>
      <c r="W195" s="42">
        <f t="shared" si="89"/>
        <v>1.9237815066649341E-6</v>
      </c>
      <c r="X195" s="42">
        <f t="shared" si="89"/>
        <v>6.4045994313492061E-7</v>
      </c>
      <c r="Y195" s="26">
        <f t="shared" si="83"/>
        <v>0.22376180526035</v>
      </c>
      <c r="Z195" s="42"/>
      <c r="AA195" s="26">
        <f t="shared" si="84"/>
        <v>0.18336999068023593</v>
      </c>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c r="A196" s="62">
        <f t="shared" si="87"/>
        <v>131.05318682818603</v>
      </c>
      <c r="B196" s="62">
        <f t="shared" si="88"/>
        <v>49.801879993743583</v>
      </c>
      <c r="C196" s="7" t="s">
        <v>1306</v>
      </c>
      <c r="D196" s="7" t="s">
        <v>432</v>
      </c>
      <c r="E196" s="42">
        <f t="shared" si="90"/>
        <v>0.22662796769243837</v>
      </c>
      <c r="F196" s="42">
        <f t="shared" si="90"/>
        <v>0.22891936742087138</v>
      </c>
      <c r="G196" s="42">
        <f t="shared" si="90"/>
        <v>0.23122211712888535</v>
      </c>
      <c r="H196" s="42">
        <f t="shared" si="90"/>
        <v>0.23380645576011533</v>
      </c>
      <c r="I196" s="42">
        <f t="shared" si="90"/>
        <v>0.23843654899659716</v>
      </c>
      <c r="J196" s="42">
        <f t="shared" si="90"/>
        <v>0.21718492478855497</v>
      </c>
      <c r="K196" s="42">
        <f t="shared" si="90"/>
        <v>0.17584593185636749</v>
      </c>
      <c r="L196" s="42">
        <f t="shared" si="90"/>
        <v>0.1424806446671231</v>
      </c>
      <c r="M196" s="42">
        <f t="shared" si="90"/>
        <v>0.11535969858061221</v>
      </c>
      <c r="N196" s="42">
        <f t="shared" si="90"/>
        <v>9.4259009742921465E-2</v>
      </c>
      <c r="O196" s="42">
        <f t="shared" si="90"/>
        <v>7.6301859997365093E-2</v>
      </c>
      <c r="P196" s="42">
        <f t="shared" si="90"/>
        <v>6.1762498219523274E-2</v>
      </c>
      <c r="Q196" s="42">
        <f t="shared" si="90"/>
        <v>4.9956496048808398E-2</v>
      </c>
      <c r="R196" s="42">
        <f t="shared" si="90"/>
        <v>4.0432358066338908E-2</v>
      </c>
      <c r="S196" s="42">
        <f t="shared" si="90"/>
        <v>3.2980616401003818E-2</v>
      </c>
      <c r="T196" s="42">
        <f t="shared" si="89"/>
        <v>2.6702535896331231E-2</v>
      </c>
      <c r="U196" s="42">
        <f t="shared" si="89"/>
        <v>1.8442949504538525E-4</v>
      </c>
      <c r="V196" s="42">
        <f t="shared" si="89"/>
        <v>6.669079098593635E-5</v>
      </c>
      <c r="W196" s="42">
        <f t="shared" si="89"/>
        <v>2.3002716678062918E-5</v>
      </c>
      <c r="X196" s="42">
        <f t="shared" si="89"/>
        <v>7.6579999155521554E-6</v>
      </c>
      <c r="Y196" s="26">
        <f t="shared" si="83"/>
        <v>2.6755270242194906</v>
      </c>
      <c r="Z196" s="42"/>
      <c r="AA196" s="26">
        <f t="shared" si="84"/>
        <v>2.1925608122664824</v>
      </c>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c r="A197" s="62">
        <f t="shared" si="87"/>
        <v>10.003962157933968</v>
      </c>
      <c r="B197" s="62">
        <f t="shared" si="88"/>
        <v>44.368055175717714</v>
      </c>
      <c r="C197" s="7" t="s">
        <v>1308</v>
      </c>
      <c r="D197" s="7" t="s">
        <v>432</v>
      </c>
      <c r="E197" s="42">
        <f t="shared" si="90"/>
        <v>1.7299675556130972E-2</v>
      </c>
      <c r="F197" s="42">
        <f t="shared" si="90"/>
        <v>1.7474589854109827E-2</v>
      </c>
      <c r="G197" s="42">
        <f t="shared" si="90"/>
        <v>1.7650370554264539E-2</v>
      </c>
      <c r="H197" s="42">
        <f t="shared" si="90"/>
        <v>1.7847646381704028E-2</v>
      </c>
      <c r="I197" s="42">
        <f t="shared" si="90"/>
        <v>1.8201085154514608E-2</v>
      </c>
      <c r="J197" s="42">
        <f t="shared" si="90"/>
        <v>1.6578839640938418E-2</v>
      </c>
      <c r="K197" s="42">
        <f t="shared" si="90"/>
        <v>1.3423222208430787E-2</v>
      </c>
      <c r="L197" s="42">
        <f t="shared" si="90"/>
        <v>1.0876278646749981E-2</v>
      </c>
      <c r="M197" s="42">
        <f t="shared" si="90"/>
        <v>8.8059976798893613E-3</v>
      </c>
      <c r="N197" s="42">
        <f t="shared" si="90"/>
        <v>7.1952738375508866E-3</v>
      </c>
      <c r="O197" s="42">
        <f t="shared" si="90"/>
        <v>5.8245124629769498E-3</v>
      </c>
      <c r="P197" s="42">
        <f t="shared" si="90"/>
        <v>4.7146483799559748E-3</v>
      </c>
      <c r="Q197" s="42">
        <f t="shared" si="90"/>
        <v>3.8134356600611203E-3</v>
      </c>
      <c r="R197" s="42">
        <f t="shared" si="90"/>
        <v>3.0864093414376785E-3</v>
      </c>
      <c r="S197" s="42">
        <f t="shared" si="90"/>
        <v>2.5175796667465545E-3</v>
      </c>
      <c r="T197" s="42">
        <f t="shared" si="90"/>
        <v>2.0383415702663272E-3</v>
      </c>
      <c r="U197" s="42">
        <f t="shared" ref="U197:X200" si="91">VLOOKUP(CONCATENATE($C197&amp;$D197),$B$89:$Y$140,U$30+1,FALSE)*$C$147*$A197/8760/1000</f>
        <v>1.4078449627171436E-5</v>
      </c>
      <c r="V197" s="42">
        <f t="shared" si="91"/>
        <v>5.0908502528875569E-6</v>
      </c>
      <c r="W197" s="42">
        <f t="shared" si="91"/>
        <v>1.7559153863134116E-6</v>
      </c>
      <c r="X197" s="42">
        <f t="shared" si="91"/>
        <v>5.8457442519946764E-7</v>
      </c>
      <c r="Y197" s="26">
        <f t="shared" si="83"/>
        <v>0.20423670534553412</v>
      </c>
      <c r="Z197" s="42"/>
      <c r="AA197" s="26">
        <f t="shared" si="84"/>
        <v>0.16736941638541955</v>
      </c>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c r="A198" s="62">
        <f t="shared" si="87"/>
        <v>10.003962157933968</v>
      </c>
      <c r="B198" s="62">
        <f t="shared" si="88"/>
        <v>93.356537564067438</v>
      </c>
      <c r="C198" s="7" t="s">
        <v>1310</v>
      </c>
      <c r="D198" s="7" t="s">
        <v>432</v>
      </c>
      <c r="E198" s="42">
        <f t="shared" ref="E198:T200" si="92">VLOOKUP(CONCATENATE($C198&amp;$D198),$B$89:$Y$140,E$30+1,FALSE)*$C$147*$A198/8760/1000</f>
        <v>1.7299675556130972E-2</v>
      </c>
      <c r="F198" s="42">
        <f t="shared" si="92"/>
        <v>1.7474589854109827E-2</v>
      </c>
      <c r="G198" s="42">
        <f t="shared" si="92"/>
        <v>1.7650370554264539E-2</v>
      </c>
      <c r="H198" s="42">
        <f t="shared" si="92"/>
        <v>1.7847646381704028E-2</v>
      </c>
      <c r="I198" s="42">
        <f t="shared" si="92"/>
        <v>1.8201085154514608E-2</v>
      </c>
      <c r="J198" s="42">
        <f t="shared" si="92"/>
        <v>1.6578839640938418E-2</v>
      </c>
      <c r="K198" s="42">
        <f t="shared" si="92"/>
        <v>1.3423222208430787E-2</v>
      </c>
      <c r="L198" s="42">
        <f t="shared" si="92"/>
        <v>1.0876278646749981E-2</v>
      </c>
      <c r="M198" s="42">
        <f t="shared" si="92"/>
        <v>8.8059976798893613E-3</v>
      </c>
      <c r="N198" s="42">
        <f t="shared" si="92"/>
        <v>7.1952738375508866E-3</v>
      </c>
      <c r="O198" s="42">
        <f t="shared" si="92"/>
        <v>5.8245124629769498E-3</v>
      </c>
      <c r="P198" s="42">
        <f t="shared" si="92"/>
        <v>4.7146483799559748E-3</v>
      </c>
      <c r="Q198" s="42">
        <f t="shared" si="92"/>
        <v>3.8134356600611203E-3</v>
      </c>
      <c r="R198" s="42">
        <f t="shared" si="92"/>
        <v>3.0864093414376785E-3</v>
      </c>
      <c r="S198" s="42">
        <f t="shared" si="92"/>
        <v>2.5175796667465545E-3</v>
      </c>
      <c r="T198" s="42">
        <f t="shared" si="92"/>
        <v>2.0383415702663272E-3</v>
      </c>
      <c r="U198" s="42">
        <f t="shared" si="91"/>
        <v>1.4078449627171436E-5</v>
      </c>
      <c r="V198" s="42">
        <f t="shared" si="91"/>
        <v>5.0908502528875569E-6</v>
      </c>
      <c r="W198" s="42">
        <f t="shared" si="91"/>
        <v>1.7559153863134116E-6</v>
      </c>
      <c r="X198" s="42">
        <f t="shared" si="91"/>
        <v>5.8457442519946764E-7</v>
      </c>
      <c r="Y198" s="26">
        <f t="shared" si="83"/>
        <v>0.20423670534553412</v>
      </c>
      <c r="Z198" s="42"/>
      <c r="AA198" s="26">
        <f t="shared" si="84"/>
        <v>0.16736941638541955</v>
      </c>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c r="A199" s="62">
        <f t="shared" si="87"/>
        <v>16.648197676361288</v>
      </c>
      <c r="B199" s="62">
        <f t="shared" si="88"/>
        <v>22.406388933458576</v>
      </c>
      <c r="C199" s="7" t="s">
        <v>1312</v>
      </c>
      <c r="D199" s="7" t="s">
        <v>432</v>
      </c>
      <c r="E199" s="42">
        <f t="shared" si="92"/>
        <v>2.8789435010704172E-2</v>
      </c>
      <c r="F199" s="42">
        <f t="shared" si="92"/>
        <v>2.9080520458969732E-2</v>
      </c>
      <c r="G199" s="42">
        <f t="shared" si="92"/>
        <v>2.9373047739427706E-2</v>
      </c>
      <c r="H199" s="42">
        <f t="shared" si="92"/>
        <v>2.9701346359527498E-2</v>
      </c>
      <c r="I199" s="42">
        <f t="shared" si="92"/>
        <v>3.0289525169417797E-2</v>
      </c>
      <c r="J199" s="42">
        <f t="shared" si="92"/>
        <v>2.7589848425020321E-2</v>
      </c>
      <c r="K199" s="42">
        <f t="shared" si="92"/>
        <v>2.2338394853127923E-2</v>
      </c>
      <c r="L199" s="42">
        <f t="shared" si="92"/>
        <v>1.8099872234190448E-2</v>
      </c>
      <c r="M199" s="42">
        <f t="shared" si="92"/>
        <v>1.465459263019182E-2</v>
      </c>
      <c r="N199" s="42">
        <f t="shared" si="92"/>
        <v>1.1974089794821525E-2</v>
      </c>
      <c r="O199" s="42">
        <f t="shared" si="92"/>
        <v>9.692922996031814E-3</v>
      </c>
      <c r="P199" s="42">
        <f t="shared" si="92"/>
        <v>7.8459311385733511E-3</v>
      </c>
      <c r="Q199" s="42">
        <f t="shared" si="92"/>
        <v>6.3461686172445715E-3</v>
      </c>
      <c r="R199" s="42">
        <f t="shared" si="92"/>
        <v>5.136280207304807E-3</v>
      </c>
      <c r="S199" s="42">
        <f t="shared" si="92"/>
        <v>4.1896563877687016E-3</v>
      </c>
      <c r="T199" s="42">
        <f t="shared" si="92"/>
        <v>3.3921273249544887E-3</v>
      </c>
      <c r="U199" s="42">
        <f t="shared" si="91"/>
        <v>2.3428798377047202E-5</v>
      </c>
      <c r="V199" s="42">
        <f t="shared" si="91"/>
        <v>8.4719913982890643E-6</v>
      </c>
      <c r="W199" s="42">
        <f t="shared" si="91"/>
        <v>2.9221248534137974E-6</v>
      </c>
      <c r="X199" s="42">
        <f t="shared" si="91"/>
        <v>9.7282560985575555E-7</v>
      </c>
      <c r="Y199" s="26">
        <f t="shared" si="83"/>
        <v>0.33988263746725472</v>
      </c>
      <c r="Z199" s="42"/>
      <c r="AA199" s="26">
        <f t="shared" si="84"/>
        <v>0.27852955508751526</v>
      </c>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c r="A200" s="62">
        <f t="shared" si="87"/>
        <v>4.1620494190903221</v>
      </c>
      <c r="B200" s="62">
        <f t="shared" si="88"/>
        <v>216.40006240395863</v>
      </c>
      <c r="C200" s="7" t="s">
        <v>1314</v>
      </c>
      <c r="D200" s="7" t="s">
        <v>432</v>
      </c>
      <c r="E200" s="42">
        <f t="shared" si="92"/>
        <v>7.1973587526760431E-3</v>
      </c>
      <c r="F200" s="42">
        <f t="shared" si="92"/>
        <v>7.2701301147424331E-3</v>
      </c>
      <c r="G200" s="42">
        <f t="shared" si="92"/>
        <v>7.3432619348569265E-3</v>
      </c>
      <c r="H200" s="42">
        <f t="shared" si="92"/>
        <v>7.4253365898818745E-3</v>
      </c>
      <c r="I200" s="42">
        <f t="shared" si="92"/>
        <v>7.5723812923544492E-3</v>
      </c>
      <c r="J200" s="42">
        <f t="shared" si="92"/>
        <v>6.8974621062550803E-3</v>
      </c>
      <c r="K200" s="42">
        <f t="shared" si="92"/>
        <v>5.5845987132819809E-3</v>
      </c>
      <c r="L200" s="42">
        <f t="shared" si="92"/>
        <v>4.5249680585476119E-3</v>
      </c>
      <c r="M200" s="42">
        <f t="shared" si="92"/>
        <v>3.663648157547955E-3</v>
      </c>
      <c r="N200" s="42">
        <f t="shared" si="92"/>
        <v>2.9935224487053812E-3</v>
      </c>
      <c r="O200" s="42">
        <f t="shared" si="92"/>
        <v>2.4232307490079535E-3</v>
      </c>
      <c r="P200" s="42">
        <f t="shared" si="92"/>
        <v>1.9614827846433378E-3</v>
      </c>
      <c r="Q200" s="42">
        <f t="shared" si="92"/>
        <v>1.5865421543111429E-3</v>
      </c>
      <c r="R200" s="42">
        <f t="shared" si="92"/>
        <v>1.2840700518262018E-3</v>
      </c>
      <c r="S200" s="42">
        <f t="shared" si="92"/>
        <v>1.0474140969421754E-3</v>
      </c>
      <c r="T200" s="42">
        <f t="shared" si="92"/>
        <v>8.4803183123862216E-4</v>
      </c>
      <c r="U200" s="42">
        <f t="shared" si="91"/>
        <v>5.8571995942618005E-6</v>
      </c>
      <c r="V200" s="42">
        <f t="shared" si="91"/>
        <v>2.1179978495722661E-6</v>
      </c>
      <c r="W200" s="42">
        <f t="shared" si="91"/>
        <v>7.3053121335344935E-7</v>
      </c>
      <c r="X200" s="42">
        <f t="shared" si="91"/>
        <v>2.4320640246393889E-7</v>
      </c>
      <c r="Y200" s="26">
        <f t="shared" si="83"/>
        <v>8.4970659366813681E-2</v>
      </c>
      <c r="Z200" s="42"/>
      <c r="AA200" s="26">
        <f t="shared" si="84"/>
        <v>6.9632388771878814E-2</v>
      </c>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c r="AA201" s="32"/>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c r="B202" s="60">
        <f>SUMPRODUCT(B149:B160,AA149:AA160)/SUM(AA149:AA160)</f>
        <v>40.312458936849538</v>
      </c>
      <c r="E202" s="26">
        <f>SUM(E149:E200)</f>
        <v>5.633071043986198</v>
      </c>
      <c r="F202" s="26">
        <f t="shared" ref="F202:Y202" si="93">SUM(F149:F200)</f>
        <v>5.6640658436123283</v>
      </c>
      <c r="G202" s="26">
        <f t="shared" si="93"/>
        <v>5.6957319485417894</v>
      </c>
      <c r="H202" s="26">
        <f t="shared" si="93"/>
        <v>5.7311899225820646</v>
      </c>
      <c r="I202" s="26">
        <f t="shared" si="93"/>
        <v>5.7918464112200532</v>
      </c>
      <c r="J202" s="26">
        <f t="shared" si="93"/>
        <v>5.249518304867089</v>
      </c>
      <c r="K202" s="26">
        <f t="shared" si="93"/>
        <v>4.2293035516838238</v>
      </c>
      <c r="L202" s="26">
        <f t="shared" si="93"/>
        <v>3.4087929285994458</v>
      </c>
      <c r="M202" s="26">
        <f t="shared" si="93"/>
        <v>2.7468001033233276</v>
      </c>
      <c r="N202" s="26">
        <f t="shared" si="93"/>
        <v>2.2239761528437985</v>
      </c>
      <c r="O202" s="26">
        <f t="shared" si="93"/>
        <v>1.792188297342558</v>
      </c>
      <c r="P202" s="26">
        <f t="shared" si="93"/>
        <v>1.4441709226163946</v>
      </c>
      <c r="Q202" s="26">
        <f t="shared" si="93"/>
        <v>1.1635926078751535</v>
      </c>
      <c r="R202" s="26">
        <f t="shared" si="93"/>
        <v>0.93768746996591701</v>
      </c>
      <c r="S202" s="26">
        <f t="shared" si="93"/>
        <v>0.75883998737498537</v>
      </c>
      <c r="T202" s="26">
        <f t="shared" si="93"/>
        <v>0.61176285822730969</v>
      </c>
      <c r="U202" s="26">
        <f t="shared" si="93"/>
        <v>4.2062130462144111E-3</v>
      </c>
      <c r="V202" s="26">
        <f t="shared" si="93"/>
        <v>1.514265776802209E-3</v>
      </c>
      <c r="W202" s="26">
        <f t="shared" si="93"/>
        <v>5.2021119041058023E-4</v>
      </c>
      <c r="X202" s="26">
        <f t="shared" si="93"/>
        <v>1.7177266583382438E-4</v>
      </c>
      <c r="Y202" s="26">
        <f t="shared" si="93"/>
        <v>60.013373534685456</v>
      </c>
      <c r="AA202" s="32">
        <f>SUM(E202:X202)</f>
        <v>53.088950817341505</v>
      </c>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row>
    <row r="204" spans="1:80">
      <c r="D204" s="26"/>
      <c r="E204" s="26">
        <f>E202</f>
        <v>5.633071043986198</v>
      </c>
      <c r="F204" s="26">
        <f>F202+E204</f>
        <v>11.297136887598526</v>
      </c>
      <c r="G204" s="26">
        <f t="shared" ref="G204:W204" si="94">G202+F204</f>
        <v>16.992868836140318</v>
      </c>
      <c r="H204" s="26">
        <f t="shared" si="94"/>
        <v>22.724058758722382</v>
      </c>
      <c r="I204" s="26">
        <f t="shared" si="94"/>
        <v>28.515905169942435</v>
      </c>
      <c r="J204" s="26">
        <f t="shared" si="94"/>
        <v>33.765423474809523</v>
      </c>
      <c r="K204" s="26">
        <f t="shared" si="94"/>
        <v>37.994727026493351</v>
      </c>
      <c r="L204" s="26">
        <f t="shared" si="94"/>
        <v>41.403519955092797</v>
      </c>
      <c r="M204" s="26">
        <f t="shared" si="94"/>
        <v>44.150320058416128</v>
      </c>
      <c r="N204" s="26">
        <f t="shared" si="94"/>
        <v>46.374296211259924</v>
      </c>
      <c r="O204" s="26">
        <f t="shared" si="94"/>
        <v>48.16648450860248</v>
      </c>
      <c r="P204" s="26">
        <f t="shared" si="94"/>
        <v>49.610655431218873</v>
      </c>
      <c r="Q204" s="26">
        <f t="shared" si="94"/>
        <v>50.774248039094026</v>
      </c>
      <c r="R204" s="26">
        <f t="shared" si="94"/>
        <v>51.711935509059941</v>
      </c>
      <c r="S204" s="26">
        <f t="shared" si="94"/>
        <v>52.470775496434925</v>
      </c>
      <c r="T204" s="26">
        <f t="shared" si="94"/>
        <v>53.082538354662233</v>
      </c>
      <c r="U204" s="26">
        <f t="shared" si="94"/>
        <v>53.08674456770845</v>
      </c>
      <c r="V204" s="26">
        <f t="shared" si="94"/>
        <v>53.088258833485256</v>
      </c>
      <c r="W204" s="26">
        <f t="shared" si="94"/>
        <v>53.088779044675668</v>
      </c>
      <c r="X204" s="26">
        <f>X202+W204</f>
        <v>53.088950817341505</v>
      </c>
      <c r="Y204" s="26"/>
      <c r="Z204" s="26"/>
      <c r="AA204" s="26"/>
      <c r="AB204" s="43"/>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row>
    <row r="205" spans="1:80">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row>
    <row r="206" spans="1:80">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row>
    <row r="207" spans="1:80" ht="15">
      <c r="A207" s="49" t="s">
        <v>36</v>
      </c>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row>
    <row r="208" spans="1:80" ht="15">
      <c r="E208" s="51">
        <f t="shared" ref="E208:X208" si="95">E11</f>
        <v>2016</v>
      </c>
      <c r="F208" s="52">
        <f t="shared" si="95"/>
        <v>2017</v>
      </c>
      <c r="G208" s="52">
        <f t="shared" si="95"/>
        <v>2018</v>
      </c>
      <c r="H208" s="52">
        <f t="shared" si="95"/>
        <v>2019</v>
      </c>
      <c r="I208" s="52">
        <f t="shared" si="95"/>
        <v>2020</v>
      </c>
      <c r="J208" s="52">
        <f t="shared" si="95"/>
        <v>2021</v>
      </c>
      <c r="K208" s="52">
        <f t="shared" si="95"/>
        <v>2022</v>
      </c>
      <c r="L208" s="52">
        <f t="shared" si="95"/>
        <v>2023</v>
      </c>
      <c r="M208" s="52">
        <f t="shared" si="95"/>
        <v>2024</v>
      </c>
      <c r="N208" s="52">
        <f t="shared" si="95"/>
        <v>2025</v>
      </c>
      <c r="O208" s="52">
        <f t="shared" si="95"/>
        <v>2026</v>
      </c>
      <c r="P208" s="52">
        <f t="shared" si="95"/>
        <v>2027</v>
      </c>
      <c r="Q208" s="52">
        <f t="shared" si="95"/>
        <v>2028</v>
      </c>
      <c r="R208" s="52">
        <f t="shared" si="95"/>
        <v>2029</v>
      </c>
      <c r="S208" s="52">
        <f t="shared" si="95"/>
        <v>2030</v>
      </c>
      <c r="T208" s="52">
        <f t="shared" si="95"/>
        <v>2031</v>
      </c>
      <c r="U208" s="52">
        <f t="shared" si="95"/>
        <v>2032</v>
      </c>
      <c r="V208" s="52">
        <f t="shared" si="95"/>
        <v>2033</v>
      </c>
      <c r="W208" s="52">
        <f t="shared" si="95"/>
        <v>2034</v>
      </c>
      <c r="X208" s="52">
        <f t="shared" si="95"/>
        <v>2035</v>
      </c>
      <c r="Y208" s="53" t="s">
        <v>30</v>
      </c>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row>
    <row r="209" spans="2:79" ht="15">
      <c r="C209" s="44" t="s">
        <v>34</v>
      </c>
      <c r="D209" s="44" t="s">
        <v>34</v>
      </c>
      <c r="E209" s="54" t="str">
        <f t="shared" ref="E209:X209" si="96">CONCATENATE("Units_",E$11)</f>
        <v>Units_2016</v>
      </c>
      <c r="F209" s="55" t="str">
        <f t="shared" si="96"/>
        <v>Units_2017</v>
      </c>
      <c r="G209" s="55" t="str">
        <f t="shared" si="96"/>
        <v>Units_2018</v>
      </c>
      <c r="H209" s="55" t="str">
        <f t="shared" si="96"/>
        <v>Units_2019</v>
      </c>
      <c r="I209" s="55" t="str">
        <f t="shared" si="96"/>
        <v>Units_2020</v>
      </c>
      <c r="J209" s="55" t="str">
        <f t="shared" si="96"/>
        <v>Units_2021</v>
      </c>
      <c r="K209" s="55" t="str">
        <f t="shared" si="96"/>
        <v>Units_2022</v>
      </c>
      <c r="L209" s="55" t="str">
        <f t="shared" si="96"/>
        <v>Units_2023</v>
      </c>
      <c r="M209" s="55" t="str">
        <f t="shared" si="96"/>
        <v>Units_2024</v>
      </c>
      <c r="N209" s="55" t="str">
        <f t="shared" si="96"/>
        <v>Units_2025</v>
      </c>
      <c r="O209" s="55" t="str">
        <f t="shared" si="96"/>
        <v>Units_2026</v>
      </c>
      <c r="P209" s="55" t="str">
        <f t="shared" si="96"/>
        <v>Units_2027</v>
      </c>
      <c r="Q209" s="55" t="str">
        <f t="shared" si="96"/>
        <v>Units_2028</v>
      </c>
      <c r="R209" s="55" t="str">
        <f t="shared" si="96"/>
        <v>Units_2029</v>
      </c>
      <c r="S209" s="55" t="str">
        <f t="shared" si="96"/>
        <v>Units_2030</v>
      </c>
      <c r="T209" s="55" t="str">
        <f t="shared" si="96"/>
        <v>Units_2031</v>
      </c>
      <c r="U209" s="55" t="str">
        <f t="shared" si="96"/>
        <v>Units_2032</v>
      </c>
      <c r="V209" s="55" t="str">
        <f t="shared" si="96"/>
        <v>Units_2033</v>
      </c>
      <c r="W209" s="55" t="str">
        <f t="shared" si="96"/>
        <v>Units_2034</v>
      </c>
      <c r="X209" s="55" t="str">
        <f t="shared" si="96"/>
        <v>Units_2035</v>
      </c>
      <c r="Y209" s="56" t="s">
        <v>30</v>
      </c>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row>
    <row r="210" spans="2:79">
      <c r="B210" s="7" t="s">
        <v>37</v>
      </c>
      <c r="C210" s="45" t="s">
        <v>38</v>
      </c>
      <c r="D210" s="45" t="s">
        <v>39</v>
      </c>
      <c r="E210" s="42">
        <f>DSUM($B$148:$Y$200,E$148,$C$209:$D210)</f>
        <v>0</v>
      </c>
      <c r="F210" s="42">
        <f>DSUM($B$148:$Y$200,F$148,$C$209:$D210)</f>
        <v>0</v>
      </c>
      <c r="G210" s="42">
        <f>DSUM($B$148:$Y$200,G$148,$C$209:$D210)</f>
        <v>0</v>
      </c>
      <c r="H210" s="42">
        <f>DSUM($B$148:$Y$200,H$148,$C$209:$D210)</f>
        <v>0</v>
      </c>
      <c r="I210" s="42">
        <f>DSUM($B$148:$Y$200,I$148,$C$209:$D210)</f>
        <v>0</v>
      </c>
      <c r="J210" s="42">
        <f>DSUM($B$148:$Y$200,J$148,$C$209:$D210)</f>
        <v>0</v>
      </c>
      <c r="K210" s="42">
        <f>DSUM($B$148:$Y$200,K$148,$C$209:$D210)</f>
        <v>0</v>
      </c>
      <c r="L210" s="42">
        <f>DSUM($B$148:$Y$200,L$148,$C$209:$D210)</f>
        <v>0</v>
      </c>
      <c r="M210" s="42">
        <f>DSUM($B$148:$Y$200,M$148,$C$209:$D210)</f>
        <v>0</v>
      </c>
      <c r="N210" s="42">
        <f>DSUM($B$148:$Y$200,N$148,$C$209:$D210)</f>
        <v>0</v>
      </c>
      <c r="O210" s="42">
        <f>DSUM($B$148:$Y$200,O$148,$C$209:$D210)</f>
        <v>0</v>
      </c>
      <c r="P210" s="42">
        <f>DSUM($B$148:$Y$200,P$148,$C$209:$D210)</f>
        <v>0</v>
      </c>
      <c r="Q210" s="42">
        <f>DSUM($B$148:$Y$200,Q$148,$C$209:$D210)</f>
        <v>0</v>
      </c>
      <c r="R210" s="42">
        <f>DSUM($B$148:$Y$200,R$148,$C$209:$D210)</f>
        <v>0</v>
      </c>
      <c r="S210" s="42">
        <f>DSUM($B$148:$Y$200,S$148,$C$209:$D210)</f>
        <v>0</v>
      </c>
      <c r="T210" s="42">
        <f>DSUM($B$148:$Y$200,T$148,$C$209:$D210)</f>
        <v>0</v>
      </c>
      <c r="U210" s="42">
        <f>DSUM($B$148:$Y$200,U$148,$C$209:$D210)</f>
        <v>0</v>
      </c>
      <c r="V210" s="42">
        <f>DSUM($B$148:$Y$200,V$148,$C$209:$D210)</f>
        <v>0</v>
      </c>
      <c r="W210" s="42">
        <f>DSUM($B$148:$Y$200,W$148,$C$209:$D210)</f>
        <v>0</v>
      </c>
      <c r="X210" s="42">
        <f>DSUM($B$148:$Y$200,X$148,$C$209:$D210)</f>
        <v>0</v>
      </c>
      <c r="Y210" s="42">
        <f>DSUM($B$148:$Y$200,Y$148,$C$209:$D210)</f>
        <v>0</v>
      </c>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row>
    <row r="211" spans="2:79">
      <c r="B211" s="7" t="s">
        <v>40</v>
      </c>
      <c r="C211" s="45" t="s">
        <v>41</v>
      </c>
      <c r="D211" s="45" t="s">
        <v>42</v>
      </c>
      <c r="E211" s="42">
        <f>DSUM($B$148:$Y$200,E$148,$C$209:$D211)</f>
        <v>1.2319176738609274</v>
      </c>
      <c r="F211" s="42">
        <f>DSUM($B$148:$Y$200,F$148,$C$209:$D211)</f>
        <v>1.2390523648252616</v>
      </c>
      <c r="G211" s="42">
        <f>DSUM($B$148:$Y$200,G$148,$C$209:$D211)</f>
        <v>1.2463195796396862</v>
      </c>
      <c r="H211" s="42">
        <f>DSUM($B$148:$Y$200,H$148,$C$209:$D211)</f>
        <v>1.2544932346211843</v>
      </c>
      <c r="I211" s="42">
        <f>DSUM($B$148:$Y$200,I$148,$C$209:$D211)</f>
        <v>1.2686492904494124</v>
      </c>
      <c r="J211" s="42">
        <f>DSUM($B$148:$Y$200,J$148,$C$209:$D211)</f>
        <v>1.1502594004874913</v>
      </c>
      <c r="K211" s="42">
        <f>DSUM($B$148:$Y$200,K$148,$C$209:$D211)</f>
        <v>0.9270482410824199</v>
      </c>
      <c r="L211" s="42">
        <f>DSUM($B$148:$Y$200,L$148,$C$209:$D211)</f>
        <v>0.74749210747731487</v>
      </c>
      <c r="M211" s="42">
        <f>DSUM($B$148:$Y$200,M$148,$C$209:$D211)</f>
        <v>0.60254018341553528</v>
      </c>
      <c r="N211" s="42">
        <f>DSUM($B$148:$Y$200,N$148,$C$209:$D211)</f>
        <v>0.48821114628451279</v>
      </c>
      <c r="O211" s="42">
        <f>DSUM($B$148:$Y$200,O$148,$C$209:$D211)</f>
        <v>0.39355716503306448</v>
      </c>
      <c r="P211" s="42">
        <f>DSUM($B$148:$Y$200,P$148,$C$209:$D211)</f>
        <v>0.31724412058577234</v>
      </c>
      <c r="Q211" s="42">
        <f>DSUM($B$148:$Y$200,Q$148,$C$209:$D211)</f>
        <v>0.25567934468765335</v>
      </c>
      <c r="R211" s="42">
        <f>DSUM($B$148:$Y$200,R$148,$C$209:$D211)</f>
        <v>0.20611012444632379</v>
      </c>
      <c r="S211" s="42">
        <f>DSUM($B$148:$Y$200,S$148,$C$209:$D211)</f>
        <v>0.16690751724422165</v>
      </c>
      <c r="T211" s="42">
        <f>DSUM($B$148:$Y$200,T$148,$C$209:$D211)</f>
        <v>0.13460219671075477</v>
      </c>
      <c r="U211" s="42">
        <f>DSUM($B$148:$Y$200,U$148,$C$209:$D211)</f>
        <v>9.2579867230519603E-4</v>
      </c>
      <c r="V211" s="42">
        <f>DSUM($B$148:$Y$200,V$148,$C$209:$D211)</f>
        <v>3.3341166595873047E-4</v>
      </c>
      <c r="W211" s="42">
        <f>DSUM($B$148:$Y$200,W$148,$C$209:$D211)</f>
        <v>1.1457606535422952E-4</v>
      </c>
      <c r="X211" s="42">
        <f>DSUM($B$148:$Y$200,X$148,$C$209:$D211)</f>
        <v>3.7859562413774682E-5</v>
      </c>
      <c r="Y211" s="42">
        <f>DSUM($B$148:$Y$200,Y$148,$C$209:$D211)</f>
        <v>13.22725038916054</v>
      </c>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row>
    <row r="212" spans="2:79">
      <c r="B212" s="7" t="s">
        <v>43</v>
      </c>
      <c r="C212" s="45" t="s">
        <v>44</v>
      </c>
      <c r="D212" s="45" t="s">
        <v>45</v>
      </c>
      <c r="E212" s="42">
        <f>DSUM($B$148:$Y$200,E$148,$C$209:$D212)</f>
        <v>2.6918333541080912</v>
      </c>
      <c r="F212" s="42">
        <f>DSUM($B$148:$Y$200,F$148,$C$209:$D212)</f>
        <v>2.707303445040385</v>
      </c>
      <c r="G212" s="42">
        <f>DSUM($B$148:$Y$200,G$148,$C$209:$D212)</f>
        <v>2.7230613329970463</v>
      </c>
      <c r="H212" s="42">
        <f>DSUM($B$148:$Y$200,H$148,$C$209:$D212)</f>
        <v>2.740795041158222</v>
      </c>
      <c r="I212" s="42">
        <f>DSUM($B$148:$Y$200,I$148,$C$209:$D212)</f>
        <v>2.7715073473344365</v>
      </c>
      <c r="J212" s="42">
        <f>DSUM($B$148:$Y$200,J$148,$C$209:$D212)</f>
        <v>2.512751611199965</v>
      </c>
      <c r="K212" s="42">
        <f>DSUM($B$148:$Y$200,K$148,$C$209:$D212)</f>
        <v>2.0250517373870758</v>
      </c>
      <c r="L212" s="42">
        <f>DSUM($B$148:$Y$200,L$148,$C$209:$D212)</f>
        <v>1.6327501121832695</v>
      </c>
      <c r="M212" s="42">
        <f>DSUM($B$148:$Y$200,M$148,$C$209:$D212)</f>
        <v>1.3160727364760556</v>
      </c>
      <c r="N212" s="42">
        <f>DSUM($B$148:$Y$200,N$148,$C$209:$D212)</f>
        <v>1.06626908059044</v>
      </c>
      <c r="O212" s="42">
        <f>DSUM($B$148:$Y$200,O$148,$C$209:$D212)</f>
        <v>0.85950550986641816</v>
      </c>
      <c r="P212" s="42">
        <f>DSUM($B$148:$Y$200,P$148,$C$209:$D212)</f>
        <v>0.69281422815736426</v>
      </c>
      <c r="Q212" s="42">
        <f>DSUM($B$148:$Y$200,Q$148,$C$209:$D212)</f>
        <v>0.55834412206725237</v>
      </c>
      <c r="R212" s="42">
        <f>DSUM($B$148:$Y$200,R$148,$C$209:$D212)</f>
        <v>0.45007891935472877</v>
      </c>
      <c r="S212" s="42">
        <f>DSUM($B$148:$Y$200,S$148,$C$209:$D212)</f>
        <v>0.36444744058997219</v>
      </c>
      <c r="T212" s="42">
        <f>DSUM($B$148:$Y$200,T$148,$C$209:$D212)</f>
        <v>0.29389590637239754</v>
      </c>
      <c r="U212" s="42">
        <f>DSUM($B$148:$Y$200,U$148,$C$209:$D212)</f>
        <v>2.0213418528817304E-3</v>
      </c>
      <c r="V212" s="42">
        <f>DSUM($B$148:$Y$200,V$148,$C$209:$D212)</f>
        <v>7.2792428717347762E-4</v>
      </c>
      <c r="W212" s="42">
        <f>DSUM($B$148:$Y$200,W$148,$C$209:$D212)</f>
        <v>2.5013979082158034E-4</v>
      </c>
      <c r="X212" s="42">
        <f>DSUM($B$148:$Y$200,X$148,$C$209:$D212)</f>
        <v>8.2648134006546689E-5</v>
      </c>
      <c r="Y212" s="42">
        <f>DSUM($B$148:$Y$200,Y$148,$C$209:$D212)</f>
        <v>28.875335397530602</v>
      </c>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row>
    <row r="213" spans="2:79">
      <c r="B213" s="7" t="s">
        <v>46</v>
      </c>
      <c r="C213" s="45" t="s">
        <v>47</v>
      </c>
      <c r="D213" s="45" t="s">
        <v>48</v>
      </c>
      <c r="E213" s="42">
        <f>DSUM($B$148:$Y$200,E$148,$C$209:$D213)</f>
        <v>3.2061362821984796</v>
      </c>
      <c r="F213" s="42">
        <f>DSUM($B$148:$Y$200,F$148,$C$209:$D213)</f>
        <v>3.2259845335862538</v>
      </c>
      <c r="G213" s="42">
        <f>DSUM($B$148:$Y$200,G$148,$C$209:$D213)</f>
        <v>3.2461994347989962</v>
      </c>
      <c r="H213" s="42">
        <f>DSUM($B$148:$Y$200,H$148,$C$209:$D213)</f>
        <v>3.2688173848576905</v>
      </c>
      <c r="I213" s="42">
        <f>DSUM($B$148:$Y$200,I$148,$C$209:$D213)</f>
        <v>3.3079849538893855</v>
      </c>
      <c r="J213" s="42">
        <f>DSUM($B$148:$Y$200,J$148,$C$209:$D213)</f>
        <v>3.0005619860559558</v>
      </c>
      <c r="K213" s="42">
        <f>DSUM($B$148:$Y$200,K$148,$C$209:$D213)</f>
        <v>2.4192854913658857</v>
      </c>
      <c r="L213" s="42">
        <f>DSUM($B$148:$Y$200,L$148,$C$209:$D213)</f>
        <v>1.9515291815429101</v>
      </c>
      <c r="M213" s="42">
        <f>DSUM($B$148:$Y$200,M$148,$C$209:$D213)</f>
        <v>1.5737129287582461</v>
      </c>
      <c r="N213" s="42">
        <f>DSUM($B$148:$Y$200,N$148,$C$209:$D213)</f>
        <v>1.2760114890472452</v>
      </c>
      <c r="O213" s="42">
        <f>DSUM($B$148:$Y$200,O$148,$C$209:$D213)</f>
        <v>1.0290039629467036</v>
      </c>
      <c r="P213" s="42">
        <f>DSUM($B$148:$Y$200,P$148,$C$209:$D213)</f>
        <v>0.8297719537563859</v>
      </c>
      <c r="Q213" s="42">
        <f>DSUM($B$148:$Y$200,Q$148,$C$209:$D213)</f>
        <v>0.66897759128694734</v>
      </c>
      <c r="R213" s="42">
        <f>DSUM($B$148:$Y$200,R$148,$C$209:$D213)</f>
        <v>0.53946724921287315</v>
      </c>
      <c r="S213" s="42">
        <f>DSUM($B$148:$Y$200,S$148,$C$209:$D213)</f>
        <v>0.4371284379056809</v>
      </c>
      <c r="T213" s="42">
        <f>DSUM($B$148:$Y$200,T$148,$C$209:$D213)</f>
        <v>0.3526478928106741</v>
      </c>
      <c r="U213" s="42">
        <f>DSUM($B$148:$Y$200,U$148,$C$209:$D213)</f>
        <v>2.4264210677223249E-3</v>
      </c>
      <c r="V213" s="42">
        <f>DSUM($B$148:$Y$200,V$148,$C$209:$D213)</f>
        <v>8.7415299804535643E-4</v>
      </c>
      <c r="W213" s="42">
        <f>DSUM($B$148:$Y$200,W$148,$C$209:$D213)</f>
        <v>3.0050158513363393E-4</v>
      </c>
      <c r="X213" s="42">
        <f>DSUM($B$148:$Y$200,X$148,$C$209:$D213)</f>
        <v>9.9358314249833044E-5</v>
      </c>
      <c r="Y213" s="42">
        <f>DSUM($B$148:$Y$200,Y$148,$C$209:$D213)</f>
        <v>34.713483649490691</v>
      </c>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row>
    <row r="214" spans="2:79">
      <c r="B214" s="7" t="s">
        <v>49</v>
      </c>
      <c r="C214" s="45" t="s">
        <v>50</v>
      </c>
      <c r="D214" s="45" t="s">
        <v>51</v>
      </c>
      <c r="E214" s="42">
        <f>DSUM($B$148:$Y$200,E$148,$C$209:$D214)</f>
        <v>3.5482893728403777</v>
      </c>
      <c r="F214" s="42">
        <f>DSUM($B$148:$Y$200,F$148,$C$209:$D214)</f>
        <v>3.5689064576327203</v>
      </c>
      <c r="G214" s="42">
        <f>DSUM($B$148:$Y$200,G$148,$C$209:$D214)</f>
        <v>3.5899126544344129</v>
      </c>
      <c r="H214" s="42">
        <f>DSUM($B$148:$Y$200,H$148,$C$209:$D214)</f>
        <v>3.6135058060749299</v>
      </c>
      <c r="I214" s="42">
        <f>DSUM($B$148:$Y$200,I$148,$C$209:$D214)</f>
        <v>3.6542771060017616</v>
      </c>
      <c r="J214" s="42">
        <f>DSUM($B$148:$Y$200,J$148,$C$209:$D214)</f>
        <v>3.3132938533420204</v>
      </c>
      <c r="K214" s="42">
        <f>DSUM($B$148:$Y$200,K$148,$C$209:$D214)</f>
        <v>2.6703563347981514</v>
      </c>
      <c r="L214" s="42">
        <f>DSUM($B$148:$Y$200,L$148,$C$209:$D214)</f>
        <v>2.1531531083916309</v>
      </c>
      <c r="M214" s="42">
        <f>DSUM($B$148:$Y$200,M$148,$C$209:$D214)</f>
        <v>1.7356288723979174</v>
      </c>
      <c r="N214" s="42">
        <f>DSUM($B$148:$Y$200,N$148,$C$209:$D214)</f>
        <v>1.4062909120056322</v>
      </c>
      <c r="O214" s="42">
        <f>DSUM($B$148:$Y$200,O$148,$C$209:$D214)</f>
        <v>1.1336466632417104</v>
      </c>
      <c r="P214" s="42">
        <f>DSUM($B$148:$Y$200,P$148,$C$209:$D214)</f>
        <v>0.91382834091748688</v>
      </c>
      <c r="Q214" s="42">
        <f>DSUM($B$148:$Y$200,Q$148,$C$209:$D214)</f>
        <v>0.73649747950218991</v>
      </c>
      <c r="R214" s="42">
        <f>DSUM($B$148:$Y$200,R$148,$C$209:$D214)</f>
        <v>0.59371216201414712</v>
      </c>
      <c r="S214" s="42">
        <f>DSUM($B$148:$Y$200,S$148,$C$209:$D214)</f>
        <v>0.48078289839303168</v>
      </c>
      <c r="T214" s="42">
        <f>DSUM($B$148:$Y$200,T$148,$C$209:$D214)</f>
        <v>0.38772815246640646</v>
      </c>
      <c r="U214" s="42">
        <f>DSUM($B$148:$Y$200,U$148,$C$209:$D214)</f>
        <v>2.6668134553039981E-3</v>
      </c>
      <c r="V214" s="42">
        <f>DSUM($B$148:$Y$200,V$148,$C$209:$D214)</f>
        <v>9.6041232939259773E-4</v>
      </c>
      <c r="W214" s="42">
        <f>DSUM($B$148:$Y$200,W$148,$C$209:$D214)</f>
        <v>3.3004468391781532E-4</v>
      </c>
      <c r="X214" s="42">
        <f>DSUM($B$148:$Y$200,X$148,$C$209:$D214)</f>
        <v>1.0905580757966166E-4</v>
      </c>
      <c r="Y214" s="42">
        <f>DSUM($B$148:$Y$200,Y$148,$C$209:$D214)</f>
        <v>38.101562228396503</v>
      </c>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row>
    <row r="215" spans="2:79">
      <c r="B215" s="7" t="s">
        <v>52</v>
      </c>
      <c r="C215" s="45" t="s">
        <v>53</v>
      </c>
      <c r="D215" s="45" t="s">
        <v>54</v>
      </c>
      <c r="E215" s="42">
        <f>DSUM($B$148:$Y$200,E$148,$C$209:$D215)</f>
        <v>4.300929685570531</v>
      </c>
      <c r="F215" s="42">
        <f>DSUM($B$148:$Y$200,F$148,$C$209:$D215)</f>
        <v>4.3287619750352171</v>
      </c>
      <c r="G215" s="42">
        <f>DSUM($B$148:$Y$200,G$148,$C$209:$D215)</f>
        <v>4.3571702100126171</v>
      </c>
      <c r="H215" s="42">
        <f>DSUM($B$148:$Y$200,H$148,$C$209:$D215)</f>
        <v>4.3886604448732571</v>
      </c>
      <c r="I215" s="42">
        <f>DSUM($B$148:$Y$200,I$148,$C$209:$D215)</f>
        <v>4.4427931155086515</v>
      </c>
      <c r="J215" s="42">
        <f>DSUM($B$148:$Y$200,J$148,$C$209:$D215)</f>
        <v>4.031032363339806</v>
      </c>
      <c r="K215" s="42">
        <f>DSUM($B$148:$Y$200,K$148,$C$209:$D215)</f>
        <v>3.2509346344139507</v>
      </c>
      <c r="L215" s="42">
        <f>DSUM($B$148:$Y$200,L$148,$C$209:$D215)</f>
        <v>2.6230021802269183</v>
      </c>
      <c r="M215" s="42">
        <f>DSUM($B$148:$Y$200,M$148,$C$209:$D215)</f>
        <v>2.1156822214785693</v>
      </c>
      <c r="N215" s="42">
        <f>DSUM($B$148:$Y$200,N$148,$C$209:$D215)</f>
        <v>1.7160571812875152</v>
      </c>
      <c r="O215" s="42">
        <f>DSUM($B$148:$Y$200,O$148,$C$209:$D215)</f>
        <v>1.3841683454079809</v>
      </c>
      <c r="P215" s="42">
        <f>DSUM($B$148:$Y$200,P$148,$C$209:$D215)</f>
        <v>1.1163828152830564</v>
      </c>
      <c r="Q215" s="42">
        <f>DSUM($B$148:$Y$200,Q$148,$C$209:$D215)</f>
        <v>0.90025807991026774</v>
      </c>
      <c r="R215" s="42">
        <f>DSUM($B$148:$Y$200,R$148,$C$209:$D215)</f>
        <v>0.72610317689857085</v>
      </c>
      <c r="S215" s="42">
        <f>DSUM($B$148:$Y$200,S$148,$C$209:$D215)</f>
        <v>0.58852998940071599</v>
      </c>
      <c r="T215" s="42">
        <f>DSUM($B$148:$Y$200,T$148,$C$209:$D215)</f>
        <v>0.47488668530039246</v>
      </c>
      <c r="U215" s="42">
        <f>DSUM($B$148:$Y$200,U$148,$C$209:$D215)</f>
        <v>3.2681332489166996E-3</v>
      </c>
      <c r="V215" s="42">
        <f>DSUM($B$148:$Y$200,V$148,$C$209:$D215)</f>
        <v>1.1776160158954996E-3</v>
      </c>
      <c r="W215" s="42">
        <f>DSUM($B$148:$Y$200,W$148,$C$209:$D215)</f>
        <v>4.0489792803314099E-4</v>
      </c>
      <c r="X215" s="42">
        <f>DSUM($B$148:$Y$200,X$148,$C$209:$D215)</f>
        <v>1.3391318102034787E-4</v>
      </c>
      <c r="Y215" s="42">
        <f>DSUM($B$148:$Y$200,Y$148,$C$209:$D215)</f>
        <v>46.786150257263898</v>
      </c>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row>
    <row r="216" spans="2:79">
      <c r="B216" s="7" t="s">
        <v>55</v>
      </c>
      <c r="C216" s="45" t="s">
        <v>56</v>
      </c>
      <c r="D216" s="45" t="s">
        <v>57</v>
      </c>
      <c r="E216" s="42">
        <f>DSUM($B$148:$Y$200,E$148,$C$209:$D216)</f>
        <v>4.3556471376742136</v>
      </c>
      <c r="F216" s="42">
        <f>DSUM($B$148:$Y$200,F$148,$C$209:$D216)</f>
        <v>4.383486269063944</v>
      </c>
      <c r="G216" s="42">
        <f>DSUM($B$148:$Y$200,G$148,$C$209:$D216)</f>
        <v>4.4119040128687397</v>
      </c>
      <c r="H216" s="42">
        <f>DSUM($B$148:$Y$200,H$148,$C$209:$D216)</f>
        <v>4.4434277507979161</v>
      </c>
      <c r="I216" s="42">
        <f>DSUM($B$148:$Y$200,I$148,$C$209:$D216)</f>
        <v>4.4976086864839715</v>
      </c>
      <c r="J216" s="42">
        <f>DSUM($B$148:$Y$200,J$148,$C$209:$D216)</f>
        <v>4.0804216410426619</v>
      </c>
      <c r="K216" s="42">
        <f>DSUM($B$148:$Y$200,K$148,$C$209:$D216)</f>
        <v>3.2904963066788655</v>
      </c>
      <c r="L216" s="42">
        <f>DSUM($B$148:$Y$200,L$148,$C$209:$D216)</f>
        <v>2.654697107778532</v>
      </c>
      <c r="M216" s="42">
        <f>DSUM($B$148:$Y$200,M$148,$C$209:$D216)</f>
        <v>2.1410784145473287</v>
      </c>
      <c r="N216" s="42">
        <f>DSUM($B$148:$Y$200,N$148,$C$209:$D216)</f>
        <v>1.7364090903240579</v>
      </c>
      <c r="O216" s="42">
        <f>DSUM($B$148:$Y$200,O$148,$C$209:$D216)</f>
        <v>1.4004796500038386</v>
      </c>
      <c r="P216" s="42">
        <f>DSUM($B$148:$Y$200,P$148,$C$209:$D216)</f>
        <v>1.1294571447959882</v>
      </c>
      <c r="Q216" s="42">
        <f>DSUM($B$148:$Y$200,Q$148,$C$209:$D216)</f>
        <v>0.91073879309139183</v>
      </c>
      <c r="R216" s="42">
        <f>DSUM($B$148:$Y$200,R$148,$C$209:$D216)</f>
        <v>0.73450559047621522</v>
      </c>
      <c r="S216" s="42">
        <f>DSUM($B$148:$Y$200,S$148,$C$209:$D216)</f>
        <v>0.59526679359206125</v>
      </c>
      <c r="T216" s="42">
        <f>DSUM($B$148:$Y$200,T$148,$C$209:$D216)</f>
        <v>0.48028829706015819</v>
      </c>
      <c r="U216" s="42">
        <f>DSUM($B$148:$Y$200,U$148,$C$209:$D216)</f>
        <v>3.3050628337349722E-3</v>
      </c>
      <c r="V216" s="42">
        <f>DSUM($B$148:$Y$200,V$148,$C$209:$D216)</f>
        <v>1.1908369980678157E-3</v>
      </c>
      <c r="W216" s="42">
        <f>DSUM($B$148:$Y$200,W$148,$C$209:$D216)</f>
        <v>4.0941628056174865E-4</v>
      </c>
      <c r="X216" s="42">
        <f>DSUM($B$148:$Y$200,X$148,$C$209:$D216)</f>
        <v>1.35390290985686E-4</v>
      </c>
      <c r="Y216" s="42">
        <f>DSUM($B$148:$Y$200,Y$148,$C$209:$D216)</f>
        <v>47.302218117486788</v>
      </c>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row>
    <row r="217" spans="2:79">
      <c r="B217" s="7" t="s">
        <v>58</v>
      </c>
      <c r="C217" s="45" t="s">
        <v>59</v>
      </c>
      <c r="D217" s="45" t="s">
        <v>60</v>
      </c>
      <c r="E217" s="42">
        <f>DSUM($B$148:$Y$200,E$148,$C$209:$D217)</f>
        <v>5.0724527752904187</v>
      </c>
      <c r="F217" s="42">
        <f>DSUM($B$148:$Y$200,F$148,$C$209:$D217)</f>
        <v>5.100381536775398</v>
      </c>
      <c r="G217" s="42">
        <f>DSUM($B$148:$Y$200,G$148,$C$209:$D217)</f>
        <v>5.1289238474381591</v>
      </c>
      <c r="H217" s="42">
        <f>DSUM($B$148:$Y$200,H$148,$C$209:$D217)</f>
        <v>5.1608864798604364</v>
      </c>
      <c r="I217" s="42">
        <f>DSUM($B$148:$Y$200,I$148,$C$209:$D217)</f>
        <v>5.2156996938979621</v>
      </c>
      <c r="J217" s="42">
        <f>DSUM($B$148:$Y$200,J$148,$C$209:$D217)</f>
        <v>4.7274275109087656</v>
      </c>
      <c r="K217" s="42">
        <f>DSUM($B$148:$Y$200,K$148,$C$209:$D217)</f>
        <v>3.8087592853585179</v>
      </c>
      <c r="L217" s="42">
        <f>DSUM($B$148:$Y$200,L$148,$C$209:$D217)</f>
        <v>3.0699047221569167</v>
      </c>
      <c r="M217" s="42">
        <f>DSUM($B$148:$Y$200,M$148,$C$209:$D217)</f>
        <v>2.4737717996702608</v>
      </c>
      <c r="N217" s="42">
        <f>DSUM($B$148:$Y$200,N$148,$C$209:$D217)</f>
        <v>2.0030217079218753</v>
      </c>
      <c r="O217" s="42">
        <f>DSUM($B$148:$Y$200,O$148,$C$209:$D217)</f>
        <v>1.6141598314024723</v>
      </c>
      <c r="P217" s="42">
        <f>DSUM($B$148:$Y$200,P$148,$C$209:$D217)</f>
        <v>1.3007325376114898</v>
      </c>
      <c r="Q217" s="42">
        <f>DSUM($B$148:$Y$200,Q$148,$C$209:$D217)</f>
        <v>1.0480374794452947</v>
      </c>
      <c r="R217" s="42">
        <f>DSUM($B$148:$Y$200,R$148,$C$209:$D217)</f>
        <v>0.84457828557586634</v>
      </c>
      <c r="S217" s="42">
        <f>DSUM($B$148:$Y$200,S$148,$C$209:$D217)</f>
        <v>0.68351979219152925</v>
      </c>
      <c r="T217" s="42">
        <f>DSUM($B$148:$Y$200,T$148,$C$209:$D217)</f>
        <v>0.5510501036274168</v>
      </c>
      <c r="U217" s="42">
        <f>DSUM($B$148:$Y$200,U$148,$C$209:$D217)</f>
        <v>3.7888451294165039E-3</v>
      </c>
      <c r="V217" s="42">
        <f>DSUM($B$148:$Y$200,V$148,$C$209:$D217)</f>
        <v>1.3640335595228729E-3</v>
      </c>
      <c r="W217" s="42">
        <f>DSUM($B$148:$Y$200,W$148,$C$209:$D217)</f>
        <v>4.6860727796247385E-4</v>
      </c>
      <c r="X217" s="42">
        <f>DSUM($B$148:$Y$200,X$148,$C$209:$D217)</f>
        <v>1.5474062090468785E-4</v>
      </c>
      <c r="Y217" s="42">
        <f>DSUM($B$148:$Y$200,Y$148,$C$209:$D217)</f>
        <v>54.062773248952816</v>
      </c>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row>
    <row r="218" spans="2:79">
      <c r="B218" s="7" t="s">
        <v>61</v>
      </c>
      <c r="C218" s="45" t="s">
        <v>62</v>
      </c>
      <c r="D218" s="45" t="s">
        <v>63</v>
      </c>
      <c r="E218" s="42">
        <f>DSUM($B$148:$Y$200,E$148,$C$209:$D218)</f>
        <v>5.2745884624240853</v>
      </c>
      <c r="F218" s="42">
        <f>DSUM($B$148:$Y$200,F$148,$C$209:$D218)</f>
        <v>5.3045924560950866</v>
      </c>
      <c r="G218" s="42">
        <f>DSUM($B$148:$Y$200,G$148,$C$209:$D218)</f>
        <v>5.3352392804790707</v>
      </c>
      <c r="H218" s="42">
        <f>DSUM($B$148:$Y$200,H$148,$C$209:$D218)</f>
        <v>5.3695076917893143</v>
      </c>
      <c r="I218" s="42">
        <f>DSUM($B$148:$Y$200,I$148,$C$209:$D218)</f>
        <v>5.4283526592643572</v>
      </c>
      <c r="J218" s="42">
        <f>DSUM($B$148:$Y$200,J$148,$C$209:$D218)</f>
        <v>4.9211442741558562</v>
      </c>
      <c r="K218" s="42">
        <f>DSUM($B$148:$Y$200,K$148,$C$209:$D218)</f>
        <v>3.9655980759797278</v>
      </c>
      <c r="L218" s="42">
        <f>DSUM($B$148:$Y$200,L$148,$C$209:$D218)</f>
        <v>3.19696572408892</v>
      </c>
      <c r="M218" s="42">
        <f>DSUM($B$148:$Y$200,M$148,$C$209:$D218)</f>
        <v>2.5766405758023785</v>
      </c>
      <c r="N218" s="42">
        <f>DSUM($B$148:$Y$200,N$148,$C$209:$D218)</f>
        <v>2.0870355684286692</v>
      </c>
      <c r="O218" s="42">
        <f>DSUM($B$148:$Y$200,O$148,$C$209:$D218)</f>
        <v>1.6821631763345282</v>
      </c>
      <c r="P218" s="42">
        <f>DSUM($B$148:$Y$200,P$148,$C$209:$D218)</f>
        <v>1.3557676262998417</v>
      </c>
      <c r="Q218" s="42">
        <f>DSUM($B$148:$Y$200,Q$148,$C$209:$D218)</f>
        <v>1.0925570551371373</v>
      </c>
      <c r="R218" s="42">
        <f>DSUM($B$148:$Y$200,R$148,$C$209:$D218)</f>
        <v>0.88060320518842206</v>
      </c>
      <c r="S218" s="42">
        <f>DSUM($B$148:$Y$200,S$148,$C$209:$D218)</f>
        <v>0.7128915248419222</v>
      </c>
      <c r="T218" s="42">
        <f>DSUM($B$148:$Y$200,T$148,$C$209:$D218)</f>
        <v>0.57482863012179186</v>
      </c>
      <c r="U218" s="42">
        <f>DSUM($B$148:$Y$200,U$148,$C$209:$D218)</f>
        <v>3.9530501260190412E-3</v>
      </c>
      <c r="V218" s="42">
        <f>DSUM($B$148:$Y$200,V$148,$C$209:$D218)</f>
        <v>1.4234006024821501E-3</v>
      </c>
      <c r="W218" s="42">
        <f>DSUM($B$148:$Y$200,W$148,$C$209:$D218)</f>
        <v>4.8908200983391716E-4</v>
      </c>
      <c r="X218" s="42">
        <f>DSUM($B$148:$Y$200,X$148,$C$209:$D218)</f>
        <v>1.6155305740582685E-4</v>
      </c>
      <c r="Y218" s="42">
        <f>DSUM($B$148:$Y$200,Y$148,$C$209:$D218)</f>
        <v>56.442880086321779</v>
      </c>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row>
    <row r="219" spans="2:79">
      <c r="B219" s="7" t="s">
        <v>64</v>
      </c>
      <c r="C219" s="45" t="s">
        <v>65</v>
      </c>
      <c r="D219" s="45" t="s">
        <v>66</v>
      </c>
      <c r="E219" s="42">
        <f>DSUM($B$148:$Y$200,E$148,$C$209:$D219)</f>
        <v>5.2745884624240853</v>
      </c>
      <c r="F219" s="42">
        <f>DSUM($B$148:$Y$200,F$148,$C$209:$D219)</f>
        <v>5.3045924560950866</v>
      </c>
      <c r="G219" s="42">
        <f>DSUM($B$148:$Y$200,G$148,$C$209:$D219)</f>
        <v>5.3352392804790707</v>
      </c>
      <c r="H219" s="42">
        <f>DSUM($B$148:$Y$200,H$148,$C$209:$D219)</f>
        <v>5.3695076917893143</v>
      </c>
      <c r="I219" s="42">
        <f>DSUM($B$148:$Y$200,I$148,$C$209:$D219)</f>
        <v>5.4283526592643572</v>
      </c>
      <c r="J219" s="42">
        <f>DSUM($B$148:$Y$200,J$148,$C$209:$D219)</f>
        <v>4.9211442741558562</v>
      </c>
      <c r="K219" s="42">
        <f>DSUM($B$148:$Y$200,K$148,$C$209:$D219)</f>
        <v>3.9655980759797278</v>
      </c>
      <c r="L219" s="42">
        <f>DSUM($B$148:$Y$200,L$148,$C$209:$D219)</f>
        <v>3.19696572408892</v>
      </c>
      <c r="M219" s="42">
        <f>DSUM($B$148:$Y$200,M$148,$C$209:$D219)</f>
        <v>2.5766405758023785</v>
      </c>
      <c r="N219" s="42">
        <f>DSUM($B$148:$Y$200,N$148,$C$209:$D219)</f>
        <v>2.0870355684286692</v>
      </c>
      <c r="O219" s="42">
        <f>DSUM($B$148:$Y$200,O$148,$C$209:$D219)</f>
        <v>1.6821631763345282</v>
      </c>
      <c r="P219" s="42">
        <f>DSUM($B$148:$Y$200,P$148,$C$209:$D219)</f>
        <v>1.3557676262998417</v>
      </c>
      <c r="Q219" s="42">
        <f>DSUM($B$148:$Y$200,Q$148,$C$209:$D219)</f>
        <v>1.0925570551371373</v>
      </c>
      <c r="R219" s="42">
        <f>DSUM($B$148:$Y$200,R$148,$C$209:$D219)</f>
        <v>0.88060320518842206</v>
      </c>
      <c r="S219" s="42">
        <f>DSUM($B$148:$Y$200,S$148,$C$209:$D219)</f>
        <v>0.7128915248419222</v>
      </c>
      <c r="T219" s="42">
        <f>DSUM($B$148:$Y$200,T$148,$C$209:$D219)</f>
        <v>0.57482863012179186</v>
      </c>
      <c r="U219" s="42">
        <f>DSUM($B$148:$Y$200,U$148,$C$209:$D219)</f>
        <v>3.9530501260190412E-3</v>
      </c>
      <c r="V219" s="42">
        <f>DSUM($B$148:$Y$200,V$148,$C$209:$D219)</f>
        <v>1.4234006024821501E-3</v>
      </c>
      <c r="W219" s="42">
        <f>DSUM($B$148:$Y$200,W$148,$C$209:$D219)</f>
        <v>4.8908200983391716E-4</v>
      </c>
      <c r="X219" s="42">
        <f>DSUM($B$148:$Y$200,X$148,$C$209:$D219)</f>
        <v>1.6155305740582685E-4</v>
      </c>
      <c r="Y219" s="42">
        <f>DSUM($B$148:$Y$200,Y$148,$C$209:$D219)</f>
        <v>56.442880086321779</v>
      </c>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row>
    <row r="220" spans="2:79">
      <c r="B220" s="7" t="s">
        <v>67</v>
      </c>
      <c r="C220" s="45" t="s">
        <v>68</v>
      </c>
      <c r="D220" s="45" t="s">
        <v>69</v>
      </c>
      <c r="E220" s="42">
        <f>DSUM($B$148:$Y$200,E$148,$C$209:$D220)</f>
        <v>5.4227241792319179</v>
      </c>
      <c r="F220" s="42">
        <f>DSUM($B$148:$Y$200,F$148,$C$209:$D220)</f>
        <v>5.4532517334609016</v>
      </c>
      <c r="G220" s="42">
        <f>DSUM($B$148:$Y$200,G$148,$C$209:$D220)</f>
        <v>5.4844399873184138</v>
      </c>
      <c r="H220" s="42">
        <f>DSUM($B$148:$Y$200,H$148,$C$209:$D220)</f>
        <v>5.5193264896108198</v>
      </c>
      <c r="I220" s="42">
        <f>DSUM($B$148:$Y$200,I$148,$C$209:$D220)</f>
        <v>5.5792026468639238</v>
      </c>
      <c r="J220" s="42">
        <f>DSUM($B$148:$Y$200,J$148,$C$209:$D220)</f>
        <v>5.0575775927397739</v>
      </c>
      <c r="K220" s="42">
        <f>DSUM($B$148:$Y$200,K$148,$C$209:$D220)</f>
        <v>4.0752847614003134</v>
      </c>
      <c r="L220" s="42">
        <f>DSUM($B$148:$Y$200,L$148,$C$209:$D220)</f>
        <v>3.2851760358716207</v>
      </c>
      <c r="M220" s="42">
        <f>DSUM($B$148:$Y$200,M$148,$C$209:$D220)</f>
        <v>2.6475745624941425</v>
      </c>
      <c r="N220" s="42">
        <f>DSUM($B$148:$Y$200,N$148,$C$209:$D220)</f>
        <v>2.1442492153828727</v>
      </c>
      <c r="O220" s="42">
        <f>DSUM($B$148:$Y$200,O$148,$C$209:$D220)</f>
        <v>1.7281777634069457</v>
      </c>
      <c r="P220" s="42">
        <f>DSUM($B$148:$Y$200,P$148,$C$209:$D220)</f>
        <v>1.3927746529682825</v>
      </c>
      <c r="Q220" s="42">
        <f>DSUM($B$148:$Y$200,Q$148,$C$209:$D220)</f>
        <v>1.1223212490395034</v>
      </c>
      <c r="R220" s="42">
        <f>DSUM($B$148:$Y$200,R$148,$C$209:$D220)</f>
        <v>0.90454351135298938</v>
      </c>
      <c r="S220" s="42">
        <f>DSUM($B$148:$Y$200,S$148,$C$209:$D220)</f>
        <v>0.73219961633327146</v>
      </c>
      <c r="T220" s="42">
        <f>DSUM($B$148:$Y$200,T$148,$C$209:$D220)</f>
        <v>0.59036432154797358</v>
      </c>
      <c r="U220" s="42">
        <f>DSUM($B$148:$Y$200,U$148,$C$209:$D220)</f>
        <v>4.0596496840924522E-3</v>
      </c>
      <c r="V220" s="42">
        <f>DSUM($B$148:$Y$200,V$148,$C$209:$D220)</f>
        <v>1.4617005380261642E-3</v>
      </c>
      <c r="W220" s="42">
        <f>DSUM($B$148:$Y$200,W$148,$C$209:$D220)</f>
        <v>5.0221540129515116E-4</v>
      </c>
      <c r="X220" s="42">
        <f>DSUM($B$148:$Y$200,X$148,$C$209:$D220)</f>
        <v>1.6587397458299691E-4</v>
      </c>
      <c r="Y220" s="42">
        <f>DSUM($B$148:$Y$200,Y$148,$C$209:$D220)</f>
        <v>57.952508031531679</v>
      </c>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row>
    <row r="221" spans="2:79">
      <c r="B221" s="7" t="s">
        <v>70</v>
      </c>
      <c r="C221" s="45" t="s">
        <v>71</v>
      </c>
      <c r="D221" s="45" t="s">
        <v>72</v>
      </c>
      <c r="E221" s="42">
        <f>DSUM($B$148:$Y$200,E$148,$C$209:$D221)</f>
        <v>5.5204495063994568</v>
      </c>
      <c r="F221" s="42">
        <f>DSUM($B$148:$Y$200,F$148,$C$209:$D221)</f>
        <v>5.5510611657103182</v>
      </c>
      <c r="G221" s="42">
        <f>DSUM($B$148:$Y$200,G$148,$C$209:$D221)</f>
        <v>5.5823370180940497</v>
      </c>
      <c r="H221" s="42">
        <f>DSUM($B$148:$Y$200,H$148,$C$209:$D221)</f>
        <v>5.6173528865177467</v>
      </c>
      <c r="I221" s="42">
        <f>DSUM($B$148:$Y$200,I$148,$C$209:$D221)</f>
        <v>5.6773838007811355</v>
      </c>
      <c r="J221" s="42">
        <f>DSUM($B$148:$Y$200,J$148,$C$209:$D221)</f>
        <v>5.1460807739462169</v>
      </c>
      <c r="K221" s="42">
        <f>DSUM($B$148:$Y$200,K$148,$C$209:$D221)</f>
        <v>4.1462097437469998</v>
      </c>
      <c r="L221" s="42">
        <f>DSUM($B$148:$Y$200,L$148,$C$209:$D221)</f>
        <v>3.3420242813765459</v>
      </c>
      <c r="M221" s="42">
        <f>DSUM($B$148:$Y$200,M$148,$C$209:$D221)</f>
        <v>2.6931469923940883</v>
      </c>
      <c r="N221" s="42">
        <f>DSUM($B$148:$Y$200,N$148,$C$209:$D221)</f>
        <v>2.1807874753782839</v>
      </c>
      <c r="O221" s="42">
        <f>DSUM($B$148:$Y$200,O$148,$C$209:$D221)</f>
        <v>1.7574760897641901</v>
      </c>
      <c r="P221" s="42">
        <f>DSUM($B$148:$Y$200,P$148,$C$209:$D221)</f>
        <v>1.4162702594166297</v>
      </c>
      <c r="Q221" s="42">
        <f>DSUM($B$148:$Y$200,Q$148,$C$209:$D221)</f>
        <v>1.1411652206191272</v>
      </c>
      <c r="R221" s="42">
        <f>DSUM($B$148:$Y$200,R$148,$C$209:$D221)</f>
        <v>0.91965825691867764</v>
      </c>
      <c r="S221" s="42">
        <f>DSUM($B$148:$Y$200,S$148,$C$209:$D221)</f>
        <v>0.74432418682839818</v>
      </c>
      <c r="T221" s="42">
        <f>DSUM($B$148:$Y$200,T$148,$C$209:$D221)</f>
        <v>0.60009070876213455</v>
      </c>
      <c r="U221" s="42">
        <f>DSUM($B$148:$Y$200,U$148,$C$209:$D221)</f>
        <v>4.1261797931495398E-3</v>
      </c>
      <c r="V221" s="42">
        <f>DSUM($B$148:$Y$200,V$148,$C$209:$D221)</f>
        <v>1.4855304660903576E-3</v>
      </c>
      <c r="W221" s="42">
        <f>DSUM($B$148:$Y$200,W$148,$C$209:$D221)</f>
        <v>5.1036345179810338E-4</v>
      </c>
      <c r="X221" s="42">
        <f>DSUM($B$148:$Y$200,X$148,$C$209:$D221)</f>
        <v>1.6853899329116788E-4</v>
      </c>
      <c r="Y221" s="42">
        <f>DSUM($B$148:$Y$200,Y$148,$C$209:$D221)</f>
        <v>58.88360357245503</v>
      </c>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row>
    <row r="222" spans="2:79">
      <c r="B222" s="7" t="s">
        <v>73</v>
      </c>
      <c r="C222" s="45" t="s">
        <v>74</v>
      </c>
      <c r="D222" s="45" t="s">
        <v>75</v>
      </c>
      <c r="E222" s="42">
        <f>DSUM($B$148:$Y$200,E$148,$C$209:$D222)</f>
        <v>5.5204495063994568</v>
      </c>
      <c r="F222" s="42">
        <f>DSUM($B$148:$Y$200,F$148,$C$209:$D222)</f>
        <v>5.5510611657103182</v>
      </c>
      <c r="G222" s="42">
        <f>DSUM($B$148:$Y$200,G$148,$C$209:$D222)</f>
        <v>5.5823370180940497</v>
      </c>
      <c r="H222" s="42">
        <f>DSUM($B$148:$Y$200,H$148,$C$209:$D222)</f>
        <v>5.6173528865177467</v>
      </c>
      <c r="I222" s="42">
        <f>DSUM($B$148:$Y$200,I$148,$C$209:$D222)</f>
        <v>5.6773838007811355</v>
      </c>
      <c r="J222" s="42">
        <f>DSUM($B$148:$Y$200,J$148,$C$209:$D222)</f>
        <v>5.1460807739462169</v>
      </c>
      <c r="K222" s="42">
        <f>DSUM($B$148:$Y$200,K$148,$C$209:$D222)</f>
        <v>4.1462097437469998</v>
      </c>
      <c r="L222" s="42">
        <f>DSUM($B$148:$Y$200,L$148,$C$209:$D222)</f>
        <v>3.3420242813765459</v>
      </c>
      <c r="M222" s="42">
        <f>DSUM($B$148:$Y$200,M$148,$C$209:$D222)</f>
        <v>2.6931469923940883</v>
      </c>
      <c r="N222" s="42">
        <f>DSUM($B$148:$Y$200,N$148,$C$209:$D222)</f>
        <v>2.1807874753782839</v>
      </c>
      <c r="O222" s="42">
        <f>DSUM($B$148:$Y$200,O$148,$C$209:$D222)</f>
        <v>1.7574760897641901</v>
      </c>
      <c r="P222" s="42">
        <f>DSUM($B$148:$Y$200,P$148,$C$209:$D222)</f>
        <v>1.4162702594166297</v>
      </c>
      <c r="Q222" s="42">
        <f>DSUM($B$148:$Y$200,Q$148,$C$209:$D222)</f>
        <v>1.1411652206191272</v>
      </c>
      <c r="R222" s="42">
        <f>DSUM($B$148:$Y$200,R$148,$C$209:$D222)</f>
        <v>0.91965825691867764</v>
      </c>
      <c r="S222" s="42">
        <f>DSUM($B$148:$Y$200,S$148,$C$209:$D222)</f>
        <v>0.74432418682839818</v>
      </c>
      <c r="T222" s="42">
        <f>DSUM($B$148:$Y$200,T$148,$C$209:$D222)</f>
        <v>0.60009070876213455</v>
      </c>
      <c r="U222" s="42">
        <f>DSUM($B$148:$Y$200,U$148,$C$209:$D222)</f>
        <v>4.1261797931495398E-3</v>
      </c>
      <c r="V222" s="42">
        <f>DSUM($B$148:$Y$200,V$148,$C$209:$D222)</f>
        <v>1.4855304660903576E-3</v>
      </c>
      <c r="W222" s="42">
        <f>DSUM($B$148:$Y$200,W$148,$C$209:$D222)</f>
        <v>5.1036345179810338E-4</v>
      </c>
      <c r="X222" s="42">
        <f>DSUM($B$148:$Y$200,X$148,$C$209:$D222)</f>
        <v>1.6853899329116788E-4</v>
      </c>
      <c r="Y222" s="42">
        <f>DSUM($B$148:$Y$200,Y$148,$C$209:$D222)</f>
        <v>58.88360357245503</v>
      </c>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row>
    <row r="223" spans="2:79">
      <c r="B223" s="7" t="s">
        <v>76</v>
      </c>
      <c r="C223" s="45" t="s">
        <v>77</v>
      </c>
      <c r="D223" s="45" t="s">
        <v>78</v>
      </c>
      <c r="E223" s="42">
        <f>DSUM($B$148:$Y$200,E$148,$C$209:$D223)</f>
        <v>5.5751669585031394</v>
      </c>
      <c r="F223" s="42">
        <f>DSUM($B$148:$Y$200,F$148,$C$209:$D223)</f>
        <v>5.6057854597390451</v>
      </c>
      <c r="G223" s="42">
        <f>DSUM($B$148:$Y$200,G$148,$C$209:$D223)</f>
        <v>5.6370708209501723</v>
      </c>
      <c r="H223" s="42">
        <f>DSUM($B$148:$Y$200,H$148,$C$209:$D223)</f>
        <v>5.6721201924424056</v>
      </c>
      <c r="I223" s="42">
        <f>DSUM($B$148:$Y$200,I$148,$C$209:$D223)</f>
        <v>5.7321993717564537</v>
      </c>
      <c r="J223" s="42">
        <f>DSUM($B$148:$Y$200,J$148,$C$209:$D223)</f>
        <v>5.1954700516490737</v>
      </c>
      <c r="K223" s="42">
        <f>DSUM($B$148:$Y$200,K$148,$C$209:$D223)</f>
        <v>4.1857714160119155</v>
      </c>
      <c r="L223" s="42">
        <f>DSUM($B$148:$Y$200,L$148,$C$209:$D223)</f>
        <v>3.3737192089281591</v>
      </c>
      <c r="M223" s="42">
        <f>DSUM($B$148:$Y$200,M$148,$C$209:$D223)</f>
        <v>2.7185431854628472</v>
      </c>
      <c r="N223" s="42">
        <f>DSUM($B$148:$Y$200,N$148,$C$209:$D223)</f>
        <v>2.2011393844148266</v>
      </c>
      <c r="O223" s="42">
        <f>DSUM($B$148:$Y$200,O$148,$C$209:$D223)</f>
        <v>1.773787394360048</v>
      </c>
      <c r="P223" s="42">
        <f>DSUM($B$148:$Y$200,P$148,$C$209:$D223)</f>
        <v>1.4293445889295617</v>
      </c>
      <c r="Q223" s="42">
        <f>DSUM($B$148:$Y$200,Q$148,$C$209:$D223)</f>
        <v>1.1516459338002512</v>
      </c>
      <c r="R223" s="42">
        <f>DSUM($B$148:$Y$200,R$148,$C$209:$D223)</f>
        <v>0.92806067049632202</v>
      </c>
      <c r="S223" s="42">
        <f>DSUM($B$148:$Y$200,S$148,$C$209:$D223)</f>
        <v>0.75106099101974355</v>
      </c>
      <c r="T223" s="42">
        <f>DSUM($B$148:$Y$200,T$148,$C$209:$D223)</f>
        <v>0.60549232052190016</v>
      </c>
      <c r="U223" s="42">
        <f>DSUM($B$148:$Y$200,U$148,$C$209:$D223)</f>
        <v>4.1631093779678123E-3</v>
      </c>
      <c r="V223" s="42">
        <f>DSUM($B$148:$Y$200,V$148,$C$209:$D223)</f>
        <v>1.4987514482626737E-3</v>
      </c>
      <c r="W223" s="42">
        <f>DSUM($B$148:$Y$200,W$148,$C$209:$D223)</f>
        <v>5.1488180432671105E-4</v>
      </c>
      <c r="X223" s="42">
        <f>DSUM($B$148:$Y$200,X$148,$C$209:$D223)</f>
        <v>1.7001610325650599E-4</v>
      </c>
      <c r="Y223" s="42">
        <f>DSUM($B$148:$Y$200,Y$148,$C$209:$D223)</f>
        <v>59.39967143267792</v>
      </c>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row>
    <row r="224" spans="2:79">
      <c r="B224" s="7" t="s">
        <v>79</v>
      </c>
      <c r="C224" s="45" t="s">
        <v>80</v>
      </c>
      <c r="D224" s="45" t="s">
        <v>81</v>
      </c>
      <c r="E224" s="42">
        <f>DSUM($B$148:$Y$200,E$148,$C$209:$D224)</f>
        <v>5.5761371662345471</v>
      </c>
      <c r="F224" s="42">
        <f>DSUM($B$148:$Y$200,F$148,$C$209:$D224)</f>
        <v>5.6067661925190047</v>
      </c>
      <c r="G224" s="42">
        <f>DSUM($B$148:$Y$200,G$148,$C$209:$D224)</f>
        <v>5.6380619423152538</v>
      </c>
      <c r="H224" s="42">
        <f>DSUM($B$148:$Y$200,H$148,$C$209:$D224)</f>
        <v>5.6731219706537228</v>
      </c>
      <c r="I224" s="42">
        <f>DSUM($B$148:$Y$200,I$148,$C$209:$D224)</f>
        <v>5.7332119275969751</v>
      </c>
      <c r="J224" s="42">
        <f>DSUM($B$148:$Y$200,J$148,$C$209:$D224)</f>
        <v>5.196388329494309</v>
      </c>
      <c r="K224" s="42">
        <f>DSUM($B$148:$Y$200,K$148,$C$209:$D224)</f>
        <v>4.1865116605043555</v>
      </c>
      <c r="L224" s="42">
        <f>DSUM($B$148:$Y$200,L$148,$C$209:$D224)</f>
        <v>3.3743160968241619</v>
      </c>
      <c r="M224" s="42">
        <f>DSUM($B$148:$Y$200,M$148,$C$209:$D224)</f>
        <v>2.7190245855335098</v>
      </c>
      <c r="N224" s="42">
        <f>DSUM($B$148:$Y$200,N$148,$C$209:$D224)</f>
        <v>2.201527713016084</v>
      </c>
      <c r="O224" s="42">
        <f>DSUM($B$148:$Y$200,O$148,$C$209:$D224)</f>
        <v>1.7741006889776805</v>
      </c>
      <c r="P224" s="42">
        <f>DSUM($B$148:$Y$200,P$148,$C$209:$D224)</f>
        <v>1.4295973785583749</v>
      </c>
      <c r="Q224" s="42">
        <f>DSUM($B$148:$Y$200,Q$148,$C$209:$D224)</f>
        <v>1.1518499222098766</v>
      </c>
      <c r="R224" s="42">
        <f>DSUM($B$148:$Y$200,R$148,$C$209:$D224)</f>
        <v>0.92822529209338911</v>
      </c>
      <c r="S224" s="42">
        <f>DSUM($B$148:$Y$200,S$148,$C$209:$D224)</f>
        <v>0.75119385081386625</v>
      </c>
      <c r="T224" s="42">
        <f>DSUM($B$148:$Y$200,T$148,$C$209:$D224)</f>
        <v>0.6055995474693876</v>
      </c>
      <c r="U224" s="42">
        <f>DSUM($B$148:$Y$200,U$148,$C$209:$D224)</f>
        <v>4.1638472434152845E-3</v>
      </c>
      <c r="V224" s="42">
        <f>DSUM($B$148:$Y$200,V$148,$C$209:$D224)</f>
        <v>1.4990173164428585E-3</v>
      </c>
      <c r="W224" s="42">
        <f>DSUM($B$148:$Y$200,W$148,$C$209:$D224)</f>
        <v>5.149732489512052E-4</v>
      </c>
      <c r="X224" s="42">
        <f>DSUM($B$148:$Y$200,X$148,$C$209:$D224)</f>
        <v>1.7004618758949594E-4</v>
      </c>
      <c r="Y224" s="42">
        <f>DSUM($B$148:$Y$200,Y$148,$C$209:$D224)</f>
        <v>59.410182198779751</v>
      </c>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row>
    <row r="225" spans="2:79">
      <c r="B225" s="7" t="s">
        <v>82</v>
      </c>
      <c r="C225" s="45" t="s">
        <v>83</v>
      </c>
      <c r="D225" s="45" t="s">
        <v>84</v>
      </c>
      <c r="E225" s="42">
        <f>DSUM($B$148:$Y$200,E$148,$C$209:$D225)</f>
        <v>5.5761371662345471</v>
      </c>
      <c r="F225" s="42">
        <f>DSUM($B$148:$Y$200,F$148,$C$209:$D225)</f>
        <v>5.6067661925190047</v>
      </c>
      <c r="G225" s="42">
        <f>DSUM($B$148:$Y$200,G$148,$C$209:$D225)</f>
        <v>5.6380619423152538</v>
      </c>
      <c r="H225" s="42">
        <f>DSUM($B$148:$Y$200,H$148,$C$209:$D225)</f>
        <v>5.6731219706537228</v>
      </c>
      <c r="I225" s="42">
        <f>DSUM($B$148:$Y$200,I$148,$C$209:$D225)</f>
        <v>5.7332119275969751</v>
      </c>
      <c r="J225" s="42">
        <f>DSUM($B$148:$Y$200,J$148,$C$209:$D225)</f>
        <v>5.196388329494309</v>
      </c>
      <c r="K225" s="42">
        <f>DSUM($B$148:$Y$200,K$148,$C$209:$D225)</f>
        <v>4.1865116605043555</v>
      </c>
      <c r="L225" s="42">
        <f>DSUM($B$148:$Y$200,L$148,$C$209:$D225)</f>
        <v>3.3743160968241619</v>
      </c>
      <c r="M225" s="42">
        <f>DSUM($B$148:$Y$200,M$148,$C$209:$D225)</f>
        <v>2.7190245855335098</v>
      </c>
      <c r="N225" s="42">
        <f>DSUM($B$148:$Y$200,N$148,$C$209:$D225)</f>
        <v>2.201527713016084</v>
      </c>
      <c r="O225" s="42">
        <f>DSUM($B$148:$Y$200,O$148,$C$209:$D225)</f>
        <v>1.7741006889776805</v>
      </c>
      <c r="P225" s="42">
        <f>DSUM($B$148:$Y$200,P$148,$C$209:$D225)</f>
        <v>1.4295973785583749</v>
      </c>
      <c r="Q225" s="42">
        <f>DSUM($B$148:$Y$200,Q$148,$C$209:$D225)</f>
        <v>1.1518499222098766</v>
      </c>
      <c r="R225" s="42">
        <f>DSUM($B$148:$Y$200,R$148,$C$209:$D225)</f>
        <v>0.92822529209338911</v>
      </c>
      <c r="S225" s="42">
        <f>DSUM($B$148:$Y$200,S$148,$C$209:$D225)</f>
        <v>0.75119385081386625</v>
      </c>
      <c r="T225" s="42">
        <f>DSUM($B$148:$Y$200,T$148,$C$209:$D225)</f>
        <v>0.6055995474693876</v>
      </c>
      <c r="U225" s="42">
        <f>DSUM($B$148:$Y$200,U$148,$C$209:$D225)</f>
        <v>4.1638472434152845E-3</v>
      </c>
      <c r="V225" s="42">
        <f>DSUM($B$148:$Y$200,V$148,$C$209:$D225)</f>
        <v>1.4990173164428585E-3</v>
      </c>
      <c r="W225" s="42">
        <f>DSUM($B$148:$Y$200,W$148,$C$209:$D225)</f>
        <v>5.149732489512052E-4</v>
      </c>
      <c r="X225" s="42">
        <f>DSUM($B$148:$Y$200,X$148,$C$209:$D225)</f>
        <v>1.7004618758949594E-4</v>
      </c>
      <c r="Y225" s="42">
        <f>DSUM($B$148:$Y$200,Y$148,$C$209:$D225)</f>
        <v>59.410182198779751</v>
      </c>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row>
    <row r="226" spans="2:79">
      <c r="B226" s="7" t="s">
        <v>85</v>
      </c>
      <c r="C226" s="45" t="s">
        <v>86</v>
      </c>
      <c r="D226" s="45" t="s">
        <v>87</v>
      </c>
      <c r="E226" s="42">
        <f>DSUM($B$148:$Y$200,E$148,$C$209:$D226)</f>
        <v>5.5761371662345471</v>
      </c>
      <c r="F226" s="42">
        <f>DSUM($B$148:$Y$200,F$148,$C$209:$D226)</f>
        <v>5.6067661925190047</v>
      </c>
      <c r="G226" s="42">
        <f>DSUM($B$148:$Y$200,G$148,$C$209:$D226)</f>
        <v>5.6380619423152538</v>
      </c>
      <c r="H226" s="42">
        <f>DSUM($B$148:$Y$200,H$148,$C$209:$D226)</f>
        <v>5.6731219706537228</v>
      </c>
      <c r="I226" s="42">
        <f>DSUM($B$148:$Y$200,I$148,$C$209:$D226)</f>
        <v>5.7332119275969751</v>
      </c>
      <c r="J226" s="42">
        <f>DSUM($B$148:$Y$200,J$148,$C$209:$D226)</f>
        <v>5.196388329494309</v>
      </c>
      <c r="K226" s="42">
        <f>DSUM($B$148:$Y$200,K$148,$C$209:$D226)</f>
        <v>4.1865116605043555</v>
      </c>
      <c r="L226" s="42">
        <f>DSUM($B$148:$Y$200,L$148,$C$209:$D226)</f>
        <v>3.3743160968241619</v>
      </c>
      <c r="M226" s="42">
        <f>DSUM($B$148:$Y$200,M$148,$C$209:$D226)</f>
        <v>2.7190245855335098</v>
      </c>
      <c r="N226" s="42">
        <f>DSUM($B$148:$Y$200,N$148,$C$209:$D226)</f>
        <v>2.201527713016084</v>
      </c>
      <c r="O226" s="42">
        <f>DSUM($B$148:$Y$200,O$148,$C$209:$D226)</f>
        <v>1.7741006889776805</v>
      </c>
      <c r="P226" s="42">
        <f>DSUM($B$148:$Y$200,P$148,$C$209:$D226)</f>
        <v>1.4295973785583749</v>
      </c>
      <c r="Q226" s="42">
        <f>DSUM($B$148:$Y$200,Q$148,$C$209:$D226)</f>
        <v>1.1518499222098766</v>
      </c>
      <c r="R226" s="42">
        <f>DSUM($B$148:$Y$200,R$148,$C$209:$D226)</f>
        <v>0.92822529209338911</v>
      </c>
      <c r="S226" s="42">
        <f>DSUM($B$148:$Y$200,S$148,$C$209:$D226)</f>
        <v>0.75119385081386625</v>
      </c>
      <c r="T226" s="42">
        <f>DSUM($B$148:$Y$200,T$148,$C$209:$D226)</f>
        <v>0.6055995474693876</v>
      </c>
      <c r="U226" s="42">
        <f>DSUM($B$148:$Y$200,U$148,$C$209:$D226)</f>
        <v>4.1638472434152845E-3</v>
      </c>
      <c r="V226" s="42">
        <f>DSUM($B$148:$Y$200,V$148,$C$209:$D226)</f>
        <v>1.4990173164428585E-3</v>
      </c>
      <c r="W226" s="42">
        <f>DSUM($B$148:$Y$200,W$148,$C$209:$D226)</f>
        <v>5.149732489512052E-4</v>
      </c>
      <c r="X226" s="42">
        <f>DSUM($B$148:$Y$200,X$148,$C$209:$D226)</f>
        <v>1.7004618758949594E-4</v>
      </c>
      <c r="Y226" s="42">
        <f>DSUM($B$148:$Y$200,Y$148,$C$209:$D226)</f>
        <v>59.410182198779751</v>
      </c>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row>
    <row r="227" spans="2:79">
      <c r="B227" s="7" t="s">
        <v>88</v>
      </c>
      <c r="C227" s="45" t="s">
        <v>89</v>
      </c>
      <c r="D227" s="45" t="s">
        <v>90</v>
      </c>
      <c r="E227" s="42">
        <f>DSUM($B$148:$Y$200,E$148,$C$209:$D227)</f>
        <v>5.5761371662345471</v>
      </c>
      <c r="F227" s="42">
        <f>DSUM($B$148:$Y$200,F$148,$C$209:$D227)</f>
        <v>5.6067661925190047</v>
      </c>
      <c r="G227" s="42">
        <f>DSUM($B$148:$Y$200,G$148,$C$209:$D227)</f>
        <v>5.6380619423152538</v>
      </c>
      <c r="H227" s="42">
        <f>DSUM($B$148:$Y$200,H$148,$C$209:$D227)</f>
        <v>5.6731219706537228</v>
      </c>
      <c r="I227" s="42">
        <f>DSUM($B$148:$Y$200,I$148,$C$209:$D227)</f>
        <v>5.7332119275969751</v>
      </c>
      <c r="J227" s="42">
        <f>DSUM($B$148:$Y$200,J$148,$C$209:$D227)</f>
        <v>5.196388329494309</v>
      </c>
      <c r="K227" s="42">
        <f>DSUM($B$148:$Y$200,K$148,$C$209:$D227)</f>
        <v>4.1865116605043555</v>
      </c>
      <c r="L227" s="42">
        <f>DSUM($B$148:$Y$200,L$148,$C$209:$D227)</f>
        <v>3.3743160968241619</v>
      </c>
      <c r="M227" s="42">
        <f>DSUM($B$148:$Y$200,M$148,$C$209:$D227)</f>
        <v>2.7190245855335098</v>
      </c>
      <c r="N227" s="42">
        <f>DSUM($B$148:$Y$200,N$148,$C$209:$D227)</f>
        <v>2.201527713016084</v>
      </c>
      <c r="O227" s="42">
        <f>DSUM($B$148:$Y$200,O$148,$C$209:$D227)</f>
        <v>1.7741006889776805</v>
      </c>
      <c r="P227" s="42">
        <f>DSUM($B$148:$Y$200,P$148,$C$209:$D227)</f>
        <v>1.4295973785583749</v>
      </c>
      <c r="Q227" s="42">
        <f>DSUM($B$148:$Y$200,Q$148,$C$209:$D227)</f>
        <v>1.1518499222098766</v>
      </c>
      <c r="R227" s="42">
        <f>DSUM($B$148:$Y$200,R$148,$C$209:$D227)</f>
        <v>0.92822529209338911</v>
      </c>
      <c r="S227" s="42">
        <f>DSUM($B$148:$Y$200,S$148,$C$209:$D227)</f>
        <v>0.75119385081386625</v>
      </c>
      <c r="T227" s="42">
        <f>DSUM($B$148:$Y$200,T$148,$C$209:$D227)</f>
        <v>0.6055995474693876</v>
      </c>
      <c r="U227" s="42">
        <f>DSUM($B$148:$Y$200,U$148,$C$209:$D227)</f>
        <v>4.1638472434152845E-3</v>
      </c>
      <c r="V227" s="42">
        <f>DSUM($B$148:$Y$200,V$148,$C$209:$D227)</f>
        <v>1.4990173164428585E-3</v>
      </c>
      <c r="W227" s="42">
        <f>DSUM($B$148:$Y$200,W$148,$C$209:$D227)</f>
        <v>5.149732489512052E-4</v>
      </c>
      <c r="X227" s="42">
        <f>DSUM($B$148:$Y$200,X$148,$C$209:$D227)</f>
        <v>1.7004618758949594E-4</v>
      </c>
      <c r="Y227" s="42">
        <f>DSUM($B$148:$Y$200,Y$148,$C$209:$D227)</f>
        <v>59.410182198779751</v>
      </c>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row>
    <row r="228" spans="2:79">
      <c r="B228" s="7" t="s">
        <v>91</v>
      </c>
      <c r="C228" s="45" t="s">
        <v>92</v>
      </c>
      <c r="D228" s="45" t="s">
        <v>93</v>
      </c>
      <c r="E228" s="42">
        <f>DSUM($B$148:$Y$200,E$148,$C$209:$D228)</f>
        <v>5.5761371662345471</v>
      </c>
      <c r="F228" s="42">
        <f>DSUM($B$148:$Y$200,F$148,$C$209:$D228)</f>
        <v>5.6067661925190047</v>
      </c>
      <c r="G228" s="42">
        <f>DSUM($B$148:$Y$200,G$148,$C$209:$D228)</f>
        <v>5.6380619423152538</v>
      </c>
      <c r="H228" s="42">
        <f>DSUM($B$148:$Y$200,H$148,$C$209:$D228)</f>
        <v>5.6731219706537228</v>
      </c>
      <c r="I228" s="42">
        <f>DSUM($B$148:$Y$200,I$148,$C$209:$D228)</f>
        <v>5.7332119275969751</v>
      </c>
      <c r="J228" s="42">
        <f>DSUM($B$148:$Y$200,J$148,$C$209:$D228)</f>
        <v>5.196388329494309</v>
      </c>
      <c r="K228" s="42">
        <f>DSUM($B$148:$Y$200,K$148,$C$209:$D228)</f>
        <v>4.1865116605043555</v>
      </c>
      <c r="L228" s="42">
        <f>DSUM($B$148:$Y$200,L$148,$C$209:$D228)</f>
        <v>3.3743160968241619</v>
      </c>
      <c r="M228" s="42">
        <f>DSUM($B$148:$Y$200,M$148,$C$209:$D228)</f>
        <v>2.7190245855335098</v>
      </c>
      <c r="N228" s="42">
        <f>DSUM($B$148:$Y$200,N$148,$C$209:$D228)</f>
        <v>2.201527713016084</v>
      </c>
      <c r="O228" s="42">
        <f>DSUM($B$148:$Y$200,O$148,$C$209:$D228)</f>
        <v>1.7741006889776805</v>
      </c>
      <c r="P228" s="42">
        <f>DSUM($B$148:$Y$200,P$148,$C$209:$D228)</f>
        <v>1.4295973785583749</v>
      </c>
      <c r="Q228" s="42">
        <f>DSUM($B$148:$Y$200,Q$148,$C$209:$D228)</f>
        <v>1.1518499222098766</v>
      </c>
      <c r="R228" s="42">
        <f>DSUM($B$148:$Y$200,R$148,$C$209:$D228)</f>
        <v>0.92822529209338911</v>
      </c>
      <c r="S228" s="42">
        <f>DSUM($B$148:$Y$200,S$148,$C$209:$D228)</f>
        <v>0.75119385081386625</v>
      </c>
      <c r="T228" s="42">
        <f>DSUM($B$148:$Y$200,T$148,$C$209:$D228)</f>
        <v>0.6055995474693876</v>
      </c>
      <c r="U228" s="42">
        <f>DSUM($B$148:$Y$200,U$148,$C$209:$D228)</f>
        <v>4.1638472434152845E-3</v>
      </c>
      <c r="V228" s="42">
        <f>DSUM($B$148:$Y$200,V$148,$C$209:$D228)</f>
        <v>1.4990173164428585E-3</v>
      </c>
      <c r="W228" s="42">
        <f>DSUM($B$148:$Y$200,W$148,$C$209:$D228)</f>
        <v>5.149732489512052E-4</v>
      </c>
      <c r="X228" s="42">
        <f>DSUM($B$148:$Y$200,X$148,$C$209:$D228)</f>
        <v>1.7004618758949594E-4</v>
      </c>
      <c r="Y228" s="42">
        <f>DSUM($B$148:$Y$200,Y$148,$C$209:$D228)</f>
        <v>59.410182198779751</v>
      </c>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row>
    <row r="229" spans="2:79">
      <c r="B229" s="7" t="s">
        <v>94</v>
      </c>
      <c r="C229" s="45" t="s">
        <v>95</v>
      </c>
      <c r="D229" s="45" t="s">
        <v>96</v>
      </c>
      <c r="E229" s="42">
        <f>DSUM($B$148:$Y$200,E$148,$C$209:$D229)</f>
        <v>5.5761371662345471</v>
      </c>
      <c r="F229" s="42">
        <f>DSUM($B$148:$Y$200,F$148,$C$209:$D229)</f>
        <v>5.6067661925190047</v>
      </c>
      <c r="G229" s="42">
        <f>DSUM($B$148:$Y$200,G$148,$C$209:$D229)</f>
        <v>5.6380619423152538</v>
      </c>
      <c r="H229" s="42">
        <f>DSUM($B$148:$Y$200,H$148,$C$209:$D229)</f>
        <v>5.6731219706537228</v>
      </c>
      <c r="I229" s="42">
        <f>DSUM($B$148:$Y$200,I$148,$C$209:$D229)</f>
        <v>5.7332119275969751</v>
      </c>
      <c r="J229" s="42">
        <f>DSUM($B$148:$Y$200,J$148,$C$209:$D229)</f>
        <v>5.196388329494309</v>
      </c>
      <c r="K229" s="42">
        <f>DSUM($B$148:$Y$200,K$148,$C$209:$D229)</f>
        <v>4.1865116605043555</v>
      </c>
      <c r="L229" s="42">
        <f>DSUM($B$148:$Y$200,L$148,$C$209:$D229)</f>
        <v>3.3743160968241619</v>
      </c>
      <c r="M229" s="42">
        <f>DSUM($B$148:$Y$200,M$148,$C$209:$D229)</f>
        <v>2.7190245855335098</v>
      </c>
      <c r="N229" s="42">
        <f>DSUM($B$148:$Y$200,N$148,$C$209:$D229)</f>
        <v>2.201527713016084</v>
      </c>
      <c r="O229" s="42">
        <f>DSUM($B$148:$Y$200,O$148,$C$209:$D229)</f>
        <v>1.7741006889776805</v>
      </c>
      <c r="P229" s="42">
        <f>DSUM($B$148:$Y$200,P$148,$C$209:$D229)</f>
        <v>1.4295973785583749</v>
      </c>
      <c r="Q229" s="42">
        <f>DSUM($B$148:$Y$200,Q$148,$C$209:$D229)</f>
        <v>1.1518499222098766</v>
      </c>
      <c r="R229" s="42">
        <f>DSUM($B$148:$Y$200,R$148,$C$209:$D229)</f>
        <v>0.92822529209338911</v>
      </c>
      <c r="S229" s="42">
        <f>DSUM($B$148:$Y$200,S$148,$C$209:$D229)</f>
        <v>0.75119385081386625</v>
      </c>
      <c r="T229" s="42">
        <f>DSUM($B$148:$Y$200,T$148,$C$209:$D229)</f>
        <v>0.6055995474693876</v>
      </c>
      <c r="U229" s="42">
        <f>DSUM($B$148:$Y$200,U$148,$C$209:$D229)</f>
        <v>4.1638472434152845E-3</v>
      </c>
      <c r="V229" s="42">
        <f>DSUM($B$148:$Y$200,V$148,$C$209:$D229)</f>
        <v>1.4990173164428585E-3</v>
      </c>
      <c r="W229" s="42">
        <f>DSUM($B$148:$Y$200,W$148,$C$209:$D229)</f>
        <v>5.149732489512052E-4</v>
      </c>
      <c r="X229" s="42">
        <f>DSUM($B$148:$Y$200,X$148,$C$209:$D229)</f>
        <v>1.7004618758949594E-4</v>
      </c>
      <c r="Y229" s="42">
        <f>DSUM($B$148:$Y$200,Y$148,$C$209:$D229)</f>
        <v>59.410182198779751</v>
      </c>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row>
    <row r="230" spans="2:79">
      <c r="B230" s="7" t="s">
        <v>97</v>
      </c>
      <c r="C230" s="45" t="s">
        <v>98</v>
      </c>
      <c r="D230" s="45" t="s">
        <v>99</v>
      </c>
      <c r="E230" s="42">
        <f>DSUM($B$148:$Y$200,E$148,$C$209:$D230)</f>
        <v>5.5790373051382858</v>
      </c>
      <c r="F230" s="42">
        <f>DSUM($B$148:$Y$200,F$148,$C$209:$D230)</f>
        <v>5.6096977928322724</v>
      </c>
      <c r="G230" s="42">
        <f>DSUM($B$148:$Y$200,G$148,$C$209:$D230)</f>
        <v>5.6410245961224224</v>
      </c>
      <c r="H230" s="42">
        <f>DSUM($B$148:$Y$200,H$148,$C$209:$D230)</f>
        <v>5.6761164798392381</v>
      </c>
      <c r="I230" s="42">
        <f>DSUM($B$148:$Y$200,I$148,$C$209:$D230)</f>
        <v>5.736238653204528</v>
      </c>
      <c r="J230" s="42">
        <f>DSUM($B$148:$Y$200,J$148,$C$209:$D230)</f>
        <v>5.1991332399059624</v>
      </c>
      <c r="K230" s="42">
        <f>DSUM($B$148:$Y$200,K$148,$C$209:$D230)</f>
        <v>4.1887243947274566</v>
      </c>
      <c r="L230" s="42">
        <f>DSUM($B$148:$Y$200,L$148,$C$209:$D230)</f>
        <v>3.3761003104026854</v>
      </c>
      <c r="M230" s="42">
        <f>DSUM($B$148:$Y$200,M$148,$C$209:$D230)</f>
        <v>2.7204635836243254</v>
      </c>
      <c r="N230" s="42">
        <f>DSUM($B$148:$Y$200,N$148,$C$209:$D230)</f>
        <v>2.2026885024506386</v>
      </c>
      <c r="O230" s="42">
        <f>DSUM($B$148:$Y$200,O$148,$C$209:$D230)</f>
        <v>1.7750371872960453</v>
      </c>
      <c r="P230" s="42">
        <f>DSUM($B$148:$Y$200,P$148,$C$209:$D230)</f>
        <v>1.4303530157412685</v>
      </c>
      <c r="Q230" s="42">
        <f>DSUM($B$148:$Y$200,Q$148,$C$209:$D230)</f>
        <v>1.1524596830925355</v>
      </c>
      <c r="R230" s="42">
        <f>DSUM($B$148:$Y$200,R$148,$C$209:$D230)</f>
        <v>0.92871737794530962</v>
      </c>
      <c r="S230" s="42">
        <f>DSUM($B$148:$Y$200,S$148,$C$209:$D230)</f>
        <v>0.7515909944823862</v>
      </c>
      <c r="T230" s="42">
        <f>DSUM($B$148:$Y$200,T$148,$C$209:$D230)</f>
        <v>0.60592006959250666</v>
      </c>
      <c r="U230" s="42">
        <f>DSUM($B$148:$Y$200,U$148,$C$209:$D230)</f>
        <v>4.1660528662119944E-3</v>
      </c>
      <c r="V230" s="42">
        <f>DSUM($B$148:$Y$200,V$148,$C$209:$D230)</f>
        <v>1.4998120479499972E-3</v>
      </c>
      <c r="W230" s="42">
        <f>DSUM($B$148:$Y$200,W$148,$C$209:$D230)</f>
        <v>5.1524659465279859E-4</v>
      </c>
      <c r="X230" s="42">
        <f>DSUM($B$148:$Y$200,X$148,$C$209:$D230)</f>
        <v>1.7013611549016364E-4</v>
      </c>
      <c r="Y230" s="42">
        <f>DSUM($B$148:$Y$200,Y$148,$C$209:$D230)</f>
        <v>59.441600915301166</v>
      </c>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row>
    <row r="231" spans="2:79">
      <c r="B231" s="7" t="s">
        <v>1557</v>
      </c>
      <c r="C231" s="45" t="s">
        <v>101</v>
      </c>
      <c r="D231" s="45" t="s">
        <v>1558</v>
      </c>
      <c r="E231" s="42">
        <f>DSUM($B$148:$Y$200,E$148,$C$209:$D231)</f>
        <v>5.5790373051382858</v>
      </c>
      <c r="F231" s="42">
        <f>DSUM($B$148:$Y$200,F$148,$C$209:$D231)</f>
        <v>5.6096977928322724</v>
      </c>
      <c r="G231" s="42">
        <f>DSUM($B$148:$Y$200,G$148,$C$209:$D231)</f>
        <v>5.6410245961224224</v>
      </c>
      <c r="H231" s="42">
        <f>DSUM($B$148:$Y$200,H$148,$C$209:$D231)</f>
        <v>5.6761164798392381</v>
      </c>
      <c r="I231" s="42">
        <f>DSUM($B$148:$Y$200,I$148,$C$209:$D231)</f>
        <v>5.736238653204528</v>
      </c>
      <c r="J231" s="42">
        <f>DSUM($B$148:$Y$200,J$148,$C$209:$D231)</f>
        <v>5.1991332399059624</v>
      </c>
      <c r="K231" s="42">
        <f>DSUM($B$148:$Y$200,K$148,$C$209:$D231)</f>
        <v>4.1887243947274566</v>
      </c>
      <c r="L231" s="42">
        <f>DSUM($B$148:$Y$200,L$148,$C$209:$D231)</f>
        <v>3.3761003104026854</v>
      </c>
      <c r="M231" s="42">
        <f>DSUM($B$148:$Y$200,M$148,$C$209:$D231)</f>
        <v>2.7204635836243254</v>
      </c>
      <c r="N231" s="42">
        <f>DSUM($B$148:$Y$200,N$148,$C$209:$D231)</f>
        <v>2.2026885024506386</v>
      </c>
      <c r="O231" s="42">
        <f>DSUM($B$148:$Y$200,O$148,$C$209:$D231)</f>
        <v>1.7750371872960453</v>
      </c>
      <c r="P231" s="42">
        <f>DSUM($B$148:$Y$200,P$148,$C$209:$D231)</f>
        <v>1.4303530157412685</v>
      </c>
      <c r="Q231" s="42">
        <f>DSUM($B$148:$Y$200,Q$148,$C$209:$D231)</f>
        <v>1.1524596830925355</v>
      </c>
      <c r="R231" s="42">
        <f>DSUM($B$148:$Y$200,R$148,$C$209:$D231)</f>
        <v>0.92871737794530962</v>
      </c>
      <c r="S231" s="42">
        <f>DSUM($B$148:$Y$200,S$148,$C$209:$D231)</f>
        <v>0.7515909944823862</v>
      </c>
      <c r="T231" s="42">
        <f>DSUM($B$148:$Y$200,T$148,$C$209:$D231)</f>
        <v>0.60592006959250666</v>
      </c>
      <c r="U231" s="42">
        <f>DSUM($B$148:$Y$200,U$148,$C$209:$D231)</f>
        <v>4.1660528662119944E-3</v>
      </c>
      <c r="V231" s="42">
        <f>DSUM($B$148:$Y$200,V$148,$C$209:$D231)</f>
        <v>1.4998120479499972E-3</v>
      </c>
      <c r="W231" s="42">
        <f>DSUM($B$148:$Y$200,W$148,$C$209:$D231)</f>
        <v>5.1524659465279859E-4</v>
      </c>
      <c r="X231" s="42">
        <f>DSUM($B$148:$Y$200,X$148,$C$209:$D231)</f>
        <v>1.7013611549016364E-4</v>
      </c>
      <c r="Y231" s="42">
        <f>DSUM($B$148:$Y$200,Y$148,$C$209:$D231)</f>
        <v>59.441600915301166</v>
      </c>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row>
    <row r="232" spans="2:79">
      <c r="B232" s="7" t="s">
        <v>1559</v>
      </c>
      <c r="C232" s="45" t="s">
        <v>1560</v>
      </c>
      <c r="D232" s="45" t="s">
        <v>1561</v>
      </c>
      <c r="E232" s="42">
        <f>DSUM($B$148:$Y$200,E$148,$C$209:$D232)</f>
        <v>5.5993544700736857</v>
      </c>
      <c r="F232" s="42">
        <f>DSUM($B$148:$Y$200,F$148,$C$209:$D232)</f>
        <v>5.6302276141065812</v>
      </c>
      <c r="G232" s="42">
        <f>DSUM($B$148:$Y$200,G$148,$C$209:$D232)</f>
        <v>5.6617724943338805</v>
      </c>
      <c r="H232" s="42">
        <f>DSUM($B$148:$Y$200,H$148,$C$209:$D232)</f>
        <v>5.6970962329146744</v>
      </c>
      <c r="I232" s="42">
        <f>DSUM($B$148:$Y$200,I$148,$C$209:$D232)</f>
        <v>5.7576109810917888</v>
      </c>
      <c r="J232" s="42">
        <f>DSUM($B$148:$Y$200,J$148,$C$209:$D232)</f>
        <v>5.2186046612176451</v>
      </c>
      <c r="K232" s="42">
        <f>DSUM($B$148:$Y$200,K$148,$C$209:$D232)</f>
        <v>4.2044882658848524</v>
      </c>
      <c r="L232" s="42">
        <f>DSUM($B$148:$Y$200,L$148,$C$209:$D232)</f>
        <v>3.3888687650560914</v>
      </c>
      <c r="M232" s="42">
        <f>DSUM($B$148:$Y$200,M$148,$C$209:$D232)</f>
        <v>2.7308001180444594</v>
      </c>
      <c r="N232" s="42">
        <f>DSUM($B$148:$Y$200,N$148,$C$209:$D232)</f>
        <v>2.2111254033499139</v>
      </c>
      <c r="O232" s="42">
        <f>DSUM($B$148:$Y$200,O$148,$C$209:$D232)</f>
        <v>1.7818656015432093</v>
      </c>
      <c r="P232" s="42">
        <f>DSUM($B$148:$Y$200,P$148,$C$209:$D232)</f>
        <v>1.4358779319632633</v>
      </c>
      <c r="Q232" s="42">
        <f>DSUM($B$148:$Y$200,Q$148,$C$209:$D232)</f>
        <v>1.1569295445863814</v>
      </c>
      <c r="R232" s="42">
        <f>DSUM($B$148:$Y$200,R$148,$C$209:$D232)</f>
        <v>0.93233344394759265</v>
      </c>
      <c r="S232" s="42">
        <f>DSUM($B$148:$Y$200,S$148,$C$209:$D232)</f>
        <v>0.75453745591568511</v>
      </c>
      <c r="T232" s="42">
        <f>DSUM($B$148:$Y$200,T$148,$C$209:$D232)</f>
        <v>0.60830516960844006</v>
      </c>
      <c r="U232" s="42">
        <f>DSUM($B$148:$Y$200,U$148,$C$209:$D232)</f>
        <v>4.1825196695268766E-3</v>
      </c>
      <c r="V232" s="42">
        <f>DSUM($B$148:$Y$200,V$148,$C$209:$D232)</f>
        <v>1.5057641391787941E-3</v>
      </c>
      <c r="W232" s="42">
        <f>DSUM($B$148:$Y$200,W$148,$C$209:$D232)</f>
        <v>5.1729912740658141E-4</v>
      </c>
      <c r="X232" s="42">
        <f>DSUM($B$148:$Y$200,X$148,$C$209:$D232)</f>
        <v>1.7081853024499325E-4</v>
      </c>
      <c r="Y232" s="42">
        <f>DSUM($B$148:$Y$200,Y$148,$C$209:$D232)</f>
        <v>59.680020755782586</v>
      </c>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row>
    <row r="233" spans="2:79">
      <c r="B233" s="7" t="s">
        <v>1562</v>
      </c>
      <c r="C233" s="45" t="s">
        <v>1563</v>
      </c>
      <c r="D233" s="45" t="s">
        <v>1564</v>
      </c>
      <c r="E233" s="42">
        <f>DSUM($B$148:$Y$200,E$148,$C$209:$D233)</f>
        <v>5.5993544700736857</v>
      </c>
      <c r="F233" s="42">
        <f>DSUM($B$148:$Y$200,F$148,$C$209:$D233)</f>
        <v>5.6302276141065812</v>
      </c>
      <c r="G233" s="42">
        <f>DSUM($B$148:$Y$200,G$148,$C$209:$D233)</f>
        <v>5.6617724943338805</v>
      </c>
      <c r="H233" s="42">
        <f>DSUM($B$148:$Y$200,H$148,$C$209:$D233)</f>
        <v>5.6970962329146744</v>
      </c>
      <c r="I233" s="42">
        <f>DSUM($B$148:$Y$200,I$148,$C$209:$D233)</f>
        <v>5.7576109810917888</v>
      </c>
      <c r="J233" s="42">
        <f>DSUM($B$148:$Y$200,J$148,$C$209:$D233)</f>
        <v>5.2186046612176451</v>
      </c>
      <c r="K233" s="42">
        <f>DSUM($B$148:$Y$200,K$148,$C$209:$D233)</f>
        <v>4.2044882658848524</v>
      </c>
      <c r="L233" s="42">
        <f>DSUM($B$148:$Y$200,L$148,$C$209:$D233)</f>
        <v>3.3888687650560914</v>
      </c>
      <c r="M233" s="42">
        <f>DSUM($B$148:$Y$200,M$148,$C$209:$D233)</f>
        <v>2.7308001180444594</v>
      </c>
      <c r="N233" s="42">
        <f>DSUM($B$148:$Y$200,N$148,$C$209:$D233)</f>
        <v>2.2111254033499139</v>
      </c>
      <c r="O233" s="42">
        <f>DSUM($B$148:$Y$200,O$148,$C$209:$D233)</f>
        <v>1.7818656015432093</v>
      </c>
      <c r="P233" s="42">
        <f>DSUM($B$148:$Y$200,P$148,$C$209:$D233)</f>
        <v>1.4358779319632633</v>
      </c>
      <c r="Q233" s="42">
        <f>DSUM($B$148:$Y$200,Q$148,$C$209:$D233)</f>
        <v>1.1569295445863814</v>
      </c>
      <c r="R233" s="42">
        <f>DSUM($B$148:$Y$200,R$148,$C$209:$D233)</f>
        <v>0.93233344394759265</v>
      </c>
      <c r="S233" s="42">
        <f>DSUM($B$148:$Y$200,S$148,$C$209:$D233)</f>
        <v>0.75453745591568511</v>
      </c>
      <c r="T233" s="42">
        <f>DSUM($B$148:$Y$200,T$148,$C$209:$D233)</f>
        <v>0.60830516960844006</v>
      </c>
      <c r="U233" s="42">
        <f>DSUM($B$148:$Y$200,U$148,$C$209:$D233)</f>
        <v>4.1825196695268766E-3</v>
      </c>
      <c r="V233" s="42">
        <f>DSUM($B$148:$Y$200,V$148,$C$209:$D233)</f>
        <v>1.5057641391787941E-3</v>
      </c>
      <c r="W233" s="42">
        <f>DSUM($B$148:$Y$200,W$148,$C$209:$D233)</f>
        <v>5.1729912740658141E-4</v>
      </c>
      <c r="X233" s="42">
        <f>DSUM($B$148:$Y$200,X$148,$C$209:$D233)</f>
        <v>1.7081853024499325E-4</v>
      </c>
      <c r="Y233" s="42">
        <f>DSUM($B$148:$Y$200,Y$148,$C$209:$D233)</f>
        <v>59.680020755782586</v>
      </c>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row>
    <row r="234" spans="2:79">
      <c r="B234" s="7" t="s">
        <v>1565</v>
      </c>
      <c r="C234" s="45" t="s">
        <v>1566</v>
      </c>
      <c r="D234" s="45" t="s">
        <v>1567</v>
      </c>
      <c r="E234" s="42">
        <f>DSUM($B$148:$Y$200,E$148,$C$209:$D234)</f>
        <v>5.5993544700736857</v>
      </c>
      <c r="F234" s="42">
        <f>DSUM($B$148:$Y$200,F$148,$C$209:$D234)</f>
        <v>5.6302276141065812</v>
      </c>
      <c r="G234" s="42">
        <f>DSUM($B$148:$Y$200,G$148,$C$209:$D234)</f>
        <v>5.6617724943338805</v>
      </c>
      <c r="H234" s="42">
        <f>DSUM($B$148:$Y$200,H$148,$C$209:$D234)</f>
        <v>5.6970962329146744</v>
      </c>
      <c r="I234" s="42">
        <f>DSUM($B$148:$Y$200,I$148,$C$209:$D234)</f>
        <v>5.7576109810917888</v>
      </c>
      <c r="J234" s="42">
        <f>DSUM($B$148:$Y$200,J$148,$C$209:$D234)</f>
        <v>5.2186046612176451</v>
      </c>
      <c r="K234" s="42">
        <f>DSUM($B$148:$Y$200,K$148,$C$209:$D234)</f>
        <v>4.2044882658848524</v>
      </c>
      <c r="L234" s="42">
        <f>DSUM($B$148:$Y$200,L$148,$C$209:$D234)</f>
        <v>3.3888687650560914</v>
      </c>
      <c r="M234" s="42">
        <f>DSUM($B$148:$Y$200,M$148,$C$209:$D234)</f>
        <v>2.7308001180444594</v>
      </c>
      <c r="N234" s="42">
        <f>DSUM($B$148:$Y$200,N$148,$C$209:$D234)</f>
        <v>2.2111254033499139</v>
      </c>
      <c r="O234" s="42">
        <f>DSUM($B$148:$Y$200,O$148,$C$209:$D234)</f>
        <v>1.7818656015432093</v>
      </c>
      <c r="P234" s="42">
        <f>DSUM($B$148:$Y$200,P$148,$C$209:$D234)</f>
        <v>1.4358779319632633</v>
      </c>
      <c r="Q234" s="42">
        <f>DSUM($B$148:$Y$200,Q$148,$C$209:$D234)</f>
        <v>1.1569295445863814</v>
      </c>
      <c r="R234" s="42">
        <f>DSUM($B$148:$Y$200,R$148,$C$209:$D234)</f>
        <v>0.93233344394759265</v>
      </c>
      <c r="S234" s="42">
        <f>DSUM($B$148:$Y$200,S$148,$C$209:$D234)</f>
        <v>0.75453745591568511</v>
      </c>
      <c r="T234" s="42">
        <f>DSUM($B$148:$Y$200,T$148,$C$209:$D234)</f>
        <v>0.60830516960844006</v>
      </c>
      <c r="U234" s="42">
        <f>DSUM($B$148:$Y$200,U$148,$C$209:$D234)</f>
        <v>4.1825196695268766E-3</v>
      </c>
      <c r="V234" s="42">
        <f>DSUM($B$148:$Y$200,V$148,$C$209:$D234)</f>
        <v>1.5057641391787941E-3</v>
      </c>
      <c r="W234" s="42">
        <f>DSUM($B$148:$Y$200,W$148,$C$209:$D234)</f>
        <v>5.1729912740658141E-4</v>
      </c>
      <c r="X234" s="42">
        <f>DSUM($B$148:$Y$200,X$148,$C$209:$D234)</f>
        <v>1.7081853024499325E-4</v>
      </c>
      <c r="Y234" s="42">
        <f>DSUM($B$148:$Y$200,Y$148,$C$209:$D234)</f>
        <v>59.680020755782586</v>
      </c>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row>
    <row r="235" spans="2:79">
      <c r="B235" s="7" t="s">
        <v>1568</v>
      </c>
      <c r="C235" s="45" t="s">
        <v>1569</v>
      </c>
      <c r="D235" s="45" t="s">
        <v>1570</v>
      </c>
      <c r="E235" s="42">
        <f>DSUM($B$148:$Y$200,E$148,$C$209:$D235)</f>
        <v>5.5993544700736857</v>
      </c>
      <c r="F235" s="42">
        <f>DSUM($B$148:$Y$200,F$148,$C$209:$D235)</f>
        <v>5.6302276141065812</v>
      </c>
      <c r="G235" s="42">
        <f>DSUM($B$148:$Y$200,G$148,$C$209:$D235)</f>
        <v>5.6617724943338805</v>
      </c>
      <c r="H235" s="42">
        <f>DSUM($B$148:$Y$200,H$148,$C$209:$D235)</f>
        <v>5.6970962329146744</v>
      </c>
      <c r="I235" s="42">
        <f>DSUM($B$148:$Y$200,I$148,$C$209:$D235)</f>
        <v>5.7576109810917888</v>
      </c>
      <c r="J235" s="42">
        <f>DSUM($B$148:$Y$200,J$148,$C$209:$D235)</f>
        <v>5.2186046612176451</v>
      </c>
      <c r="K235" s="42">
        <f>DSUM($B$148:$Y$200,K$148,$C$209:$D235)</f>
        <v>4.2044882658848524</v>
      </c>
      <c r="L235" s="42">
        <f>DSUM($B$148:$Y$200,L$148,$C$209:$D235)</f>
        <v>3.3888687650560914</v>
      </c>
      <c r="M235" s="42">
        <f>DSUM($B$148:$Y$200,M$148,$C$209:$D235)</f>
        <v>2.7308001180444594</v>
      </c>
      <c r="N235" s="42">
        <f>DSUM($B$148:$Y$200,N$148,$C$209:$D235)</f>
        <v>2.2111254033499139</v>
      </c>
      <c r="O235" s="42">
        <f>DSUM($B$148:$Y$200,O$148,$C$209:$D235)</f>
        <v>1.7818656015432093</v>
      </c>
      <c r="P235" s="42">
        <f>DSUM($B$148:$Y$200,P$148,$C$209:$D235)</f>
        <v>1.4358779319632633</v>
      </c>
      <c r="Q235" s="42">
        <f>DSUM($B$148:$Y$200,Q$148,$C$209:$D235)</f>
        <v>1.1569295445863814</v>
      </c>
      <c r="R235" s="42">
        <f>DSUM($B$148:$Y$200,R$148,$C$209:$D235)</f>
        <v>0.93233344394759265</v>
      </c>
      <c r="S235" s="42">
        <f>DSUM($B$148:$Y$200,S$148,$C$209:$D235)</f>
        <v>0.75453745591568511</v>
      </c>
      <c r="T235" s="42">
        <f>DSUM($B$148:$Y$200,T$148,$C$209:$D235)</f>
        <v>0.60830516960844006</v>
      </c>
      <c r="U235" s="42">
        <f>DSUM($B$148:$Y$200,U$148,$C$209:$D235)</f>
        <v>4.1825196695268766E-3</v>
      </c>
      <c r="V235" s="42">
        <f>DSUM($B$148:$Y$200,V$148,$C$209:$D235)</f>
        <v>1.5057641391787941E-3</v>
      </c>
      <c r="W235" s="42">
        <f>DSUM($B$148:$Y$200,W$148,$C$209:$D235)</f>
        <v>5.1729912740658141E-4</v>
      </c>
      <c r="X235" s="42">
        <f>DSUM($B$148:$Y$200,X$148,$C$209:$D235)</f>
        <v>1.7081853024499325E-4</v>
      </c>
      <c r="Y235" s="42">
        <f>DSUM($B$148:$Y$200,Y$148,$C$209:$D235)</f>
        <v>59.680020755782586</v>
      </c>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row>
    <row r="236" spans="2:79">
      <c r="B236" s="7" t="s">
        <v>1571</v>
      </c>
      <c r="C236" s="45" t="s">
        <v>1572</v>
      </c>
      <c r="D236" s="45" t="s">
        <v>1573</v>
      </c>
      <c r="E236" s="42">
        <f>DSUM($B$148:$Y$200,E$148,$C$209:$D236)</f>
        <v>5.5993544700736857</v>
      </c>
      <c r="F236" s="42">
        <f>DSUM($B$148:$Y$200,F$148,$C$209:$D236)</f>
        <v>5.6302276141065812</v>
      </c>
      <c r="G236" s="42">
        <f>DSUM($B$148:$Y$200,G$148,$C$209:$D236)</f>
        <v>5.6617724943338805</v>
      </c>
      <c r="H236" s="42">
        <f>DSUM($B$148:$Y$200,H$148,$C$209:$D236)</f>
        <v>5.6970962329146744</v>
      </c>
      <c r="I236" s="42">
        <f>DSUM($B$148:$Y$200,I$148,$C$209:$D236)</f>
        <v>5.7576109810917888</v>
      </c>
      <c r="J236" s="42">
        <f>DSUM($B$148:$Y$200,J$148,$C$209:$D236)</f>
        <v>5.2186046612176451</v>
      </c>
      <c r="K236" s="42">
        <f>DSUM($B$148:$Y$200,K$148,$C$209:$D236)</f>
        <v>4.2044882658848524</v>
      </c>
      <c r="L236" s="42">
        <f>DSUM($B$148:$Y$200,L$148,$C$209:$D236)</f>
        <v>3.3888687650560914</v>
      </c>
      <c r="M236" s="42">
        <f>DSUM($B$148:$Y$200,M$148,$C$209:$D236)</f>
        <v>2.7308001180444594</v>
      </c>
      <c r="N236" s="42">
        <f>DSUM($B$148:$Y$200,N$148,$C$209:$D236)</f>
        <v>2.2111254033499139</v>
      </c>
      <c r="O236" s="42">
        <f>DSUM($B$148:$Y$200,O$148,$C$209:$D236)</f>
        <v>1.7818656015432093</v>
      </c>
      <c r="P236" s="42">
        <f>DSUM($B$148:$Y$200,P$148,$C$209:$D236)</f>
        <v>1.4358779319632633</v>
      </c>
      <c r="Q236" s="42">
        <f>DSUM($B$148:$Y$200,Q$148,$C$209:$D236)</f>
        <v>1.1569295445863814</v>
      </c>
      <c r="R236" s="42">
        <f>DSUM($B$148:$Y$200,R$148,$C$209:$D236)</f>
        <v>0.93233344394759265</v>
      </c>
      <c r="S236" s="42">
        <f>DSUM($B$148:$Y$200,S$148,$C$209:$D236)</f>
        <v>0.75453745591568511</v>
      </c>
      <c r="T236" s="42">
        <f>DSUM($B$148:$Y$200,T$148,$C$209:$D236)</f>
        <v>0.60830516960844006</v>
      </c>
      <c r="U236" s="42">
        <f>DSUM($B$148:$Y$200,U$148,$C$209:$D236)</f>
        <v>4.1825196695268766E-3</v>
      </c>
      <c r="V236" s="42">
        <f>DSUM($B$148:$Y$200,V$148,$C$209:$D236)</f>
        <v>1.5057641391787941E-3</v>
      </c>
      <c r="W236" s="42">
        <f>DSUM($B$148:$Y$200,W$148,$C$209:$D236)</f>
        <v>5.1729912740658141E-4</v>
      </c>
      <c r="X236" s="42">
        <f>DSUM($B$148:$Y$200,X$148,$C$209:$D236)</f>
        <v>1.7081853024499325E-4</v>
      </c>
      <c r="Y236" s="42">
        <f>DSUM($B$148:$Y$200,Y$148,$C$209:$D236)</f>
        <v>59.680020755782586</v>
      </c>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row>
    <row r="237" spans="2:79">
      <c r="B237" s="7" t="s">
        <v>1574</v>
      </c>
      <c r="C237" s="45" t="s">
        <v>1575</v>
      </c>
      <c r="D237" s="45" t="s">
        <v>1576</v>
      </c>
      <c r="E237" s="42">
        <f>DSUM($B$148:$Y$200,E$148,$C$209:$D237)</f>
        <v>5.5999374714062631</v>
      </c>
      <c r="F237" s="42">
        <f>DSUM($B$148:$Y$200,F$148,$C$209:$D237)</f>
        <v>5.6308169399788754</v>
      </c>
      <c r="G237" s="42">
        <f>DSUM($B$148:$Y$200,G$148,$C$209:$D237)</f>
        <v>5.6623680627445241</v>
      </c>
      <c r="H237" s="42">
        <f>DSUM($B$148:$Y$200,H$148,$C$209:$D237)</f>
        <v>5.6976982050627401</v>
      </c>
      <c r="I237" s="42">
        <f>DSUM($B$148:$Y$200,I$148,$C$209:$D237)</f>
        <v>5.7582194295561973</v>
      </c>
      <c r="J237" s="42">
        <f>DSUM($B$148:$Y$200,J$148,$C$209:$D237)</f>
        <v>5.2191564576939236</v>
      </c>
      <c r="K237" s="42">
        <f>DSUM($B$148:$Y$200,K$148,$C$209:$D237)</f>
        <v>4.204933081475942</v>
      </c>
      <c r="L237" s="42">
        <f>DSUM($B$148:$Y$200,L$148,$C$209:$D237)</f>
        <v>3.3892274371502249</v>
      </c>
      <c r="M237" s="42">
        <f>DSUM($B$148:$Y$200,M$148,$C$209:$D237)</f>
        <v>2.7310893930869207</v>
      </c>
      <c r="N237" s="42">
        <f>DSUM($B$148:$Y$200,N$148,$C$209:$D237)</f>
        <v>2.2113587514100073</v>
      </c>
      <c r="O237" s="42">
        <f>DSUM($B$148:$Y$200,O$148,$C$209:$D237)</f>
        <v>1.782053861411335</v>
      </c>
      <c r="P237" s="42">
        <f>DSUM($B$148:$Y$200,P$148,$C$209:$D237)</f>
        <v>1.4360298341649145</v>
      </c>
      <c r="Q237" s="42">
        <f>DSUM($B$148:$Y$200,Q$148,$C$209:$D237)</f>
        <v>1.1570521219590326</v>
      </c>
      <c r="R237" s="42">
        <f>DSUM($B$148:$Y$200,R$148,$C$209:$D237)</f>
        <v>0.93243236566028809</v>
      </c>
      <c r="S237" s="42">
        <f>DSUM($B$148:$Y$200,S$148,$C$209:$D237)</f>
        <v>0.75461729184618964</v>
      </c>
      <c r="T237" s="42">
        <f>DSUM($B$148:$Y$200,T$148,$C$209:$D237)</f>
        <v>0.60836960266875262</v>
      </c>
      <c r="U237" s="42">
        <f>DSUM($B$148:$Y$200,U$148,$C$209:$D237)</f>
        <v>4.1829630555412457E-3</v>
      </c>
      <c r="V237" s="42">
        <f>DSUM($B$148:$Y$200,V$148,$C$209:$D237)</f>
        <v>1.5059239003292362E-3</v>
      </c>
      <c r="W237" s="42">
        <f>DSUM($B$148:$Y$200,W$148,$C$209:$D237)</f>
        <v>5.1735407681196275E-4</v>
      </c>
      <c r="X237" s="42">
        <f>DSUM($B$148:$Y$200,X$148,$C$209:$D237)</f>
        <v>1.7083660802942548E-4</v>
      </c>
      <c r="Y237" s="42">
        <f>DSUM($B$148:$Y$200,Y$148,$C$209:$D237)</f>
        <v>59.686336713123893</v>
      </c>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row>
    <row r="238" spans="2:79">
      <c r="B238" s="7" t="s">
        <v>1577</v>
      </c>
      <c r="C238" s="45" t="s">
        <v>1578</v>
      </c>
      <c r="D238" s="45" t="s">
        <v>1579</v>
      </c>
      <c r="E238" s="42">
        <f>DSUM($B$148:$Y$200,E$148,$C$209:$D238)</f>
        <v>5.5999374714062631</v>
      </c>
      <c r="F238" s="42">
        <f>DSUM($B$148:$Y$200,F$148,$C$209:$D238)</f>
        <v>5.6308169399788754</v>
      </c>
      <c r="G238" s="42">
        <f>DSUM($B$148:$Y$200,G$148,$C$209:$D238)</f>
        <v>5.6623680627445241</v>
      </c>
      <c r="H238" s="42">
        <f>DSUM($B$148:$Y$200,H$148,$C$209:$D238)</f>
        <v>5.6976982050627401</v>
      </c>
      <c r="I238" s="42">
        <f>DSUM($B$148:$Y$200,I$148,$C$209:$D238)</f>
        <v>5.7582194295561973</v>
      </c>
      <c r="J238" s="42">
        <f>DSUM($B$148:$Y$200,J$148,$C$209:$D238)</f>
        <v>5.2191564576939236</v>
      </c>
      <c r="K238" s="42">
        <f>DSUM($B$148:$Y$200,K$148,$C$209:$D238)</f>
        <v>4.204933081475942</v>
      </c>
      <c r="L238" s="42">
        <f>DSUM($B$148:$Y$200,L$148,$C$209:$D238)</f>
        <v>3.3892274371502249</v>
      </c>
      <c r="M238" s="42">
        <f>DSUM($B$148:$Y$200,M$148,$C$209:$D238)</f>
        <v>2.7310893930869207</v>
      </c>
      <c r="N238" s="42">
        <f>DSUM($B$148:$Y$200,N$148,$C$209:$D238)</f>
        <v>2.2113587514100073</v>
      </c>
      <c r="O238" s="42">
        <f>DSUM($B$148:$Y$200,O$148,$C$209:$D238)</f>
        <v>1.782053861411335</v>
      </c>
      <c r="P238" s="42">
        <f>DSUM($B$148:$Y$200,P$148,$C$209:$D238)</f>
        <v>1.4360298341649145</v>
      </c>
      <c r="Q238" s="42">
        <f>DSUM($B$148:$Y$200,Q$148,$C$209:$D238)</f>
        <v>1.1570521219590326</v>
      </c>
      <c r="R238" s="42">
        <f>DSUM($B$148:$Y$200,R$148,$C$209:$D238)</f>
        <v>0.93243236566028809</v>
      </c>
      <c r="S238" s="42">
        <f>DSUM($B$148:$Y$200,S$148,$C$209:$D238)</f>
        <v>0.75461729184618964</v>
      </c>
      <c r="T238" s="42">
        <f>DSUM($B$148:$Y$200,T$148,$C$209:$D238)</f>
        <v>0.60836960266875262</v>
      </c>
      <c r="U238" s="42">
        <f>DSUM($B$148:$Y$200,U$148,$C$209:$D238)</f>
        <v>4.1829630555412457E-3</v>
      </c>
      <c r="V238" s="42">
        <f>DSUM($B$148:$Y$200,V$148,$C$209:$D238)</f>
        <v>1.5059239003292362E-3</v>
      </c>
      <c r="W238" s="42">
        <f>DSUM($B$148:$Y$200,W$148,$C$209:$D238)</f>
        <v>5.1735407681196275E-4</v>
      </c>
      <c r="X238" s="42">
        <f>DSUM($B$148:$Y$200,X$148,$C$209:$D238)</f>
        <v>1.7083660802942548E-4</v>
      </c>
      <c r="Y238" s="42">
        <f>DSUM($B$148:$Y$200,Y$148,$C$209:$D238)</f>
        <v>59.686336713123893</v>
      </c>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row>
    <row r="239" spans="2:79">
      <c r="B239" s="7" t="s">
        <v>1580</v>
      </c>
      <c r="C239" s="45" t="s">
        <v>1581</v>
      </c>
      <c r="D239" s="45" t="s">
        <v>1582</v>
      </c>
      <c r="E239" s="42">
        <f>DSUM($B$148:$Y$200,E$148,$C$209:$D239)</f>
        <v>5.6232561626429023</v>
      </c>
      <c r="F239" s="42">
        <f>DSUM($B$148:$Y$200,F$148,$C$209:$D239)</f>
        <v>5.6541444880580771</v>
      </c>
      <c r="G239" s="42">
        <f>DSUM($B$148:$Y$200,G$148,$C$209:$D239)</f>
        <v>5.685705499277188</v>
      </c>
      <c r="H239" s="42">
        <f>DSUM($B$148:$Y$200,H$148,$C$209:$D239)</f>
        <v>5.7210556658058236</v>
      </c>
      <c r="I239" s="42">
        <f>DSUM($B$148:$Y$200,I$148,$C$209:$D239)</f>
        <v>5.7816031250593181</v>
      </c>
      <c r="J239" s="42">
        <f>DSUM($B$148:$Y$200,J$148,$C$209:$D239)</f>
        <v>5.2402287601650626</v>
      </c>
      <c r="K239" s="42">
        <f>DSUM($B$148:$Y$200,K$148,$C$209:$D239)</f>
        <v>4.2218150400763275</v>
      </c>
      <c r="L239" s="42">
        <f>DSUM($B$148:$Y$200,L$148,$C$209:$D239)</f>
        <v>3.402754650728776</v>
      </c>
      <c r="M239" s="42">
        <f>DSUM($B$148:$Y$200,M$148,$C$209:$D239)</f>
        <v>2.7419301312346165</v>
      </c>
      <c r="N239" s="42">
        <f>DSUM($B$148:$Y$200,N$148,$C$209:$D239)</f>
        <v>2.2200477166747508</v>
      </c>
      <c r="O239" s="42">
        <f>DSUM($B$148:$Y$200,O$148,$C$209:$D239)</f>
        <v>1.7890189250545268</v>
      </c>
      <c r="P239" s="42">
        <f>DSUM($B$148:$Y$200,P$148,$C$209:$D239)</f>
        <v>1.4416136350054025</v>
      </c>
      <c r="Q239" s="42">
        <f>DSUM($B$148:$Y$200,Q$148,$C$209:$D239)</f>
        <v>1.1615290064720034</v>
      </c>
      <c r="R239" s="42">
        <f>DSUM($B$148:$Y$200,R$148,$C$209:$D239)</f>
        <v>0.93602211378553168</v>
      </c>
      <c r="S239" s="42">
        <f>DSUM($B$148:$Y$200,S$148,$C$209:$D239)</f>
        <v>0.75749594210262183</v>
      </c>
      <c r="T239" s="42">
        <f>DSUM($B$148:$Y$200,T$148,$C$209:$D239)</f>
        <v>0.61067812169891067</v>
      </c>
      <c r="U239" s="42">
        <f>DSUM($B$148:$Y$200,U$148,$C$209:$D239)</f>
        <v>4.1987486016631936E-3</v>
      </c>
      <c r="V239" s="42">
        <f>DSUM($B$148:$Y$200,V$148,$C$209:$D239)</f>
        <v>1.5115761830616148E-3</v>
      </c>
      <c r="W239" s="42">
        <f>DSUM($B$148:$Y$200,W$148,$C$209:$D239)</f>
        <v>5.1928611208988922E-4</v>
      </c>
      <c r="X239" s="42">
        <f>DSUM($B$148:$Y$200,X$148,$C$209:$D239)</f>
        <v>1.7146832466127993E-4</v>
      </c>
      <c r="Y239" s="42">
        <f>DSUM($B$148:$Y$200,Y$148,$C$209:$D239)</f>
        <v>59.907043808816468</v>
      </c>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row>
    <row r="240" spans="2:79">
      <c r="B240" s="7" t="s">
        <v>1583</v>
      </c>
      <c r="C240" s="45" t="s">
        <v>1584</v>
      </c>
      <c r="D240" s="45" t="s">
        <v>1585</v>
      </c>
      <c r="E240" s="42">
        <f>DSUM($B$148:$Y$200,E$148,$C$209:$D240)</f>
        <v>5.6308935548434329</v>
      </c>
      <c r="F240" s="42">
        <f>DSUM($B$148:$Y$200,F$148,$C$209:$D240)</f>
        <v>5.6618647325397378</v>
      </c>
      <c r="G240" s="42">
        <f>DSUM($B$148:$Y$200,G$148,$C$209:$D240)</f>
        <v>5.6935075218115498</v>
      </c>
      <c r="H240" s="42">
        <f>DSUM($B$148:$Y$200,H$148,$C$209:$D240)</f>
        <v>5.7289415781214021</v>
      </c>
      <c r="I240" s="42">
        <f>DSUM($B$148:$Y$200,I$148,$C$209:$D240)</f>
        <v>5.7895738779492891</v>
      </c>
      <c r="J240" s="42">
        <f>DSUM($B$148:$Y$200,J$148,$C$209:$D240)</f>
        <v>5.2474573647474498</v>
      </c>
      <c r="K240" s="42">
        <f>DSUM($B$148:$Y$200,K$148,$C$209:$D240)</f>
        <v>4.2276421813472442</v>
      </c>
      <c r="L240" s="42">
        <f>DSUM($B$148:$Y$200,L$148,$C$209:$D240)</f>
        <v>3.4074533011455324</v>
      </c>
      <c r="M240" s="42">
        <f>DSUM($B$148:$Y$200,M$148,$C$209:$D240)</f>
        <v>2.745719671377405</v>
      </c>
      <c r="N240" s="42">
        <f>DSUM($B$148:$Y$200,N$148,$C$209:$D240)</f>
        <v>2.2231046061783881</v>
      </c>
      <c r="O240" s="42">
        <f>DSUM($B$148:$Y$200,O$148,$C$209:$D240)</f>
        <v>1.7914851534628533</v>
      </c>
      <c r="P240" s="42">
        <f>DSUM($B$148:$Y$200,P$148,$C$209:$D240)</f>
        <v>1.4436035733216763</v>
      </c>
      <c r="Q240" s="42">
        <f>DSUM($B$148:$Y$200,Q$148,$C$209:$D240)</f>
        <v>1.1631347857687839</v>
      </c>
      <c r="R240" s="42">
        <f>DSUM($B$148:$Y$200,R$148,$C$209:$D240)</f>
        <v>0.93731800090411288</v>
      </c>
      <c r="S240" s="42">
        <f>DSUM($B$148:$Y$200,S$148,$C$209:$D240)</f>
        <v>0.75854180302760599</v>
      </c>
      <c r="T240" s="42">
        <f>DSUM($B$148:$Y$200,T$148,$C$209:$D240)</f>
        <v>0.61152220304965299</v>
      </c>
      <c r="U240" s="42">
        <f>DSUM($B$148:$Y$200,U$148,$C$209:$D240)</f>
        <v>4.2045570152957953E-3</v>
      </c>
      <c r="V240" s="42">
        <f>DSUM($B$148:$Y$200,V$148,$C$209:$D240)</f>
        <v>1.5136690746146075E-3</v>
      </c>
      <c r="W240" s="42">
        <f>DSUM($B$148:$Y$200,W$148,$C$209:$D240)</f>
        <v>5.2000595634517941E-4</v>
      </c>
      <c r="X240" s="42">
        <f>DSUM($B$148:$Y$200,X$148,$C$209:$D240)</f>
        <v>1.7170514595500646E-4</v>
      </c>
      <c r="Y240" s="42">
        <f>DSUM($B$148:$Y$200,Y$148,$C$209:$D240)</f>
        <v>59.989783659725731</v>
      </c>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row>
    <row r="241" spans="1:79">
      <c r="B241" s="7" t="s">
        <v>1586</v>
      </c>
      <c r="C241" s="45" t="s">
        <v>1587</v>
      </c>
      <c r="D241" s="45" t="s">
        <v>102</v>
      </c>
      <c r="E241" s="42">
        <f>DSUM($B$148:$Y$200,E$148,$C$209:$D241)</f>
        <v>5.633071043986198</v>
      </c>
      <c r="F241" s="42">
        <f>DSUM($B$148:$Y$200,F$148,$C$209:$D241)</f>
        <v>5.6640658436123283</v>
      </c>
      <c r="G241" s="42">
        <f>DSUM($B$148:$Y$200,G$148,$C$209:$D241)</f>
        <v>5.6957319485417894</v>
      </c>
      <c r="H241" s="42">
        <f>DSUM($B$148:$Y$200,H$148,$C$209:$D241)</f>
        <v>5.7311899225820646</v>
      </c>
      <c r="I241" s="42">
        <f>DSUM($B$148:$Y$200,I$148,$C$209:$D241)</f>
        <v>5.7918464112200532</v>
      </c>
      <c r="J241" s="42">
        <f>DSUM($B$148:$Y$200,J$148,$C$209:$D241)</f>
        <v>5.249518304867089</v>
      </c>
      <c r="K241" s="42">
        <f>DSUM($B$148:$Y$200,K$148,$C$209:$D241)</f>
        <v>4.2293035516838238</v>
      </c>
      <c r="L241" s="42">
        <f>DSUM($B$148:$Y$200,L$148,$C$209:$D241)</f>
        <v>3.4087929285994458</v>
      </c>
      <c r="M241" s="42">
        <f>DSUM($B$148:$Y$200,M$148,$C$209:$D241)</f>
        <v>2.7468001033233276</v>
      </c>
      <c r="N241" s="42">
        <f>DSUM($B$148:$Y$200,N$148,$C$209:$D241)</f>
        <v>2.2239761528437985</v>
      </c>
      <c r="O241" s="42">
        <f>DSUM($B$148:$Y$200,O$148,$C$209:$D241)</f>
        <v>1.792188297342558</v>
      </c>
      <c r="P241" s="42">
        <f>DSUM($B$148:$Y$200,P$148,$C$209:$D241)</f>
        <v>1.4441709226163946</v>
      </c>
      <c r="Q241" s="42">
        <f>DSUM($B$148:$Y$200,Q$148,$C$209:$D241)</f>
        <v>1.1635926078751535</v>
      </c>
      <c r="R241" s="42">
        <f>DSUM($B$148:$Y$200,R$148,$C$209:$D241)</f>
        <v>0.93768746996591701</v>
      </c>
      <c r="S241" s="42">
        <f>DSUM($B$148:$Y$200,S$148,$C$209:$D241)</f>
        <v>0.75883998737498537</v>
      </c>
      <c r="T241" s="42">
        <f>DSUM($B$148:$Y$200,T$148,$C$209:$D241)</f>
        <v>0.61176285822730969</v>
      </c>
      <c r="U241" s="42">
        <f>DSUM($B$148:$Y$200,U$148,$C$209:$D241)</f>
        <v>4.2062130462144111E-3</v>
      </c>
      <c r="V241" s="42">
        <f>DSUM($B$148:$Y$200,V$148,$C$209:$D241)</f>
        <v>1.514265776802209E-3</v>
      </c>
      <c r="W241" s="42">
        <f>DSUM($B$148:$Y$200,W$148,$C$209:$D241)</f>
        <v>5.2021119041058023E-4</v>
      </c>
      <c r="X241" s="42">
        <f>DSUM($B$148:$Y$200,X$148,$C$209:$D241)</f>
        <v>1.7177266583382438E-4</v>
      </c>
      <c r="Y241" s="42">
        <f>DSUM($B$148:$Y$200,Y$148,$C$209:$D241)</f>
        <v>60.013373534685456</v>
      </c>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row>
    <row r="242" spans="1:79">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row>
    <row r="243" spans="1:79">
      <c r="E243" s="26">
        <f>E241</f>
        <v>5.633071043986198</v>
      </c>
      <c r="F243" s="26">
        <f>F241+E243</f>
        <v>11.297136887598526</v>
      </c>
      <c r="G243" s="26">
        <f t="shared" ref="G243:W243" si="97">G241+F243</f>
        <v>16.992868836140318</v>
      </c>
      <c r="H243" s="26">
        <f t="shared" si="97"/>
        <v>22.724058758722382</v>
      </c>
      <c r="I243" s="26">
        <f t="shared" si="97"/>
        <v>28.515905169942435</v>
      </c>
      <c r="J243" s="26">
        <f t="shared" si="97"/>
        <v>33.765423474809523</v>
      </c>
      <c r="K243" s="26">
        <f t="shared" si="97"/>
        <v>37.994727026493351</v>
      </c>
      <c r="L243" s="26">
        <f t="shared" si="97"/>
        <v>41.403519955092797</v>
      </c>
      <c r="M243" s="26">
        <f t="shared" si="97"/>
        <v>44.150320058416128</v>
      </c>
      <c r="N243" s="26">
        <f t="shared" si="97"/>
        <v>46.374296211259924</v>
      </c>
      <c r="O243" s="26">
        <f t="shared" si="97"/>
        <v>48.16648450860248</v>
      </c>
      <c r="P243" s="26">
        <f t="shared" si="97"/>
        <v>49.610655431218873</v>
      </c>
      <c r="Q243" s="26">
        <f t="shared" si="97"/>
        <v>50.774248039094026</v>
      </c>
      <c r="R243" s="26">
        <f t="shared" si="97"/>
        <v>51.711935509059941</v>
      </c>
      <c r="S243" s="26">
        <f t="shared" si="97"/>
        <v>52.470775496434925</v>
      </c>
      <c r="T243" s="26">
        <f t="shared" si="97"/>
        <v>53.082538354662233</v>
      </c>
      <c r="U243" s="26">
        <f t="shared" si="97"/>
        <v>53.08674456770845</v>
      </c>
      <c r="V243" s="26">
        <f t="shared" si="97"/>
        <v>53.088258833485256</v>
      </c>
      <c r="W243" s="26">
        <f t="shared" si="97"/>
        <v>53.088779044675668</v>
      </c>
      <c r="X243" s="26">
        <f>X241+W243</f>
        <v>53.088950817341505</v>
      </c>
      <c r="Y243" s="26"/>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row>
    <row r="244" spans="1:79" ht="15">
      <c r="A244" s="49" t="s">
        <v>103</v>
      </c>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row>
    <row r="245" spans="1:79" ht="15">
      <c r="D245" s="57" t="str">
        <f>C30</f>
        <v>Irrigation Hardware - Retro</v>
      </c>
      <c r="E245" s="51">
        <f t="shared" ref="E245:X245" si="98">E11</f>
        <v>2016</v>
      </c>
      <c r="F245" s="52">
        <f t="shared" si="98"/>
        <v>2017</v>
      </c>
      <c r="G245" s="52">
        <f t="shared" si="98"/>
        <v>2018</v>
      </c>
      <c r="H245" s="52">
        <f t="shared" si="98"/>
        <v>2019</v>
      </c>
      <c r="I245" s="52">
        <f t="shared" si="98"/>
        <v>2020</v>
      </c>
      <c r="J245" s="52">
        <f t="shared" si="98"/>
        <v>2021</v>
      </c>
      <c r="K245" s="52">
        <f t="shared" si="98"/>
        <v>2022</v>
      </c>
      <c r="L245" s="52">
        <f t="shared" si="98"/>
        <v>2023</v>
      </c>
      <c r="M245" s="52">
        <f t="shared" si="98"/>
        <v>2024</v>
      </c>
      <c r="N245" s="52">
        <f t="shared" si="98"/>
        <v>2025</v>
      </c>
      <c r="O245" s="52">
        <f t="shared" si="98"/>
        <v>2026</v>
      </c>
      <c r="P245" s="52">
        <f t="shared" si="98"/>
        <v>2027</v>
      </c>
      <c r="Q245" s="52">
        <f t="shared" si="98"/>
        <v>2028</v>
      </c>
      <c r="R245" s="52">
        <f t="shared" si="98"/>
        <v>2029</v>
      </c>
      <c r="S245" s="52">
        <f t="shared" si="98"/>
        <v>2030</v>
      </c>
      <c r="T245" s="52">
        <f t="shared" si="98"/>
        <v>2031</v>
      </c>
      <c r="U245" s="52">
        <f t="shared" si="98"/>
        <v>2032</v>
      </c>
      <c r="V245" s="52">
        <f t="shared" si="98"/>
        <v>2033</v>
      </c>
      <c r="W245" s="52">
        <f t="shared" si="98"/>
        <v>2034</v>
      </c>
      <c r="X245" s="52">
        <f t="shared" si="98"/>
        <v>2035</v>
      </c>
      <c r="Y245" s="53" t="s">
        <v>30</v>
      </c>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row>
    <row r="246" spans="1:79" ht="15">
      <c r="E246" s="54" t="str">
        <f t="shared" ref="E246:X246" si="99">CONCATENATE("Units_",E$11)</f>
        <v>Units_2016</v>
      </c>
      <c r="F246" s="55" t="str">
        <f t="shared" si="99"/>
        <v>Units_2017</v>
      </c>
      <c r="G246" s="55" t="str">
        <f t="shared" si="99"/>
        <v>Units_2018</v>
      </c>
      <c r="H246" s="55" t="str">
        <f t="shared" si="99"/>
        <v>Units_2019</v>
      </c>
      <c r="I246" s="55" t="str">
        <f t="shared" si="99"/>
        <v>Units_2020</v>
      </c>
      <c r="J246" s="55" t="str">
        <f t="shared" si="99"/>
        <v>Units_2021</v>
      </c>
      <c r="K246" s="55" t="str">
        <f t="shared" si="99"/>
        <v>Units_2022</v>
      </c>
      <c r="L246" s="55" t="str">
        <f t="shared" si="99"/>
        <v>Units_2023</v>
      </c>
      <c r="M246" s="55" t="str">
        <f t="shared" si="99"/>
        <v>Units_2024</v>
      </c>
      <c r="N246" s="55" t="str">
        <f t="shared" si="99"/>
        <v>Units_2025</v>
      </c>
      <c r="O246" s="55" t="str">
        <f t="shared" si="99"/>
        <v>Units_2026</v>
      </c>
      <c r="P246" s="55" t="str">
        <f t="shared" si="99"/>
        <v>Units_2027</v>
      </c>
      <c r="Q246" s="55" t="str">
        <f t="shared" si="99"/>
        <v>Units_2028</v>
      </c>
      <c r="R246" s="55" t="str">
        <f t="shared" si="99"/>
        <v>Units_2029</v>
      </c>
      <c r="S246" s="55" t="str">
        <f t="shared" si="99"/>
        <v>Units_2030</v>
      </c>
      <c r="T246" s="55" t="str">
        <f t="shared" si="99"/>
        <v>Units_2031</v>
      </c>
      <c r="U246" s="55" t="str">
        <f t="shared" si="99"/>
        <v>Units_2032</v>
      </c>
      <c r="V246" s="55" t="str">
        <f t="shared" si="99"/>
        <v>Units_2033</v>
      </c>
      <c r="W246" s="55" t="str">
        <f t="shared" si="99"/>
        <v>Units_2034</v>
      </c>
      <c r="X246" s="55" t="str">
        <f t="shared" si="99"/>
        <v>Units_2035</v>
      </c>
      <c r="Y246" s="56" t="s">
        <v>30</v>
      </c>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row>
    <row r="247" spans="1:79">
      <c r="D247" s="7" t="s">
        <v>37</v>
      </c>
      <c r="E247" s="46">
        <f>E210</f>
        <v>0</v>
      </c>
      <c r="F247" s="46">
        <f t="shared" ref="F247:Y247" si="100">F210</f>
        <v>0</v>
      </c>
      <c r="G247" s="46">
        <f t="shared" si="100"/>
        <v>0</v>
      </c>
      <c r="H247" s="46">
        <f t="shared" si="100"/>
        <v>0</v>
      </c>
      <c r="I247" s="46">
        <f t="shared" si="100"/>
        <v>0</v>
      </c>
      <c r="J247" s="46">
        <f t="shared" si="100"/>
        <v>0</v>
      </c>
      <c r="K247" s="46">
        <f t="shared" si="100"/>
        <v>0</v>
      </c>
      <c r="L247" s="46">
        <f t="shared" si="100"/>
        <v>0</v>
      </c>
      <c r="M247" s="46">
        <f t="shared" si="100"/>
        <v>0</v>
      </c>
      <c r="N247" s="46">
        <f t="shared" si="100"/>
        <v>0</v>
      </c>
      <c r="O247" s="46">
        <f t="shared" si="100"/>
        <v>0</v>
      </c>
      <c r="P247" s="46">
        <f t="shared" si="100"/>
        <v>0</v>
      </c>
      <c r="Q247" s="46">
        <f t="shared" si="100"/>
        <v>0</v>
      </c>
      <c r="R247" s="46">
        <f t="shared" si="100"/>
        <v>0</v>
      </c>
      <c r="S247" s="46">
        <f t="shared" si="100"/>
        <v>0</v>
      </c>
      <c r="T247" s="46">
        <f t="shared" si="100"/>
        <v>0</v>
      </c>
      <c r="U247" s="46">
        <f t="shared" si="100"/>
        <v>0</v>
      </c>
      <c r="V247" s="46">
        <f t="shared" si="100"/>
        <v>0</v>
      </c>
      <c r="W247" s="46">
        <f t="shared" si="100"/>
        <v>0</v>
      </c>
      <c r="X247" s="46">
        <f t="shared" si="100"/>
        <v>0</v>
      </c>
      <c r="Y247" s="46">
        <f t="shared" si="100"/>
        <v>0</v>
      </c>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row>
    <row r="248" spans="1:79">
      <c r="D248" s="7" t="s">
        <v>40</v>
      </c>
      <c r="E248" s="46">
        <f>E211-E210</f>
        <v>1.2319176738609274</v>
      </c>
      <c r="F248" s="46">
        <f>F211-F210</f>
        <v>1.2390523648252616</v>
      </c>
      <c r="G248" s="46">
        <f t="shared" ref="G248:X261" si="101">G211-G210</f>
        <v>1.2463195796396862</v>
      </c>
      <c r="H248" s="46">
        <f t="shared" si="101"/>
        <v>1.2544932346211843</v>
      </c>
      <c r="I248" s="46">
        <f t="shared" si="101"/>
        <v>1.2686492904494124</v>
      </c>
      <c r="J248" s="46">
        <f t="shared" si="101"/>
        <v>1.1502594004874913</v>
      </c>
      <c r="K248" s="46">
        <f t="shared" si="101"/>
        <v>0.9270482410824199</v>
      </c>
      <c r="L248" s="46">
        <f t="shared" si="101"/>
        <v>0.74749210747731487</v>
      </c>
      <c r="M248" s="46">
        <f t="shared" si="101"/>
        <v>0.60254018341553528</v>
      </c>
      <c r="N248" s="46">
        <f>N211-N210</f>
        <v>0.48821114628451279</v>
      </c>
      <c r="O248" s="46">
        <f t="shared" si="101"/>
        <v>0.39355716503306448</v>
      </c>
      <c r="P248" s="46">
        <f t="shared" si="101"/>
        <v>0.31724412058577234</v>
      </c>
      <c r="Q248" s="46">
        <f t="shared" si="101"/>
        <v>0.25567934468765335</v>
      </c>
      <c r="R248" s="46">
        <f t="shared" si="101"/>
        <v>0.20611012444632379</v>
      </c>
      <c r="S248" s="46">
        <f t="shared" si="101"/>
        <v>0.16690751724422165</v>
      </c>
      <c r="T248" s="46">
        <f t="shared" si="101"/>
        <v>0.13460219671075477</v>
      </c>
      <c r="U248" s="46">
        <f t="shared" si="101"/>
        <v>9.2579867230519603E-4</v>
      </c>
      <c r="V248" s="46">
        <f t="shared" si="101"/>
        <v>3.3341166595873047E-4</v>
      </c>
      <c r="W248" s="46">
        <f t="shared" si="101"/>
        <v>1.1457606535422952E-4</v>
      </c>
      <c r="X248" s="46">
        <f t="shared" si="101"/>
        <v>3.7859562413774682E-5</v>
      </c>
      <c r="Y248" s="46">
        <f t="shared" ref="Y248" si="102">Y211-Y210</f>
        <v>13.22725038916054</v>
      </c>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row>
    <row r="249" spans="1:79">
      <c r="D249" s="7" t="s">
        <v>43</v>
      </c>
      <c r="E249" s="46">
        <f t="shared" ref="E249:T264" si="103">E212-E211</f>
        <v>1.4599156802471638</v>
      </c>
      <c r="F249" s="46">
        <f t="shared" si="103"/>
        <v>1.4682510802151234</v>
      </c>
      <c r="G249" s="46">
        <f t="shared" si="101"/>
        <v>1.4767417533573601</v>
      </c>
      <c r="H249" s="46">
        <f t="shared" si="101"/>
        <v>1.4863018065370377</v>
      </c>
      <c r="I249" s="46">
        <f t="shared" si="101"/>
        <v>1.5028580568850241</v>
      </c>
      <c r="J249" s="46">
        <f t="shared" si="101"/>
        <v>1.3624922107124737</v>
      </c>
      <c r="K249" s="46">
        <f t="shared" si="101"/>
        <v>1.0980034963046559</v>
      </c>
      <c r="L249" s="46">
        <f t="shared" si="101"/>
        <v>0.88525800470595462</v>
      </c>
      <c r="M249" s="46">
        <f t="shared" si="101"/>
        <v>0.71353255306052032</v>
      </c>
      <c r="N249" s="46">
        <f t="shared" si="101"/>
        <v>0.57805793430592722</v>
      </c>
      <c r="O249" s="46">
        <f t="shared" si="101"/>
        <v>0.46594834483335368</v>
      </c>
      <c r="P249" s="46">
        <f t="shared" si="101"/>
        <v>0.37557010757159193</v>
      </c>
      <c r="Q249" s="46">
        <f t="shared" si="101"/>
        <v>0.30266477737959901</v>
      </c>
      <c r="R249" s="46">
        <f t="shared" si="101"/>
        <v>0.24396879490840498</v>
      </c>
      <c r="S249" s="46">
        <f t="shared" si="101"/>
        <v>0.19753992334575055</v>
      </c>
      <c r="T249" s="46">
        <f t="shared" si="101"/>
        <v>0.15929370966164277</v>
      </c>
      <c r="U249" s="46">
        <f t="shared" si="101"/>
        <v>1.0955431805765342E-3</v>
      </c>
      <c r="V249" s="46">
        <f t="shared" si="101"/>
        <v>3.9451262121474714E-4</v>
      </c>
      <c r="W249" s="46">
        <f t="shared" si="101"/>
        <v>1.355637254673508E-4</v>
      </c>
      <c r="X249" s="46">
        <f t="shared" si="101"/>
        <v>4.4788571592772007E-5</v>
      </c>
      <c r="Y249" s="46">
        <f t="shared" ref="Y249" si="104">Y212-Y211</f>
        <v>15.648085008370062</v>
      </c>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row>
    <row r="250" spans="1:79">
      <c r="D250" s="7" t="s">
        <v>46</v>
      </c>
      <c r="E250" s="46">
        <f t="shared" si="103"/>
        <v>0.51430292809038836</v>
      </c>
      <c r="F250" s="46">
        <f t="shared" si="103"/>
        <v>0.51868108854586881</v>
      </c>
      <c r="G250" s="46">
        <f t="shared" si="101"/>
        <v>0.52313810180194986</v>
      </c>
      <c r="H250" s="46">
        <f t="shared" si="101"/>
        <v>0.52802234369946843</v>
      </c>
      <c r="I250" s="46">
        <f t="shared" si="101"/>
        <v>0.53647760655494903</v>
      </c>
      <c r="J250" s="46">
        <f t="shared" si="101"/>
        <v>0.48781037485599077</v>
      </c>
      <c r="K250" s="46">
        <f t="shared" si="101"/>
        <v>0.39423375397880989</v>
      </c>
      <c r="L250" s="46">
        <f t="shared" si="101"/>
        <v>0.31877906935964062</v>
      </c>
      <c r="M250" s="46">
        <f t="shared" si="101"/>
        <v>0.25764019228219048</v>
      </c>
      <c r="N250" s="46">
        <f t="shared" si="101"/>
        <v>0.20974240845680514</v>
      </c>
      <c r="O250" s="46">
        <f t="shared" si="101"/>
        <v>0.16949845308028544</v>
      </c>
      <c r="P250" s="46">
        <f t="shared" si="101"/>
        <v>0.13695772559902164</v>
      </c>
      <c r="Q250" s="46">
        <f t="shared" si="101"/>
        <v>0.11063346921969497</v>
      </c>
      <c r="R250" s="46">
        <f t="shared" si="101"/>
        <v>8.9388329858144377E-2</v>
      </c>
      <c r="S250" s="46">
        <f t="shared" si="101"/>
        <v>7.2680997315708706E-2</v>
      </c>
      <c r="T250" s="46">
        <f t="shared" si="101"/>
        <v>5.875198643827656E-2</v>
      </c>
      <c r="U250" s="46">
        <f t="shared" si="101"/>
        <v>4.0507921484059456E-4</v>
      </c>
      <c r="V250" s="46">
        <f t="shared" si="101"/>
        <v>1.4622871087187881E-4</v>
      </c>
      <c r="W250" s="46">
        <f t="shared" si="101"/>
        <v>5.0361794312053592E-5</v>
      </c>
      <c r="X250" s="46">
        <f t="shared" si="101"/>
        <v>1.6710180243286355E-5</v>
      </c>
      <c r="Y250" s="46">
        <f t="shared" ref="Y250" si="105">Y213-Y212</f>
        <v>5.8381482519600887</v>
      </c>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row>
    <row r="251" spans="1:79">
      <c r="D251" s="7" t="s">
        <v>49</v>
      </c>
      <c r="E251" s="46">
        <f t="shared" si="103"/>
        <v>0.34215309064189814</v>
      </c>
      <c r="F251" s="46">
        <f t="shared" si="103"/>
        <v>0.34292192404646649</v>
      </c>
      <c r="G251" s="46">
        <f t="shared" si="101"/>
        <v>0.34371321963541668</v>
      </c>
      <c r="H251" s="46">
        <f t="shared" si="101"/>
        <v>0.34468842121723942</v>
      </c>
      <c r="I251" s="46">
        <f t="shared" si="101"/>
        <v>0.34629215211237607</v>
      </c>
      <c r="J251" s="46">
        <f t="shared" si="101"/>
        <v>0.31273186728606461</v>
      </c>
      <c r="K251" s="46">
        <f t="shared" si="101"/>
        <v>0.25107084343226571</v>
      </c>
      <c r="L251" s="46">
        <f t="shared" si="101"/>
        <v>0.20162392684872077</v>
      </c>
      <c r="M251" s="46">
        <f t="shared" si="101"/>
        <v>0.16191594363967132</v>
      </c>
      <c r="N251" s="46">
        <f t="shared" si="101"/>
        <v>0.13027942295838701</v>
      </c>
      <c r="O251" s="46">
        <f t="shared" si="101"/>
        <v>0.10464270029500677</v>
      </c>
      <c r="P251" s="46">
        <f t="shared" si="101"/>
        <v>8.4056387161100976E-2</v>
      </c>
      <c r="Q251" s="46">
        <f t="shared" si="101"/>
        <v>6.7519888215242574E-2</v>
      </c>
      <c r="R251" s="46">
        <f t="shared" si="101"/>
        <v>5.424491280127397E-2</v>
      </c>
      <c r="S251" s="46">
        <f t="shared" si="101"/>
        <v>4.3654460487350777E-2</v>
      </c>
      <c r="T251" s="46">
        <f t="shared" si="101"/>
        <v>3.508025965573236E-2</v>
      </c>
      <c r="U251" s="46">
        <f t="shared" si="101"/>
        <v>2.4039238758167322E-4</v>
      </c>
      <c r="V251" s="46">
        <f t="shared" si="101"/>
        <v>8.62593313472413E-5</v>
      </c>
      <c r="W251" s="46">
        <f t="shared" si="101"/>
        <v>2.9543098784181395E-5</v>
      </c>
      <c r="X251" s="46">
        <f t="shared" si="101"/>
        <v>9.6974933298286199E-6</v>
      </c>
      <c r="Y251" s="46">
        <f t="shared" ref="Y251" si="106">Y214-Y213</f>
        <v>3.3880785789058123</v>
      </c>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row>
    <row r="252" spans="1:79">
      <c r="D252" s="7" t="s">
        <v>52</v>
      </c>
      <c r="E252" s="46">
        <f t="shared" si="103"/>
        <v>0.7526403127301533</v>
      </c>
      <c r="F252" s="46">
        <f t="shared" si="103"/>
        <v>0.75985551740249679</v>
      </c>
      <c r="G252" s="46">
        <f t="shared" si="101"/>
        <v>0.76725755557820419</v>
      </c>
      <c r="H252" s="46">
        <f t="shared" si="101"/>
        <v>0.77515463879832724</v>
      </c>
      <c r="I252" s="46">
        <f t="shared" si="101"/>
        <v>0.78851600950688994</v>
      </c>
      <c r="J252" s="46">
        <f t="shared" si="101"/>
        <v>0.71773850999778555</v>
      </c>
      <c r="K252" s="46">
        <f t="shared" si="101"/>
        <v>0.58057829961579932</v>
      </c>
      <c r="L252" s="46">
        <f t="shared" si="101"/>
        <v>0.46984907183528746</v>
      </c>
      <c r="M252" s="46">
        <f t="shared" si="101"/>
        <v>0.38005334908065191</v>
      </c>
      <c r="N252" s="46">
        <f t="shared" si="101"/>
        <v>0.309766269281883</v>
      </c>
      <c r="O252" s="46">
        <f t="shared" si="101"/>
        <v>0.25052168216627058</v>
      </c>
      <c r="P252" s="46">
        <f t="shared" si="101"/>
        <v>0.2025544743655695</v>
      </c>
      <c r="Q252" s="46">
        <f t="shared" si="101"/>
        <v>0.16376060040807783</v>
      </c>
      <c r="R252" s="46">
        <f t="shared" si="101"/>
        <v>0.13239101488442373</v>
      </c>
      <c r="S252" s="46">
        <f t="shared" si="101"/>
        <v>0.10774709100768431</v>
      </c>
      <c r="T252" s="46">
        <f t="shared" si="101"/>
        <v>8.7158532833986002E-2</v>
      </c>
      <c r="U252" s="46">
        <f t="shared" si="101"/>
        <v>6.013197936127015E-4</v>
      </c>
      <c r="V252" s="46">
        <f t="shared" si="101"/>
        <v>2.1720368650290185E-4</v>
      </c>
      <c r="W252" s="46">
        <f t="shared" si="101"/>
        <v>7.4853244115325661E-5</v>
      </c>
      <c r="X252" s="46">
        <f t="shared" si="101"/>
        <v>2.4857373440686207E-5</v>
      </c>
      <c r="Y252" s="46">
        <f t="shared" ref="Y252" si="107">Y215-Y214</f>
        <v>8.6845880288673953</v>
      </c>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row>
    <row r="253" spans="1:79">
      <c r="D253" s="7" t="s">
        <v>55</v>
      </c>
      <c r="E253" s="46">
        <f t="shared" si="103"/>
        <v>5.4717452103682618E-2</v>
      </c>
      <c r="F253" s="46">
        <f t="shared" si="103"/>
        <v>5.4724294028726916E-2</v>
      </c>
      <c r="G253" s="46">
        <f t="shared" si="101"/>
        <v>5.4733802856122615E-2</v>
      </c>
      <c r="H253" s="46">
        <f t="shared" si="101"/>
        <v>5.4767305924658949E-2</v>
      </c>
      <c r="I253" s="46">
        <f t="shared" si="101"/>
        <v>5.4815570975319972E-2</v>
      </c>
      <c r="J253" s="46">
        <f t="shared" si="101"/>
        <v>4.9389277702855949E-2</v>
      </c>
      <c r="K253" s="46">
        <f t="shared" si="101"/>
        <v>3.9561672264914804E-2</v>
      </c>
      <c r="L253" s="46">
        <f t="shared" si="101"/>
        <v>3.1694927551613628E-2</v>
      </c>
      <c r="M253" s="46">
        <f t="shared" si="101"/>
        <v>2.5396193068759398E-2</v>
      </c>
      <c r="N253" s="46">
        <f t="shared" si="101"/>
        <v>2.0351909036542715E-2</v>
      </c>
      <c r="O253" s="46">
        <f t="shared" si="101"/>
        <v>1.6311304595857612E-2</v>
      </c>
      <c r="P253" s="46">
        <f t="shared" si="101"/>
        <v>1.3074329512931859E-2</v>
      </c>
      <c r="Q253" s="46">
        <f t="shared" si="101"/>
        <v>1.0480713181124091E-2</v>
      </c>
      <c r="R253" s="46">
        <f t="shared" si="101"/>
        <v>8.4024135776443742E-3</v>
      </c>
      <c r="S253" s="46">
        <f t="shared" si="101"/>
        <v>6.7368041913452581E-3</v>
      </c>
      <c r="T253" s="46">
        <f t="shared" si="101"/>
        <v>5.4016117597657232E-3</v>
      </c>
      <c r="U253" s="46">
        <f t="shared" si="101"/>
        <v>3.6929584818272583E-5</v>
      </c>
      <c r="V253" s="46">
        <f t="shared" si="101"/>
        <v>1.3220982172316119E-5</v>
      </c>
      <c r="W253" s="46">
        <f t="shared" si="101"/>
        <v>4.5183525286076644E-6</v>
      </c>
      <c r="X253" s="46">
        <f t="shared" si="101"/>
        <v>1.4771099653381316E-6</v>
      </c>
      <c r="Y253" s="46">
        <f t="shared" ref="Y253" si="108">Y216-Y215</f>
        <v>0.51606786022288986</v>
      </c>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row>
    <row r="254" spans="1:79">
      <c r="D254" s="7" t="s">
        <v>58</v>
      </c>
      <c r="E254" s="46">
        <f t="shared" si="103"/>
        <v>0.71680563761620508</v>
      </c>
      <c r="F254" s="46">
        <f t="shared" si="103"/>
        <v>0.71689526771145395</v>
      </c>
      <c r="G254" s="46">
        <f t="shared" si="101"/>
        <v>0.71701983456941942</v>
      </c>
      <c r="H254" s="46">
        <f t="shared" si="101"/>
        <v>0.71745872906252028</v>
      </c>
      <c r="I254" s="46">
        <f t="shared" si="101"/>
        <v>0.71809100741399057</v>
      </c>
      <c r="J254" s="46">
        <f t="shared" si="101"/>
        <v>0.64700586986610364</v>
      </c>
      <c r="K254" s="46">
        <f t="shared" si="101"/>
        <v>0.51826297867965243</v>
      </c>
      <c r="L254" s="46">
        <f t="shared" si="101"/>
        <v>0.41520761437838472</v>
      </c>
      <c r="M254" s="46">
        <f t="shared" si="101"/>
        <v>0.33269338512293212</v>
      </c>
      <c r="N254" s="46">
        <f t="shared" si="101"/>
        <v>0.2666126175978174</v>
      </c>
      <c r="O254" s="46">
        <f t="shared" si="101"/>
        <v>0.21368018139863376</v>
      </c>
      <c r="P254" s="46">
        <f t="shared" si="101"/>
        <v>0.17127539281550153</v>
      </c>
      <c r="Q254" s="46">
        <f t="shared" si="101"/>
        <v>0.13729868635390285</v>
      </c>
      <c r="R254" s="46">
        <f t="shared" si="101"/>
        <v>0.11007269509965112</v>
      </c>
      <c r="S254" s="46">
        <f t="shared" si="101"/>
        <v>8.8252998599468002E-2</v>
      </c>
      <c r="T254" s="46">
        <f t="shared" si="101"/>
        <v>7.0761806567258612E-2</v>
      </c>
      <c r="U254" s="46">
        <f t="shared" si="101"/>
        <v>4.8378229568153165E-4</v>
      </c>
      <c r="V254" s="46">
        <f t="shared" si="101"/>
        <v>1.7319656145505717E-4</v>
      </c>
      <c r="W254" s="46">
        <f t="shared" si="101"/>
        <v>5.9190997400725197E-5</v>
      </c>
      <c r="X254" s="46">
        <f t="shared" si="101"/>
        <v>1.935032991900185E-5</v>
      </c>
      <c r="Y254" s="46">
        <f t="shared" ref="Y254" si="109">Y217-Y216</f>
        <v>6.7605551314660275</v>
      </c>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row>
    <row r="255" spans="1:79">
      <c r="D255" s="7" t="s">
        <v>61</v>
      </c>
      <c r="E255" s="46">
        <f t="shared" si="103"/>
        <v>0.20213568713366659</v>
      </c>
      <c r="F255" s="46">
        <f t="shared" si="103"/>
        <v>0.2042109193196886</v>
      </c>
      <c r="G255" s="46">
        <f t="shared" si="101"/>
        <v>0.2063154330409116</v>
      </c>
      <c r="H255" s="46">
        <f t="shared" si="101"/>
        <v>0.20862121192887795</v>
      </c>
      <c r="I255" s="46">
        <f t="shared" si="101"/>
        <v>0.21265296536639511</v>
      </c>
      <c r="J255" s="46">
        <f t="shared" si="101"/>
        <v>0.19371676324709064</v>
      </c>
      <c r="K255" s="46">
        <f t="shared" si="101"/>
        <v>0.15683879062120987</v>
      </c>
      <c r="L255" s="46">
        <f t="shared" si="101"/>
        <v>0.12706100193200331</v>
      </c>
      <c r="M255" s="46">
        <f t="shared" si="101"/>
        <v>0.10286877613211765</v>
      </c>
      <c r="N255" s="46">
        <f t="shared" si="101"/>
        <v>8.4013860506793936E-2</v>
      </c>
      <c r="O255" s="46">
        <f t="shared" si="101"/>
        <v>6.8003344932055843E-2</v>
      </c>
      <c r="P255" s="46">
        <f t="shared" si="101"/>
        <v>5.5035088688351941E-2</v>
      </c>
      <c r="Q255" s="46">
        <f t="shared" si="101"/>
        <v>4.4519575691842617E-2</v>
      </c>
      <c r="R255" s="46">
        <f t="shared" si="101"/>
        <v>3.6024919612555717E-2</v>
      </c>
      <c r="S255" s="46">
        <f t="shared" si="101"/>
        <v>2.9371732650392945E-2</v>
      </c>
      <c r="T255" s="46">
        <f t="shared" si="101"/>
        <v>2.3778526494375063E-2</v>
      </c>
      <c r="U255" s="46">
        <f t="shared" si="101"/>
        <v>1.642049966025373E-4</v>
      </c>
      <c r="V255" s="46">
        <f t="shared" si="101"/>
        <v>5.9367042959277251E-5</v>
      </c>
      <c r="W255" s="46">
        <f t="shared" si="101"/>
        <v>2.0474731871443312E-5</v>
      </c>
      <c r="X255" s="46">
        <f t="shared" si="101"/>
        <v>6.812436501139001E-6</v>
      </c>
      <c r="Y255" s="46">
        <f t="shared" ref="Y255" si="110">Y218-Y217</f>
        <v>2.3801068373689631</v>
      </c>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row>
    <row r="256" spans="1:79">
      <c r="D256" s="7" t="s">
        <v>64</v>
      </c>
      <c r="E256" s="46">
        <f t="shared" si="103"/>
        <v>0</v>
      </c>
      <c r="F256" s="46">
        <f t="shared" si="103"/>
        <v>0</v>
      </c>
      <c r="G256" s="46">
        <f t="shared" si="101"/>
        <v>0</v>
      </c>
      <c r="H256" s="46">
        <f t="shared" si="101"/>
        <v>0</v>
      </c>
      <c r="I256" s="46">
        <f t="shared" si="101"/>
        <v>0</v>
      </c>
      <c r="J256" s="46">
        <f t="shared" si="101"/>
        <v>0</v>
      </c>
      <c r="K256" s="46">
        <f t="shared" si="101"/>
        <v>0</v>
      </c>
      <c r="L256" s="46">
        <f t="shared" si="101"/>
        <v>0</v>
      </c>
      <c r="M256" s="46">
        <f t="shared" si="101"/>
        <v>0</v>
      </c>
      <c r="N256" s="46">
        <f t="shared" si="101"/>
        <v>0</v>
      </c>
      <c r="O256" s="46">
        <f t="shared" si="101"/>
        <v>0</v>
      </c>
      <c r="P256" s="46">
        <f t="shared" si="101"/>
        <v>0</v>
      </c>
      <c r="Q256" s="46">
        <f t="shared" si="101"/>
        <v>0</v>
      </c>
      <c r="R256" s="46">
        <f t="shared" si="101"/>
        <v>0</v>
      </c>
      <c r="S256" s="46">
        <f t="shared" si="101"/>
        <v>0</v>
      </c>
      <c r="T256" s="46">
        <f t="shared" si="101"/>
        <v>0</v>
      </c>
      <c r="U256" s="46">
        <f t="shared" si="101"/>
        <v>0</v>
      </c>
      <c r="V256" s="46">
        <f t="shared" si="101"/>
        <v>0</v>
      </c>
      <c r="W256" s="46">
        <f t="shared" si="101"/>
        <v>0</v>
      </c>
      <c r="X256" s="46">
        <f t="shared" si="101"/>
        <v>0</v>
      </c>
      <c r="Y256" s="46">
        <f t="shared" ref="Y256" si="111">Y219-Y218</f>
        <v>0</v>
      </c>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row>
    <row r="257" spans="4:79">
      <c r="D257" s="7" t="s">
        <v>67</v>
      </c>
      <c r="E257" s="46">
        <f t="shared" si="103"/>
        <v>0.14813571680783255</v>
      </c>
      <c r="F257" s="46">
        <f t="shared" si="103"/>
        <v>0.14865927736581508</v>
      </c>
      <c r="G257" s="46">
        <f t="shared" si="101"/>
        <v>0.14920070683934306</v>
      </c>
      <c r="H257" s="46">
        <f t="shared" si="101"/>
        <v>0.14981879782150553</v>
      </c>
      <c r="I257" s="46">
        <f t="shared" si="101"/>
        <v>0.15084998759956658</v>
      </c>
      <c r="J257" s="46">
        <f t="shared" si="101"/>
        <v>0.13643331858391772</v>
      </c>
      <c r="K257" s="46">
        <f t="shared" si="101"/>
        <v>0.10968668542058557</v>
      </c>
      <c r="L257" s="46">
        <f t="shared" si="101"/>
        <v>8.8210311782700668E-2</v>
      </c>
      <c r="M257" s="46">
        <f t="shared" si="101"/>
        <v>7.0933986691763984E-2</v>
      </c>
      <c r="N257" s="46">
        <f t="shared" si="101"/>
        <v>5.7213646954203501E-2</v>
      </c>
      <c r="O257" s="46">
        <f t="shared" si="101"/>
        <v>4.6014587072417568E-2</v>
      </c>
      <c r="P257" s="46">
        <f t="shared" si="101"/>
        <v>3.7007026668440801E-2</v>
      </c>
      <c r="Q257" s="46">
        <f t="shared" si="101"/>
        <v>2.9764193902366065E-2</v>
      </c>
      <c r="R257" s="46">
        <f t="shared" si="101"/>
        <v>2.3940306164567327E-2</v>
      </c>
      <c r="S257" s="46">
        <f t="shared" si="101"/>
        <v>1.9308091491349266E-2</v>
      </c>
      <c r="T257" s="46">
        <f t="shared" si="101"/>
        <v>1.5535691426181719E-2</v>
      </c>
      <c r="U257" s="46">
        <f t="shared" si="101"/>
        <v>1.0659955807341102E-4</v>
      </c>
      <c r="V257" s="46">
        <f t="shared" si="101"/>
        <v>3.8299935544014105E-5</v>
      </c>
      <c r="W257" s="46">
        <f t="shared" si="101"/>
        <v>1.3133391461234004E-5</v>
      </c>
      <c r="X257" s="46">
        <f t="shared" si="101"/>
        <v>4.3209171771700541E-6</v>
      </c>
      <c r="Y257" s="46">
        <f t="shared" ref="Y257" si="112">Y220-Y219</f>
        <v>1.5096279452098997</v>
      </c>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row>
    <row r="258" spans="4:79">
      <c r="D258" s="7" t="s">
        <v>70</v>
      </c>
      <c r="E258" s="46">
        <f t="shared" si="103"/>
        <v>9.77253271675389E-2</v>
      </c>
      <c r="F258" s="46">
        <f t="shared" si="103"/>
        <v>9.7809432249416517E-2</v>
      </c>
      <c r="G258" s="46">
        <f t="shared" si="101"/>
        <v>9.789703077563594E-2</v>
      </c>
      <c r="H258" s="46">
        <f t="shared" si="101"/>
        <v>9.8026396906926827E-2</v>
      </c>
      <c r="I258" s="46">
        <f t="shared" si="101"/>
        <v>9.8181153917211716E-2</v>
      </c>
      <c r="J258" s="46">
        <f t="shared" si="101"/>
        <v>8.850318120644296E-2</v>
      </c>
      <c r="K258" s="46">
        <f t="shared" si="101"/>
        <v>7.0924982346686427E-2</v>
      </c>
      <c r="L258" s="46">
        <f t="shared" si="101"/>
        <v>5.6848245504925288E-2</v>
      </c>
      <c r="M258" s="46">
        <f t="shared" si="101"/>
        <v>4.557242989994581E-2</v>
      </c>
      <c r="N258" s="46">
        <f t="shared" si="101"/>
        <v>3.653825999541116E-2</v>
      </c>
      <c r="O258" s="46">
        <f t="shared" si="101"/>
        <v>2.9298326357244386E-2</v>
      </c>
      <c r="P258" s="46">
        <f t="shared" si="101"/>
        <v>2.3495606448347139E-2</v>
      </c>
      <c r="Q258" s="46">
        <f t="shared" si="101"/>
        <v>1.8843971579623808E-2</v>
      </c>
      <c r="R258" s="46">
        <f t="shared" si="101"/>
        <v>1.5114745565688259E-2</v>
      </c>
      <c r="S258" s="46">
        <f t="shared" si="101"/>
        <v>1.2124570495126719E-2</v>
      </c>
      <c r="T258" s="46">
        <f t="shared" si="101"/>
        <v>9.7263872141609697E-3</v>
      </c>
      <c r="U258" s="46">
        <f t="shared" si="101"/>
        <v>6.6530109057087554E-5</v>
      </c>
      <c r="V258" s="46">
        <f t="shared" si="101"/>
        <v>2.3829928064193371E-5</v>
      </c>
      <c r="W258" s="46">
        <f t="shared" si="101"/>
        <v>8.1480505029522202E-6</v>
      </c>
      <c r="X258" s="46">
        <f t="shared" si="101"/>
        <v>2.665018708170974E-6</v>
      </c>
      <c r="Y258" s="46">
        <f t="shared" ref="Y258" si="113">Y221-Y220</f>
        <v>0.93109554092335145</v>
      </c>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row>
    <row r="259" spans="4:79">
      <c r="D259" s="7" t="s">
        <v>73</v>
      </c>
      <c r="E259" s="46">
        <f t="shared" si="103"/>
        <v>0</v>
      </c>
      <c r="F259" s="46">
        <f t="shared" si="103"/>
        <v>0</v>
      </c>
      <c r="G259" s="46">
        <f t="shared" si="101"/>
        <v>0</v>
      </c>
      <c r="H259" s="46">
        <f t="shared" si="101"/>
        <v>0</v>
      </c>
      <c r="I259" s="46">
        <f t="shared" si="101"/>
        <v>0</v>
      </c>
      <c r="J259" s="46">
        <f t="shared" si="101"/>
        <v>0</v>
      </c>
      <c r="K259" s="46">
        <f t="shared" si="101"/>
        <v>0</v>
      </c>
      <c r="L259" s="46">
        <f t="shared" si="101"/>
        <v>0</v>
      </c>
      <c r="M259" s="46">
        <f t="shared" si="101"/>
        <v>0</v>
      </c>
      <c r="N259" s="46">
        <f t="shared" si="101"/>
        <v>0</v>
      </c>
      <c r="O259" s="46">
        <f t="shared" si="101"/>
        <v>0</v>
      </c>
      <c r="P259" s="46">
        <f t="shared" si="101"/>
        <v>0</v>
      </c>
      <c r="Q259" s="46">
        <f t="shared" si="101"/>
        <v>0</v>
      </c>
      <c r="R259" s="46">
        <f t="shared" si="101"/>
        <v>0</v>
      </c>
      <c r="S259" s="46">
        <f t="shared" si="101"/>
        <v>0</v>
      </c>
      <c r="T259" s="46">
        <f t="shared" si="101"/>
        <v>0</v>
      </c>
      <c r="U259" s="46">
        <f t="shared" si="101"/>
        <v>0</v>
      </c>
      <c r="V259" s="46">
        <f t="shared" si="101"/>
        <v>0</v>
      </c>
      <c r="W259" s="46">
        <f t="shared" si="101"/>
        <v>0</v>
      </c>
      <c r="X259" s="46">
        <f t="shared" si="101"/>
        <v>0</v>
      </c>
      <c r="Y259" s="46">
        <f t="shared" ref="Y259" si="114">Y222-Y221</f>
        <v>0</v>
      </c>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row>
    <row r="260" spans="4:79">
      <c r="D260" s="7" t="s">
        <v>76</v>
      </c>
      <c r="E260" s="46">
        <f t="shared" si="103"/>
        <v>5.4717452103682618E-2</v>
      </c>
      <c r="F260" s="46">
        <f t="shared" si="103"/>
        <v>5.4724294028726916E-2</v>
      </c>
      <c r="G260" s="46">
        <f t="shared" si="101"/>
        <v>5.4733802856122615E-2</v>
      </c>
      <c r="H260" s="46">
        <f t="shared" si="101"/>
        <v>5.4767305924658949E-2</v>
      </c>
      <c r="I260" s="46">
        <f t="shared" si="101"/>
        <v>5.4815570975318195E-2</v>
      </c>
      <c r="J260" s="46">
        <f t="shared" si="101"/>
        <v>4.9389277702856837E-2</v>
      </c>
      <c r="K260" s="46">
        <f t="shared" si="101"/>
        <v>3.9561672264915693E-2</v>
      </c>
      <c r="L260" s="46">
        <f t="shared" si="101"/>
        <v>3.1694927551613183E-2</v>
      </c>
      <c r="M260" s="46">
        <f t="shared" si="101"/>
        <v>2.5396193068758954E-2</v>
      </c>
      <c r="N260" s="46">
        <f t="shared" si="101"/>
        <v>2.0351909036542715E-2</v>
      </c>
      <c r="O260" s="46">
        <f t="shared" si="101"/>
        <v>1.6311304595857834E-2</v>
      </c>
      <c r="P260" s="46">
        <f t="shared" si="101"/>
        <v>1.3074329512932081E-2</v>
      </c>
      <c r="Q260" s="46">
        <f t="shared" si="101"/>
        <v>1.048071318112398E-2</v>
      </c>
      <c r="R260" s="46">
        <f t="shared" si="101"/>
        <v>8.4024135776443742E-3</v>
      </c>
      <c r="S260" s="46">
        <f t="shared" si="101"/>
        <v>6.7368041913453691E-3</v>
      </c>
      <c r="T260" s="46">
        <f t="shared" si="101"/>
        <v>5.4016117597656121E-3</v>
      </c>
      <c r="U260" s="46">
        <f t="shared" si="101"/>
        <v>3.6929584818272583E-5</v>
      </c>
      <c r="V260" s="46">
        <f t="shared" si="101"/>
        <v>1.3220982172316119E-5</v>
      </c>
      <c r="W260" s="46">
        <f t="shared" si="101"/>
        <v>4.5183525286076644E-6</v>
      </c>
      <c r="X260" s="46">
        <f t="shared" si="101"/>
        <v>1.4771099653381045E-6</v>
      </c>
      <c r="Y260" s="46">
        <f t="shared" ref="Y260" si="115">Y223-Y222</f>
        <v>0.51606786022288986</v>
      </c>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row>
    <row r="261" spans="4:79">
      <c r="D261" s="7" t="s">
        <v>79</v>
      </c>
      <c r="E261" s="46">
        <f t="shared" si="103"/>
        <v>9.7020773140776839E-4</v>
      </c>
      <c r="F261" s="46">
        <f t="shared" si="103"/>
        <v>9.8073277995958108E-4</v>
      </c>
      <c r="G261" s="46">
        <f t="shared" si="101"/>
        <v>9.9112136508150428E-4</v>
      </c>
      <c r="H261" s="46">
        <f t="shared" si="101"/>
        <v>1.0017782113171947E-3</v>
      </c>
      <c r="I261" s="46">
        <f t="shared" si="101"/>
        <v>1.0125558405214008E-3</v>
      </c>
      <c r="J261" s="46">
        <f t="shared" si="101"/>
        <v>9.1827784523523803E-4</v>
      </c>
      <c r="K261" s="46">
        <f t="shared" si="101"/>
        <v>7.4024449244003421E-4</v>
      </c>
      <c r="L261" s="46">
        <f t="shared" si="101"/>
        <v>5.9688789600276237E-4</v>
      </c>
      <c r="M261" s="46">
        <f t="shared" si="101"/>
        <v>4.8140007066255208E-4</v>
      </c>
      <c r="N261" s="46">
        <f t="shared" si="101"/>
        <v>3.8832860125737056E-4</v>
      </c>
      <c r="O261" s="46">
        <f t="shared" si="101"/>
        <v>3.132946176325202E-4</v>
      </c>
      <c r="P261" s="46">
        <f t="shared" ref="P261:X264" si="116">P224-P223</f>
        <v>2.5278962881314371E-4</v>
      </c>
      <c r="Q261" s="46">
        <f t="shared" si="116"/>
        <v>2.0398840962543296E-4</v>
      </c>
      <c r="R261" s="46">
        <f t="shared" si="116"/>
        <v>1.6462159706709389E-4</v>
      </c>
      <c r="S261" s="46">
        <f t="shared" si="116"/>
        <v>1.3285979412269722E-4</v>
      </c>
      <c r="T261" s="46">
        <f t="shared" si="116"/>
        <v>1.0722694748743766E-4</v>
      </c>
      <c r="U261" s="46">
        <f t="shared" si="116"/>
        <v>7.3786544747215382E-7</v>
      </c>
      <c r="V261" s="46">
        <f t="shared" si="116"/>
        <v>2.6586818018480528E-7</v>
      </c>
      <c r="W261" s="46">
        <f t="shared" si="116"/>
        <v>9.144462449414692E-8</v>
      </c>
      <c r="X261" s="46">
        <f t="shared" si="116"/>
        <v>3.0084332989957323E-8</v>
      </c>
      <c r="Y261" s="46">
        <f t="shared" ref="Y261" si="117">Y224-Y223</f>
        <v>1.0510766101830882E-2</v>
      </c>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row>
    <row r="262" spans="4:79">
      <c r="D262" s="7" t="s">
        <v>82</v>
      </c>
      <c r="E262" s="46">
        <f t="shared" si="103"/>
        <v>0</v>
      </c>
      <c r="F262" s="46">
        <f t="shared" si="103"/>
        <v>0</v>
      </c>
      <c r="G262" s="46">
        <f t="shared" si="103"/>
        <v>0</v>
      </c>
      <c r="H262" s="46">
        <f t="shared" si="103"/>
        <v>0</v>
      </c>
      <c r="I262" s="46">
        <f t="shared" si="103"/>
        <v>0</v>
      </c>
      <c r="J262" s="46">
        <f t="shared" si="103"/>
        <v>0</v>
      </c>
      <c r="K262" s="46">
        <f t="shared" si="103"/>
        <v>0</v>
      </c>
      <c r="L262" s="46">
        <f t="shared" si="103"/>
        <v>0</v>
      </c>
      <c r="M262" s="46">
        <f t="shared" si="103"/>
        <v>0</v>
      </c>
      <c r="N262" s="46">
        <f t="shared" si="103"/>
        <v>0</v>
      </c>
      <c r="O262" s="46">
        <f t="shared" si="103"/>
        <v>0</v>
      </c>
      <c r="P262" s="46">
        <f t="shared" si="103"/>
        <v>0</v>
      </c>
      <c r="Q262" s="46">
        <f t="shared" si="103"/>
        <v>0</v>
      </c>
      <c r="R262" s="46">
        <f t="shared" si="103"/>
        <v>0</v>
      </c>
      <c r="S262" s="46">
        <f t="shared" si="103"/>
        <v>0</v>
      </c>
      <c r="T262" s="46">
        <f t="shared" si="103"/>
        <v>0</v>
      </c>
      <c r="U262" s="46">
        <f t="shared" si="116"/>
        <v>0</v>
      </c>
      <c r="V262" s="46">
        <f t="shared" si="116"/>
        <v>0</v>
      </c>
      <c r="W262" s="46">
        <f t="shared" si="116"/>
        <v>0</v>
      </c>
      <c r="X262" s="46">
        <f t="shared" si="116"/>
        <v>0</v>
      </c>
      <c r="Y262" s="46">
        <f t="shared" ref="Y262" si="118">Y225-Y224</f>
        <v>0</v>
      </c>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row>
    <row r="263" spans="4:79">
      <c r="D263" s="7" t="s">
        <v>85</v>
      </c>
      <c r="E263" s="46">
        <f t="shared" si="103"/>
        <v>0</v>
      </c>
      <c r="F263" s="46">
        <f t="shared" si="103"/>
        <v>0</v>
      </c>
      <c r="G263" s="46">
        <f t="shared" si="103"/>
        <v>0</v>
      </c>
      <c r="H263" s="46">
        <f t="shared" si="103"/>
        <v>0</v>
      </c>
      <c r="I263" s="46">
        <f t="shared" si="103"/>
        <v>0</v>
      </c>
      <c r="J263" s="46">
        <f t="shared" si="103"/>
        <v>0</v>
      </c>
      <c r="K263" s="46">
        <f t="shared" si="103"/>
        <v>0</v>
      </c>
      <c r="L263" s="46">
        <f t="shared" si="103"/>
        <v>0</v>
      </c>
      <c r="M263" s="46">
        <f t="shared" si="103"/>
        <v>0</v>
      </c>
      <c r="N263" s="46">
        <f t="shared" si="103"/>
        <v>0</v>
      </c>
      <c r="O263" s="46">
        <f t="shared" si="103"/>
        <v>0</v>
      </c>
      <c r="P263" s="46">
        <f t="shared" si="103"/>
        <v>0</v>
      </c>
      <c r="Q263" s="46">
        <f t="shared" si="103"/>
        <v>0</v>
      </c>
      <c r="R263" s="46">
        <f t="shared" si="103"/>
        <v>0</v>
      </c>
      <c r="S263" s="46">
        <f t="shared" si="103"/>
        <v>0</v>
      </c>
      <c r="T263" s="46">
        <f t="shared" si="103"/>
        <v>0</v>
      </c>
      <c r="U263" s="46">
        <f t="shared" si="116"/>
        <v>0</v>
      </c>
      <c r="V263" s="46">
        <f t="shared" si="116"/>
        <v>0</v>
      </c>
      <c r="W263" s="46">
        <f t="shared" si="116"/>
        <v>0</v>
      </c>
      <c r="X263" s="46">
        <f t="shared" si="116"/>
        <v>0</v>
      </c>
      <c r="Y263" s="46">
        <f t="shared" ref="Y263" si="119">Y226-Y225</f>
        <v>0</v>
      </c>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row>
    <row r="264" spans="4:79">
      <c r="D264" s="7" t="s">
        <v>88</v>
      </c>
      <c r="E264" s="46">
        <f t="shared" si="103"/>
        <v>0</v>
      </c>
      <c r="F264" s="46">
        <f t="shared" si="103"/>
        <v>0</v>
      </c>
      <c r="G264" s="46">
        <f t="shared" si="103"/>
        <v>0</v>
      </c>
      <c r="H264" s="46">
        <f t="shared" si="103"/>
        <v>0</v>
      </c>
      <c r="I264" s="46">
        <f t="shared" si="103"/>
        <v>0</v>
      </c>
      <c r="J264" s="46">
        <f t="shared" si="103"/>
        <v>0</v>
      </c>
      <c r="K264" s="46">
        <f t="shared" si="103"/>
        <v>0</v>
      </c>
      <c r="L264" s="46">
        <f t="shared" si="103"/>
        <v>0</v>
      </c>
      <c r="M264" s="46">
        <f t="shared" si="103"/>
        <v>0</v>
      </c>
      <c r="N264" s="46">
        <f t="shared" si="103"/>
        <v>0</v>
      </c>
      <c r="O264" s="46">
        <f t="shared" si="103"/>
        <v>0</v>
      </c>
      <c r="P264" s="46">
        <f t="shared" si="103"/>
        <v>0</v>
      </c>
      <c r="Q264" s="46">
        <f t="shared" si="103"/>
        <v>0</v>
      </c>
      <c r="R264" s="46">
        <f t="shared" si="103"/>
        <v>0</v>
      </c>
      <c r="S264" s="46">
        <f t="shared" si="103"/>
        <v>0</v>
      </c>
      <c r="T264" s="46">
        <f t="shared" si="103"/>
        <v>0</v>
      </c>
      <c r="U264" s="46">
        <f t="shared" si="116"/>
        <v>0</v>
      </c>
      <c r="V264" s="46">
        <f t="shared" si="116"/>
        <v>0</v>
      </c>
      <c r="W264" s="46">
        <f t="shared" si="116"/>
        <v>0</v>
      </c>
      <c r="X264" s="46">
        <f t="shared" si="116"/>
        <v>0</v>
      </c>
      <c r="Y264" s="46">
        <f t="shared" ref="Y264" si="120">Y227-Y226</f>
        <v>0</v>
      </c>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row>
    <row r="265" spans="4:79">
      <c r="D265" s="7" t="s">
        <v>91</v>
      </c>
      <c r="E265" s="46">
        <f t="shared" ref="E265:Y265" si="121">E228-E227</f>
        <v>0</v>
      </c>
      <c r="F265" s="46">
        <f t="shared" si="121"/>
        <v>0</v>
      </c>
      <c r="G265" s="46">
        <f t="shared" si="121"/>
        <v>0</v>
      </c>
      <c r="H265" s="46">
        <f t="shared" si="121"/>
        <v>0</v>
      </c>
      <c r="I265" s="46">
        <f t="shared" si="121"/>
        <v>0</v>
      </c>
      <c r="J265" s="46">
        <f t="shared" si="121"/>
        <v>0</v>
      </c>
      <c r="K265" s="46">
        <f t="shared" si="121"/>
        <v>0</v>
      </c>
      <c r="L265" s="46">
        <f t="shared" si="121"/>
        <v>0</v>
      </c>
      <c r="M265" s="46">
        <f t="shared" si="121"/>
        <v>0</v>
      </c>
      <c r="N265" s="46">
        <f t="shared" si="121"/>
        <v>0</v>
      </c>
      <c r="O265" s="46">
        <f t="shared" si="121"/>
        <v>0</v>
      </c>
      <c r="P265" s="46">
        <f t="shared" si="121"/>
        <v>0</v>
      </c>
      <c r="Q265" s="46">
        <f t="shared" si="121"/>
        <v>0</v>
      </c>
      <c r="R265" s="46">
        <f t="shared" si="121"/>
        <v>0</v>
      </c>
      <c r="S265" s="46">
        <f t="shared" si="121"/>
        <v>0</v>
      </c>
      <c r="T265" s="46">
        <f t="shared" si="121"/>
        <v>0</v>
      </c>
      <c r="U265" s="46">
        <f t="shared" si="121"/>
        <v>0</v>
      </c>
      <c r="V265" s="46">
        <f t="shared" si="121"/>
        <v>0</v>
      </c>
      <c r="W265" s="46">
        <f t="shared" si="121"/>
        <v>0</v>
      </c>
      <c r="X265" s="46">
        <f t="shared" si="121"/>
        <v>0</v>
      </c>
      <c r="Y265" s="46">
        <f t="shared" si="121"/>
        <v>0</v>
      </c>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row>
    <row r="266" spans="4:79">
      <c r="D266" s="7" t="s">
        <v>94</v>
      </c>
      <c r="E266" s="46">
        <f t="shared" ref="E266:Y266" si="122">E229-E228</f>
        <v>0</v>
      </c>
      <c r="F266" s="46">
        <f t="shared" si="122"/>
        <v>0</v>
      </c>
      <c r="G266" s="46">
        <f t="shared" si="122"/>
        <v>0</v>
      </c>
      <c r="H266" s="46">
        <f t="shared" si="122"/>
        <v>0</v>
      </c>
      <c r="I266" s="46">
        <f t="shared" si="122"/>
        <v>0</v>
      </c>
      <c r="J266" s="46">
        <f t="shared" si="122"/>
        <v>0</v>
      </c>
      <c r="K266" s="46">
        <f t="shared" si="122"/>
        <v>0</v>
      </c>
      <c r="L266" s="46">
        <f t="shared" si="122"/>
        <v>0</v>
      </c>
      <c r="M266" s="46">
        <f t="shared" si="122"/>
        <v>0</v>
      </c>
      <c r="N266" s="46">
        <f t="shared" si="122"/>
        <v>0</v>
      </c>
      <c r="O266" s="46">
        <f t="shared" si="122"/>
        <v>0</v>
      </c>
      <c r="P266" s="46">
        <f t="shared" si="122"/>
        <v>0</v>
      </c>
      <c r="Q266" s="46">
        <f t="shared" si="122"/>
        <v>0</v>
      </c>
      <c r="R266" s="46">
        <f t="shared" si="122"/>
        <v>0</v>
      </c>
      <c r="S266" s="46">
        <f t="shared" si="122"/>
        <v>0</v>
      </c>
      <c r="T266" s="46">
        <f t="shared" si="122"/>
        <v>0</v>
      </c>
      <c r="U266" s="46">
        <f t="shared" si="122"/>
        <v>0</v>
      </c>
      <c r="V266" s="46">
        <f t="shared" si="122"/>
        <v>0</v>
      </c>
      <c r="W266" s="46">
        <f t="shared" si="122"/>
        <v>0</v>
      </c>
      <c r="X266" s="46">
        <f t="shared" si="122"/>
        <v>0</v>
      </c>
      <c r="Y266" s="46">
        <f t="shared" si="122"/>
        <v>0</v>
      </c>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row>
    <row r="267" spans="4:79">
      <c r="D267" s="7" t="s">
        <v>97</v>
      </c>
      <c r="E267" s="46">
        <f t="shared" ref="E267:Y267" si="123">E230-E229</f>
        <v>2.900138903738636E-3</v>
      </c>
      <c r="F267" s="46">
        <f t="shared" si="123"/>
        <v>2.9316003132677793E-3</v>
      </c>
      <c r="G267" s="46">
        <f t="shared" si="123"/>
        <v>2.962653807168536E-3</v>
      </c>
      <c r="H267" s="46">
        <f t="shared" si="123"/>
        <v>2.9945091855152484E-3</v>
      </c>
      <c r="I267" s="46">
        <f t="shared" si="123"/>
        <v>3.0267256075529048E-3</v>
      </c>
      <c r="J267" s="46">
        <f t="shared" si="123"/>
        <v>2.7449104116534784E-3</v>
      </c>
      <c r="K267" s="46">
        <f t="shared" si="123"/>
        <v>2.2127342231010871E-3</v>
      </c>
      <c r="L267" s="46">
        <f t="shared" si="123"/>
        <v>1.7842135785235413E-3</v>
      </c>
      <c r="M267" s="46">
        <f t="shared" si="123"/>
        <v>1.4389980908156019E-3</v>
      </c>
      <c r="N267" s="46">
        <f t="shared" si="123"/>
        <v>1.1607894345546654E-3</v>
      </c>
      <c r="O267" s="46">
        <f t="shared" si="123"/>
        <v>9.3649831836484232E-4</v>
      </c>
      <c r="P267" s="46">
        <f t="shared" si="123"/>
        <v>7.5563718289362036E-4</v>
      </c>
      <c r="Q267" s="46">
        <f t="shared" si="123"/>
        <v>6.0976088265896067E-4</v>
      </c>
      <c r="R267" s="46">
        <f t="shared" si="123"/>
        <v>4.9208585192050958E-4</v>
      </c>
      <c r="S267" s="46">
        <f t="shared" si="123"/>
        <v>3.9714366851995031E-4</v>
      </c>
      <c r="T267" s="46">
        <f t="shared" si="123"/>
        <v>3.2052212311906025E-4</v>
      </c>
      <c r="U267" s="46">
        <f t="shared" si="123"/>
        <v>2.2056227967099523E-6</v>
      </c>
      <c r="V267" s="46">
        <f t="shared" si="123"/>
        <v>7.9473150713864175E-7</v>
      </c>
      <c r="W267" s="46">
        <f t="shared" si="123"/>
        <v>2.7334570159339832E-7</v>
      </c>
      <c r="X267" s="46">
        <f t="shared" si="123"/>
        <v>8.9927900667698037E-8</v>
      </c>
      <c r="Y267" s="46">
        <f t="shared" si="123"/>
        <v>3.1418716521415035E-2</v>
      </c>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row>
    <row r="268" spans="4:79">
      <c r="D268" s="7" t="s">
        <v>1557</v>
      </c>
      <c r="E268" s="46">
        <f t="shared" ref="E268:X268" si="124">E231-E230</f>
        <v>0</v>
      </c>
      <c r="F268" s="46">
        <f t="shared" si="124"/>
        <v>0</v>
      </c>
      <c r="G268" s="46">
        <f t="shared" si="124"/>
        <v>0</v>
      </c>
      <c r="H268" s="46">
        <f t="shared" si="124"/>
        <v>0</v>
      </c>
      <c r="I268" s="46">
        <f t="shared" si="124"/>
        <v>0</v>
      </c>
      <c r="J268" s="46">
        <f t="shared" si="124"/>
        <v>0</v>
      </c>
      <c r="K268" s="46">
        <f t="shared" si="124"/>
        <v>0</v>
      </c>
      <c r="L268" s="46">
        <f t="shared" si="124"/>
        <v>0</v>
      </c>
      <c r="M268" s="46">
        <f t="shared" si="124"/>
        <v>0</v>
      </c>
      <c r="N268" s="46">
        <f t="shared" si="124"/>
        <v>0</v>
      </c>
      <c r="O268" s="46">
        <f t="shared" si="124"/>
        <v>0</v>
      </c>
      <c r="P268" s="46">
        <f t="shared" si="124"/>
        <v>0</v>
      </c>
      <c r="Q268" s="46">
        <f t="shared" si="124"/>
        <v>0</v>
      </c>
      <c r="R268" s="46">
        <f t="shared" si="124"/>
        <v>0</v>
      </c>
      <c r="S268" s="46">
        <f t="shared" si="124"/>
        <v>0</v>
      </c>
      <c r="T268" s="46">
        <f t="shared" si="124"/>
        <v>0</v>
      </c>
      <c r="U268" s="46">
        <f t="shared" si="124"/>
        <v>0</v>
      </c>
      <c r="V268" s="46">
        <f t="shared" si="124"/>
        <v>0</v>
      </c>
      <c r="W268" s="46">
        <f t="shared" si="124"/>
        <v>0</v>
      </c>
      <c r="X268" s="46">
        <f t="shared" si="124"/>
        <v>0</v>
      </c>
      <c r="Y268" s="46">
        <f t="shared" ref="Y268" si="125">Y231-Y230</f>
        <v>0</v>
      </c>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row>
    <row r="269" spans="4:79">
      <c r="D269" s="7" t="s">
        <v>1559</v>
      </c>
      <c r="E269" s="46">
        <f t="shared" ref="E269:X269" si="126">E232-E231</f>
        <v>2.0317164935399923E-2</v>
      </c>
      <c r="F269" s="46">
        <f t="shared" si="126"/>
        <v>2.0529821274308802E-2</v>
      </c>
      <c r="G269" s="46">
        <f t="shared" si="126"/>
        <v>2.0747898211458171E-2</v>
      </c>
      <c r="H269" s="46">
        <f t="shared" si="126"/>
        <v>2.0979753075436314E-2</v>
      </c>
      <c r="I269" s="46">
        <f t="shared" si="126"/>
        <v>2.1372327887260845E-2</v>
      </c>
      <c r="J269" s="46">
        <f t="shared" si="126"/>
        <v>1.9471421311682668E-2</v>
      </c>
      <c r="K269" s="46">
        <f t="shared" si="126"/>
        <v>1.5763871157395748E-2</v>
      </c>
      <c r="L269" s="46">
        <f t="shared" si="126"/>
        <v>1.2768454653405925E-2</v>
      </c>
      <c r="M269" s="46">
        <f t="shared" si="126"/>
        <v>1.0336534420134047E-2</v>
      </c>
      <c r="N269" s="46">
        <f t="shared" si="126"/>
        <v>8.4369008992752903E-3</v>
      </c>
      <c r="O269" s="46">
        <f t="shared" si="126"/>
        <v>6.8284142471639608E-3</v>
      </c>
      <c r="P269" s="46">
        <f t="shared" si="126"/>
        <v>5.5249162219948023E-3</v>
      </c>
      <c r="Q269" s="46">
        <f t="shared" si="126"/>
        <v>4.4698614938458725E-3</v>
      </c>
      <c r="R269" s="46">
        <f t="shared" si="126"/>
        <v>3.616066002283036E-3</v>
      </c>
      <c r="S269" s="46">
        <f t="shared" si="126"/>
        <v>2.9464614332989081E-3</v>
      </c>
      <c r="T269" s="46">
        <f t="shared" si="126"/>
        <v>2.3851000159333946E-3</v>
      </c>
      <c r="U269" s="46">
        <f t="shared" si="126"/>
        <v>1.6466803314882199E-5</v>
      </c>
      <c r="V269" s="46">
        <f t="shared" si="126"/>
        <v>5.9520912287969099E-6</v>
      </c>
      <c r="W269" s="46">
        <f t="shared" si="126"/>
        <v>2.052532753782821E-6</v>
      </c>
      <c r="X269" s="46">
        <f t="shared" si="126"/>
        <v>6.8241475482960648E-7</v>
      </c>
      <c r="Y269" s="46">
        <f t="shared" ref="Y269" si="127">Y232-Y231</f>
        <v>0.23841984048141995</v>
      </c>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row>
    <row r="270" spans="4:79">
      <c r="D270" s="7" t="s">
        <v>1562</v>
      </c>
      <c r="E270" s="46">
        <f t="shared" ref="E270:X270" si="128">E233-E232</f>
        <v>0</v>
      </c>
      <c r="F270" s="46">
        <f t="shared" si="128"/>
        <v>0</v>
      </c>
      <c r="G270" s="46">
        <f t="shared" si="128"/>
        <v>0</v>
      </c>
      <c r="H270" s="46">
        <f t="shared" si="128"/>
        <v>0</v>
      </c>
      <c r="I270" s="46">
        <f t="shared" si="128"/>
        <v>0</v>
      </c>
      <c r="J270" s="46">
        <f t="shared" si="128"/>
        <v>0</v>
      </c>
      <c r="K270" s="46">
        <f t="shared" si="128"/>
        <v>0</v>
      </c>
      <c r="L270" s="46">
        <f t="shared" si="128"/>
        <v>0</v>
      </c>
      <c r="M270" s="46">
        <f t="shared" si="128"/>
        <v>0</v>
      </c>
      <c r="N270" s="46">
        <f t="shared" si="128"/>
        <v>0</v>
      </c>
      <c r="O270" s="46">
        <f t="shared" si="128"/>
        <v>0</v>
      </c>
      <c r="P270" s="46">
        <f t="shared" si="128"/>
        <v>0</v>
      </c>
      <c r="Q270" s="46">
        <f t="shared" si="128"/>
        <v>0</v>
      </c>
      <c r="R270" s="46">
        <f t="shared" si="128"/>
        <v>0</v>
      </c>
      <c r="S270" s="46">
        <f t="shared" si="128"/>
        <v>0</v>
      </c>
      <c r="T270" s="46">
        <f t="shared" si="128"/>
        <v>0</v>
      </c>
      <c r="U270" s="46">
        <f t="shared" si="128"/>
        <v>0</v>
      </c>
      <c r="V270" s="46">
        <f t="shared" si="128"/>
        <v>0</v>
      </c>
      <c r="W270" s="46">
        <f t="shared" si="128"/>
        <v>0</v>
      </c>
      <c r="X270" s="46">
        <f t="shared" si="128"/>
        <v>0</v>
      </c>
      <c r="Y270" s="46">
        <f t="shared" ref="Y270" si="129">Y233-Y232</f>
        <v>0</v>
      </c>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row>
    <row r="271" spans="4:79">
      <c r="D271" s="7" t="s">
        <v>1565</v>
      </c>
      <c r="E271" s="46">
        <f t="shared" ref="E271:X271" si="130">E234-E233</f>
        <v>0</v>
      </c>
      <c r="F271" s="46">
        <f t="shared" si="130"/>
        <v>0</v>
      </c>
      <c r="G271" s="46">
        <f t="shared" si="130"/>
        <v>0</v>
      </c>
      <c r="H271" s="46">
        <f t="shared" si="130"/>
        <v>0</v>
      </c>
      <c r="I271" s="46">
        <f t="shared" si="130"/>
        <v>0</v>
      </c>
      <c r="J271" s="46">
        <f t="shared" si="130"/>
        <v>0</v>
      </c>
      <c r="K271" s="46">
        <f t="shared" si="130"/>
        <v>0</v>
      </c>
      <c r="L271" s="46">
        <f t="shared" si="130"/>
        <v>0</v>
      </c>
      <c r="M271" s="46">
        <f t="shared" si="130"/>
        <v>0</v>
      </c>
      <c r="N271" s="46">
        <f t="shared" si="130"/>
        <v>0</v>
      </c>
      <c r="O271" s="46">
        <f t="shared" si="130"/>
        <v>0</v>
      </c>
      <c r="P271" s="46">
        <f t="shared" si="130"/>
        <v>0</v>
      </c>
      <c r="Q271" s="46">
        <f t="shared" si="130"/>
        <v>0</v>
      </c>
      <c r="R271" s="46">
        <f t="shared" si="130"/>
        <v>0</v>
      </c>
      <c r="S271" s="46">
        <f t="shared" si="130"/>
        <v>0</v>
      </c>
      <c r="T271" s="46">
        <f t="shared" si="130"/>
        <v>0</v>
      </c>
      <c r="U271" s="46">
        <f t="shared" si="130"/>
        <v>0</v>
      </c>
      <c r="V271" s="46">
        <f t="shared" si="130"/>
        <v>0</v>
      </c>
      <c r="W271" s="46">
        <f t="shared" si="130"/>
        <v>0</v>
      </c>
      <c r="X271" s="46">
        <f t="shared" si="130"/>
        <v>0</v>
      </c>
      <c r="Y271" s="46">
        <f t="shared" ref="Y271" si="131">Y234-Y233</f>
        <v>0</v>
      </c>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row>
    <row r="272" spans="4:79">
      <c r="D272" s="7" t="s">
        <v>1568</v>
      </c>
      <c r="E272" s="46">
        <f t="shared" ref="E272:X272" si="132">E235-E234</f>
        <v>0</v>
      </c>
      <c r="F272" s="46">
        <f t="shared" si="132"/>
        <v>0</v>
      </c>
      <c r="G272" s="46">
        <f t="shared" si="132"/>
        <v>0</v>
      </c>
      <c r="H272" s="46">
        <f t="shared" si="132"/>
        <v>0</v>
      </c>
      <c r="I272" s="46">
        <f t="shared" si="132"/>
        <v>0</v>
      </c>
      <c r="J272" s="46">
        <f t="shared" si="132"/>
        <v>0</v>
      </c>
      <c r="K272" s="46">
        <f t="shared" si="132"/>
        <v>0</v>
      </c>
      <c r="L272" s="46">
        <f t="shared" si="132"/>
        <v>0</v>
      </c>
      <c r="M272" s="46">
        <f t="shared" si="132"/>
        <v>0</v>
      </c>
      <c r="N272" s="46">
        <f t="shared" si="132"/>
        <v>0</v>
      </c>
      <c r="O272" s="46">
        <f t="shared" si="132"/>
        <v>0</v>
      </c>
      <c r="P272" s="46">
        <f t="shared" si="132"/>
        <v>0</v>
      </c>
      <c r="Q272" s="46">
        <f t="shared" si="132"/>
        <v>0</v>
      </c>
      <c r="R272" s="46">
        <f t="shared" si="132"/>
        <v>0</v>
      </c>
      <c r="S272" s="46">
        <f t="shared" si="132"/>
        <v>0</v>
      </c>
      <c r="T272" s="46">
        <f t="shared" si="132"/>
        <v>0</v>
      </c>
      <c r="U272" s="46">
        <f t="shared" si="132"/>
        <v>0</v>
      </c>
      <c r="V272" s="46">
        <f t="shared" si="132"/>
        <v>0</v>
      </c>
      <c r="W272" s="46">
        <f t="shared" si="132"/>
        <v>0</v>
      </c>
      <c r="X272" s="46">
        <f t="shared" si="132"/>
        <v>0</v>
      </c>
      <c r="Y272" s="46">
        <f t="shared" ref="Y272" si="133">Y235-Y234</f>
        <v>0</v>
      </c>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row>
    <row r="273" spans="4:79">
      <c r="D273" s="7" t="s">
        <v>1571</v>
      </c>
      <c r="E273" s="46">
        <f t="shared" ref="E273:X273" si="134">E236-E235</f>
        <v>0</v>
      </c>
      <c r="F273" s="46">
        <f t="shared" si="134"/>
        <v>0</v>
      </c>
      <c r="G273" s="46">
        <f t="shared" si="134"/>
        <v>0</v>
      </c>
      <c r="H273" s="46">
        <f t="shared" si="134"/>
        <v>0</v>
      </c>
      <c r="I273" s="46">
        <f t="shared" si="134"/>
        <v>0</v>
      </c>
      <c r="J273" s="46">
        <f t="shared" si="134"/>
        <v>0</v>
      </c>
      <c r="K273" s="46">
        <f t="shared" si="134"/>
        <v>0</v>
      </c>
      <c r="L273" s="46">
        <f t="shared" si="134"/>
        <v>0</v>
      </c>
      <c r="M273" s="46">
        <f t="shared" si="134"/>
        <v>0</v>
      </c>
      <c r="N273" s="46">
        <f t="shared" si="134"/>
        <v>0</v>
      </c>
      <c r="O273" s="46">
        <f t="shared" si="134"/>
        <v>0</v>
      </c>
      <c r="P273" s="46">
        <f t="shared" si="134"/>
        <v>0</v>
      </c>
      <c r="Q273" s="46">
        <f t="shared" si="134"/>
        <v>0</v>
      </c>
      <c r="R273" s="46">
        <f t="shared" si="134"/>
        <v>0</v>
      </c>
      <c r="S273" s="46">
        <f t="shared" si="134"/>
        <v>0</v>
      </c>
      <c r="T273" s="46">
        <f t="shared" si="134"/>
        <v>0</v>
      </c>
      <c r="U273" s="46">
        <f t="shared" si="134"/>
        <v>0</v>
      </c>
      <c r="V273" s="46">
        <f t="shared" si="134"/>
        <v>0</v>
      </c>
      <c r="W273" s="46">
        <f t="shared" si="134"/>
        <v>0</v>
      </c>
      <c r="X273" s="46">
        <f t="shared" si="134"/>
        <v>0</v>
      </c>
      <c r="Y273" s="46">
        <f t="shared" ref="Y273" si="135">Y236-Y235</f>
        <v>0</v>
      </c>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row>
    <row r="274" spans="4:79">
      <c r="D274" s="7" t="s">
        <v>1574</v>
      </c>
      <c r="E274" s="46">
        <f t="shared" ref="E274:X274" si="136">E237-E236</f>
        <v>5.8300133257738196E-4</v>
      </c>
      <c r="F274" s="46">
        <f t="shared" si="136"/>
        <v>5.8932587229421074E-4</v>
      </c>
      <c r="G274" s="46">
        <f t="shared" si="136"/>
        <v>5.9556841064356547E-4</v>
      </c>
      <c r="H274" s="46">
        <f t="shared" si="136"/>
        <v>6.01972148065677E-4</v>
      </c>
      <c r="I274" s="46">
        <f t="shared" si="136"/>
        <v>6.084484644084398E-4</v>
      </c>
      <c r="J274" s="46">
        <f t="shared" si="136"/>
        <v>5.5179647627845441E-4</v>
      </c>
      <c r="K274" s="46">
        <f t="shared" si="136"/>
        <v>4.4481559108966451E-4</v>
      </c>
      <c r="L274" s="46">
        <f t="shared" si="136"/>
        <v>3.5867209413353862E-4</v>
      </c>
      <c r="M274" s="46">
        <f t="shared" si="136"/>
        <v>2.8927504246123448E-4</v>
      </c>
      <c r="N274" s="46">
        <f t="shared" si="136"/>
        <v>2.333480600933413E-4</v>
      </c>
      <c r="O274" s="46">
        <f t="shared" si="136"/>
        <v>1.882598681257619E-4</v>
      </c>
      <c r="P274" s="46">
        <f t="shared" si="136"/>
        <v>1.5190220165117729E-4</v>
      </c>
      <c r="Q274" s="46">
        <f t="shared" si="136"/>
        <v>1.2257737265120028E-4</v>
      </c>
      <c r="R274" s="46">
        <f t="shared" si="136"/>
        <v>9.8921712695432262E-5</v>
      </c>
      <c r="S274" s="46">
        <f t="shared" si="136"/>
        <v>7.9835930504534858E-5</v>
      </c>
      <c r="T274" s="46">
        <f t="shared" si="136"/>
        <v>6.4433060312563128E-5</v>
      </c>
      <c r="U274" s="46">
        <f t="shared" si="136"/>
        <v>4.4338601436905156E-7</v>
      </c>
      <c r="V274" s="46">
        <f t="shared" si="136"/>
        <v>1.5976115044216352E-7</v>
      </c>
      <c r="W274" s="46">
        <f t="shared" si="136"/>
        <v>5.4949405381334721E-8</v>
      </c>
      <c r="X274" s="46">
        <f t="shared" si="136"/>
        <v>1.8077784432227965E-8</v>
      </c>
      <c r="Y274" s="46">
        <f t="shared" ref="Y274" si="137">Y237-Y236</f>
        <v>6.3159573413074099E-3</v>
      </c>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row>
    <row r="275" spans="4:79">
      <c r="D275" s="7" t="s">
        <v>1577</v>
      </c>
      <c r="E275" s="46">
        <f t="shared" ref="E275:X275" si="138">E238-E237</f>
        <v>0</v>
      </c>
      <c r="F275" s="46">
        <f t="shared" si="138"/>
        <v>0</v>
      </c>
      <c r="G275" s="46">
        <f t="shared" si="138"/>
        <v>0</v>
      </c>
      <c r="H275" s="46">
        <f t="shared" si="138"/>
        <v>0</v>
      </c>
      <c r="I275" s="46">
        <f t="shared" si="138"/>
        <v>0</v>
      </c>
      <c r="J275" s="46">
        <f t="shared" si="138"/>
        <v>0</v>
      </c>
      <c r="K275" s="46">
        <f t="shared" si="138"/>
        <v>0</v>
      </c>
      <c r="L275" s="46">
        <f t="shared" si="138"/>
        <v>0</v>
      </c>
      <c r="M275" s="46">
        <f t="shared" si="138"/>
        <v>0</v>
      </c>
      <c r="N275" s="46">
        <f t="shared" si="138"/>
        <v>0</v>
      </c>
      <c r="O275" s="46">
        <f t="shared" si="138"/>
        <v>0</v>
      </c>
      <c r="P275" s="46">
        <f t="shared" si="138"/>
        <v>0</v>
      </c>
      <c r="Q275" s="46">
        <f t="shared" si="138"/>
        <v>0</v>
      </c>
      <c r="R275" s="46">
        <f t="shared" si="138"/>
        <v>0</v>
      </c>
      <c r="S275" s="46">
        <f t="shared" si="138"/>
        <v>0</v>
      </c>
      <c r="T275" s="46">
        <f t="shared" si="138"/>
        <v>0</v>
      </c>
      <c r="U275" s="46">
        <f t="shared" si="138"/>
        <v>0</v>
      </c>
      <c r="V275" s="46">
        <f t="shared" si="138"/>
        <v>0</v>
      </c>
      <c r="W275" s="46">
        <f t="shared" si="138"/>
        <v>0</v>
      </c>
      <c r="X275" s="46">
        <f t="shared" si="138"/>
        <v>0</v>
      </c>
      <c r="Y275" s="46">
        <f t="shared" ref="Y275" si="139">Y238-Y237</f>
        <v>0</v>
      </c>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row>
    <row r="276" spans="4:79">
      <c r="D276" s="7" t="s">
        <v>1580</v>
      </c>
      <c r="E276" s="46">
        <f t="shared" ref="E276:X276" si="140">E239-E238</f>
        <v>2.3318691236639211E-2</v>
      </c>
      <c r="F276" s="46">
        <f t="shared" si="140"/>
        <v>2.3327548079201677E-2</v>
      </c>
      <c r="G276" s="46">
        <f t="shared" si="140"/>
        <v>2.3337436532663958E-2</v>
      </c>
      <c r="H276" s="46">
        <f t="shared" si="140"/>
        <v>2.3357460743083536E-2</v>
      </c>
      <c r="I276" s="46">
        <f t="shared" si="140"/>
        <v>2.3383695503120805E-2</v>
      </c>
      <c r="J276" s="46">
        <f t="shared" si="140"/>
        <v>2.1072302471139004E-2</v>
      </c>
      <c r="K276" s="46">
        <f t="shared" si="140"/>
        <v>1.6881958600385438E-2</v>
      </c>
      <c r="L276" s="46">
        <f t="shared" si="140"/>
        <v>1.3527213578551134E-2</v>
      </c>
      <c r="M276" s="46">
        <f t="shared" si="140"/>
        <v>1.0840738147695816E-2</v>
      </c>
      <c r="N276" s="46">
        <f t="shared" si="140"/>
        <v>8.6889652647434978E-3</v>
      </c>
      <c r="O276" s="46">
        <f t="shared" si="140"/>
        <v>6.9650636431917157E-3</v>
      </c>
      <c r="P276" s="46">
        <f t="shared" si="140"/>
        <v>5.5838008404880402E-3</v>
      </c>
      <c r="Q276" s="46">
        <f t="shared" si="140"/>
        <v>4.4768845129707913E-3</v>
      </c>
      <c r="R276" s="46">
        <f t="shared" si="140"/>
        <v>3.589748125243597E-3</v>
      </c>
      <c r="S276" s="46">
        <f t="shared" si="140"/>
        <v>2.8786502564321914E-3</v>
      </c>
      <c r="T276" s="46">
        <f t="shared" si="140"/>
        <v>2.3085190301580516E-3</v>
      </c>
      <c r="U276" s="46">
        <f t="shared" si="140"/>
        <v>1.5785546121947942E-5</v>
      </c>
      <c r="V276" s="46">
        <f t="shared" si="140"/>
        <v>5.6522827323786124E-6</v>
      </c>
      <c r="W276" s="46">
        <f t="shared" si="140"/>
        <v>1.9320352779264756E-6</v>
      </c>
      <c r="X276" s="46">
        <f t="shared" si="140"/>
        <v>6.3171663185445899E-7</v>
      </c>
      <c r="Y276" s="46">
        <f t="shared" ref="Y276" si="141">Y239-Y238</f>
        <v>0.22070709569257474</v>
      </c>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row>
    <row r="277" spans="4:79">
      <c r="D277" s="7" t="s">
        <v>1583</v>
      </c>
      <c r="E277" s="46">
        <f t="shared" ref="E277:X277" si="142">E240-E239</f>
        <v>7.6373922005306127E-3</v>
      </c>
      <c r="F277" s="46">
        <f t="shared" si="142"/>
        <v>7.720244481660643E-3</v>
      </c>
      <c r="G277" s="46">
        <f t="shared" si="142"/>
        <v>7.8020225343617966E-3</v>
      </c>
      <c r="H277" s="46">
        <f t="shared" si="142"/>
        <v>7.8859123155785582E-3</v>
      </c>
      <c r="I277" s="46">
        <f t="shared" si="142"/>
        <v>7.9707528899710667E-3</v>
      </c>
      <c r="J277" s="46">
        <f t="shared" si="142"/>
        <v>7.2286045823872769E-3</v>
      </c>
      <c r="K277" s="46">
        <f t="shared" si="142"/>
        <v>5.8271412709167691E-3</v>
      </c>
      <c r="L277" s="46">
        <f t="shared" si="142"/>
        <v>4.6986504167563226E-3</v>
      </c>
      <c r="M277" s="46">
        <f t="shared" si="142"/>
        <v>3.7895401427885389E-3</v>
      </c>
      <c r="N277" s="46">
        <f t="shared" si="142"/>
        <v>3.0568895036373611E-3</v>
      </c>
      <c r="O277" s="46">
        <f t="shared" si="142"/>
        <v>2.466228408326554E-3</v>
      </c>
      <c r="P277" s="46">
        <f t="shared" si="142"/>
        <v>1.9899383162738093E-3</v>
      </c>
      <c r="Q277" s="46">
        <f t="shared" si="142"/>
        <v>1.6057792967805185E-3</v>
      </c>
      <c r="R277" s="46">
        <f t="shared" si="142"/>
        <v>1.295887118581196E-3</v>
      </c>
      <c r="S277" s="46">
        <f t="shared" si="142"/>
        <v>1.0458609249841544E-3</v>
      </c>
      <c r="T277" s="46">
        <f t="shared" si="142"/>
        <v>8.440813507423206E-4</v>
      </c>
      <c r="U277" s="46">
        <f t="shared" si="142"/>
        <v>5.8084136326016361E-6</v>
      </c>
      <c r="V277" s="46">
        <f t="shared" si="142"/>
        <v>2.0928915529926529E-6</v>
      </c>
      <c r="W277" s="46">
        <f t="shared" si="142"/>
        <v>7.1984425529018035E-7</v>
      </c>
      <c r="X277" s="46">
        <f t="shared" si="142"/>
        <v>2.3682129372652478E-7</v>
      </c>
      <c r="Y277" s="46">
        <f t="shared" ref="Y277" si="143">Y240-Y239</f>
        <v>8.2739850909263168E-2</v>
      </c>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row>
    <row r="278" spans="4:79">
      <c r="D278" s="7" t="s">
        <v>1586</v>
      </c>
      <c r="E278" s="46">
        <f t="shared" ref="E278:X278" si="144">E241-E240</f>
        <v>2.1774891427650545E-3</v>
      </c>
      <c r="F278" s="46">
        <f t="shared" si="144"/>
        <v>2.201111072590578E-3</v>
      </c>
      <c r="G278" s="46">
        <f t="shared" si="144"/>
        <v>2.2244267302395926E-3</v>
      </c>
      <c r="H278" s="46">
        <f t="shared" si="144"/>
        <v>2.2483444606624658E-3</v>
      </c>
      <c r="I278" s="46">
        <f t="shared" si="144"/>
        <v>2.2725332707640433E-3</v>
      </c>
      <c r="J278" s="46">
        <f t="shared" si="144"/>
        <v>2.0609401196391985E-3</v>
      </c>
      <c r="K278" s="46">
        <f t="shared" si="144"/>
        <v>1.6613703365795374E-3</v>
      </c>
      <c r="L278" s="46">
        <f t="shared" si="144"/>
        <v>1.3396274539134723E-3</v>
      </c>
      <c r="M278" s="46">
        <f t="shared" si="144"/>
        <v>1.0804319459225553E-3</v>
      </c>
      <c r="N278" s="46">
        <f t="shared" si="144"/>
        <v>8.7154666541033876E-4</v>
      </c>
      <c r="O278" s="46">
        <f t="shared" si="144"/>
        <v>7.0314387970471515E-4</v>
      </c>
      <c r="P278" s="46">
        <f t="shared" si="144"/>
        <v>5.6734929471824458E-4</v>
      </c>
      <c r="Q278" s="46">
        <f t="shared" si="144"/>
        <v>4.5782210636957643E-4</v>
      </c>
      <c r="R278" s="46">
        <f t="shared" si="144"/>
        <v>3.6946906180412853E-4</v>
      </c>
      <c r="S278" s="46">
        <f t="shared" si="144"/>
        <v>2.9818434737938215E-4</v>
      </c>
      <c r="T278" s="46">
        <f t="shared" si="144"/>
        <v>2.4065517765670119E-4</v>
      </c>
      <c r="U278" s="46">
        <f t="shared" si="144"/>
        <v>1.6560309186158112E-6</v>
      </c>
      <c r="V278" s="46">
        <f t="shared" si="144"/>
        <v>5.9670218760152736E-7</v>
      </c>
      <c r="W278" s="46">
        <f t="shared" si="144"/>
        <v>2.052340654008257E-7</v>
      </c>
      <c r="X278" s="46">
        <f t="shared" si="144"/>
        <v>6.7519878817917135E-8</v>
      </c>
      <c r="Y278" s="46">
        <f>Y241-Y240</f>
        <v>2.3589874959725421E-2</v>
      </c>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row>
    <row r="279" spans="4:79">
      <c r="E279" s="46"/>
      <c r="F279" s="46"/>
      <c r="G279" s="46"/>
      <c r="H279" s="46"/>
      <c r="I279" s="46"/>
      <c r="J279" s="46"/>
      <c r="K279" s="46"/>
      <c r="L279" s="46"/>
      <c r="M279" s="46"/>
      <c r="N279" s="46"/>
      <c r="O279" s="46"/>
      <c r="P279" s="46"/>
      <c r="Q279" s="46"/>
      <c r="R279" s="46"/>
      <c r="S279" s="46"/>
      <c r="T279" s="46"/>
      <c r="U279" s="46"/>
      <c r="V279" s="46"/>
      <c r="W279" s="46"/>
      <c r="X279" s="46"/>
      <c r="Y279" s="46"/>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row>
    <row r="280" spans="4:79" ht="15">
      <c r="D280" s="58" t="s">
        <v>104</v>
      </c>
      <c r="E280" s="59">
        <f>SUM(E247:E278)</f>
        <v>5.633071043986198</v>
      </c>
      <c r="F280" s="59">
        <f t="shared" ref="F280:Y280" si="145">SUM(F247:F278)</f>
        <v>5.6640658436123283</v>
      </c>
      <c r="G280" s="59">
        <f t="shared" si="145"/>
        <v>5.6957319485417894</v>
      </c>
      <c r="H280" s="59">
        <f t="shared" si="145"/>
        <v>5.7311899225820646</v>
      </c>
      <c r="I280" s="59">
        <f t="shared" si="145"/>
        <v>5.7918464112200532</v>
      </c>
      <c r="J280" s="59">
        <f t="shared" si="145"/>
        <v>5.249518304867089</v>
      </c>
      <c r="K280" s="59">
        <f t="shared" si="145"/>
        <v>4.2293035516838238</v>
      </c>
      <c r="L280" s="59">
        <f t="shared" si="145"/>
        <v>3.4087929285994458</v>
      </c>
      <c r="M280" s="59">
        <f t="shared" si="145"/>
        <v>2.7468001033233276</v>
      </c>
      <c r="N280" s="59">
        <f t="shared" si="145"/>
        <v>2.2239761528437985</v>
      </c>
      <c r="O280" s="59">
        <f t="shared" si="145"/>
        <v>1.792188297342558</v>
      </c>
      <c r="P280" s="59">
        <f t="shared" si="145"/>
        <v>1.4441709226163946</v>
      </c>
      <c r="Q280" s="59">
        <f t="shared" si="145"/>
        <v>1.1635926078751535</v>
      </c>
      <c r="R280" s="59">
        <f t="shared" si="145"/>
        <v>0.93768746996591701</v>
      </c>
      <c r="S280" s="59">
        <f t="shared" si="145"/>
        <v>0.75883998737498537</v>
      </c>
      <c r="T280" s="59">
        <f t="shared" si="145"/>
        <v>0.61176285822730969</v>
      </c>
      <c r="U280" s="59">
        <f t="shared" si="145"/>
        <v>4.2062130462144111E-3</v>
      </c>
      <c r="V280" s="59">
        <f t="shared" si="145"/>
        <v>1.514265776802209E-3</v>
      </c>
      <c r="W280" s="59">
        <f t="shared" si="145"/>
        <v>5.2021119041058023E-4</v>
      </c>
      <c r="X280" s="59">
        <f t="shared" si="145"/>
        <v>1.7177266583382438E-4</v>
      </c>
      <c r="Y280" s="59">
        <f t="shared" si="145"/>
        <v>60.013373534685456</v>
      </c>
      <c r="Z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row>
    <row r="281" spans="4:79" ht="15">
      <c r="D281" s="58" t="s">
        <v>105</v>
      </c>
      <c r="E281" s="59">
        <f>E280</f>
        <v>5.633071043986198</v>
      </c>
      <c r="F281" s="59">
        <f>E281+F280</f>
        <v>11.297136887598526</v>
      </c>
      <c r="G281" s="59">
        <f t="shared" ref="G281:X281" si="146">F281+G280</f>
        <v>16.992868836140318</v>
      </c>
      <c r="H281" s="59">
        <f t="shared" si="146"/>
        <v>22.724058758722382</v>
      </c>
      <c r="I281" s="59">
        <f t="shared" si="146"/>
        <v>28.515905169942435</v>
      </c>
      <c r="J281" s="59">
        <f t="shared" si="146"/>
        <v>33.765423474809523</v>
      </c>
      <c r="K281" s="59">
        <f t="shared" si="146"/>
        <v>37.994727026493351</v>
      </c>
      <c r="L281" s="59">
        <f t="shared" si="146"/>
        <v>41.403519955092797</v>
      </c>
      <c r="M281" s="59">
        <f t="shared" si="146"/>
        <v>44.150320058416128</v>
      </c>
      <c r="N281" s="59">
        <f t="shared" si="146"/>
        <v>46.374296211259924</v>
      </c>
      <c r="O281" s="59">
        <f t="shared" si="146"/>
        <v>48.16648450860248</v>
      </c>
      <c r="P281" s="59">
        <f t="shared" si="146"/>
        <v>49.610655431218873</v>
      </c>
      <c r="Q281" s="59">
        <f t="shared" si="146"/>
        <v>50.774248039094026</v>
      </c>
      <c r="R281" s="59">
        <f t="shared" si="146"/>
        <v>51.711935509059941</v>
      </c>
      <c r="S281" s="59">
        <f t="shared" si="146"/>
        <v>52.470775496434925</v>
      </c>
      <c r="T281" s="59">
        <f t="shared" si="146"/>
        <v>53.082538354662233</v>
      </c>
      <c r="U281" s="59">
        <f t="shared" si="146"/>
        <v>53.08674456770845</v>
      </c>
      <c r="V281" s="59">
        <f t="shared" si="146"/>
        <v>53.088258833485256</v>
      </c>
      <c r="W281" s="59">
        <f t="shared" si="146"/>
        <v>53.088779044675668</v>
      </c>
      <c r="X281" s="59">
        <f t="shared" si="146"/>
        <v>53.088950817341505</v>
      </c>
      <c r="Y281" s="59"/>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row>
    <row r="282" spans="4:79">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row>
    <row r="283" spans="4:79">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row>
    <row r="284" spans="4:79" customFormat="1"/>
    <row r="285" spans="4:79" customFormat="1"/>
    <row r="286" spans="4:79" customFormat="1"/>
    <row r="287" spans="4:79" customFormat="1"/>
    <row r="288" spans="4:79" customFormat="1"/>
    <row r="289" customFormat="1"/>
    <row r="290" customFormat="1"/>
    <row r="291" customFormat="1"/>
  </sheetData>
  <mergeCells count="1">
    <mergeCell ref="B1:S6"/>
  </mergeCell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dimension ref="A1:C15"/>
  <sheetViews>
    <sheetView workbookViewId="0">
      <selection activeCell="C5" sqref="C5"/>
    </sheetView>
  </sheetViews>
  <sheetFormatPr defaultRowHeight="12.75"/>
  <cols>
    <col min="1" max="1" width="95.28515625" bestFit="1" customWidth="1"/>
  </cols>
  <sheetData>
    <row r="1" spans="1:3">
      <c r="A1" t="s">
        <v>1648</v>
      </c>
    </row>
    <row r="2" spans="1:3">
      <c r="B2" t="s">
        <v>1649</v>
      </c>
    </row>
    <row r="3" spans="1:3">
      <c r="A3" s="767" t="s">
        <v>1290</v>
      </c>
      <c r="B3" s="721">
        <v>0.5</v>
      </c>
      <c r="C3" t="s">
        <v>1655</v>
      </c>
    </row>
    <row r="4" spans="1:3">
      <c r="A4" s="769" t="s">
        <v>1292</v>
      </c>
      <c r="B4" s="721">
        <v>0.5</v>
      </c>
      <c r="C4" t="s">
        <v>1656</v>
      </c>
    </row>
    <row r="5" spans="1:3">
      <c r="A5" s="769" t="s">
        <v>1294</v>
      </c>
      <c r="B5" s="721">
        <v>1</v>
      </c>
    </row>
    <row r="6" spans="1:3">
      <c r="A6" s="769" t="s">
        <v>1296</v>
      </c>
      <c r="B6" s="721">
        <v>1</v>
      </c>
    </row>
    <row r="7" spans="1:3">
      <c r="A7" s="769" t="s">
        <v>1298</v>
      </c>
      <c r="B7" s="721">
        <v>1</v>
      </c>
    </row>
    <row r="8" spans="1:3">
      <c r="A8" s="769" t="s">
        <v>1300</v>
      </c>
      <c r="B8" s="721">
        <v>1</v>
      </c>
    </row>
    <row r="9" spans="1:3">
      <c r="A9" s="769" t="s">
        <v>1302</v>
      </c>
      <c r="B9" s="721">
        <v>1</v>
      </c>
    </row>
    <row r="10" spans="1:3">
      <c r="A10" s="769" t="s">
        <v>1304</v>
      </c>
      <c r="B10" s="721">
        <v>1</v>
      </c>
    </row>
    <row r="11" spans="1:3">
      <c r="A11" s="769" t="s">
        <v>1306</v>
      </c>
      <c r="B11" s="721">
        <v>1</v>
      </c>
    </row>
    <row r="12" spans="1:3">
      <c r="A12" s="769" t="s">
        <v>1308</v>
      </c>
      <c r="B12" s="721">
        <v>1</v>
      </c>
    </row>
    <row r="13" spans="1:3">
      <c r="A13" s="769" t="s">
        <v>1310</v>
      </c>
      <c r="B13" s="721">
        <v>1</v>
      </c>
    </row>
    <row r="14" spans="1:3">
      <c r="A14" s="769" t="s">
        <v>1312</v>
      </c>
      <c r="B14" s="721">
        <v>1</v>
      </c>
    </row>
    <row r="15" spans="1:3">
      <c r="A15" s="771" t="s">
        <v>1314</v>
      </c>
      <c r="B15" s="721">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4"/>
  <dimension ref="A1:H95"/>
  <sheetViews>
    <sheetView topLeftCell="A46" workbookViewId="0">
      <selection activeCell="G59" sqref="G59:G81"/>
    </sheetView>
  </sheetViews>
  <sheetFormatPr defaultRowHeight="12.75"/>
  <cols>
    <col min="1" max="1" width="11.42578125" bestFit="1" customWidth="1"/>
    <col min="2" max="2" width="10.140625" bestFit="1" customWidth="1"/>
    <col min="3" max="3" width="10.42578125" bestFit="1" customWidth="1"/>
    <col min="4" max="4" width="16.85546875" bestFit="1" customWidth="1"/>
    <col min="5" max="5" width="25.140625" bestFit="1" customWidth="1"/>
    <col min="6" max="6" width="17" customWidth="1"/>
    <col min="7" max="7" width="19.85546875" bestFit="1" customWidth="1"/>
  </cols>
  <sheetData>
    <row r="1" spans="1:7">
      <c r="A1" s="773" t="s">
        <v>1617</v>
      </c>
      <c r="B1" s="774" t="s">
        <v>1618</v>
      </c>
      <c r="C1" s="774" t="s">
        <v>1619</v>
      </c>
      <c r="D1" s="774" t="s">
        <v>1620</v>
      </c>
      <c r="E1" s="774" t="s">
        <v>1621</v>
      </c>
      <c r="F1" s="774" t="s">
        <v>1622</v>
      </c>
      <c r="G1" s="775" t="s">
        <v>1623</v>
      </c>
    </row>
    <row r="2" spans="1:7">
      <c r="A2" s="776">
        <v>2010</v>
      </c>
      <c r="B2" s="777" t="s">
        <v>1624</v>
      </c>
      <c r="C2" s="777" t="s">
        <v>1268</v>
      </c>
      <c r="D2" s="777" t="s">
        <v>1625</v>
      </c>
      <c r="E2" s="777" t="s">
        <v>1626</v>
      </c>
      <c r="F2" s="778">
        <v>494391.04000000004</v>
      </c>
      <c r="G2" s="779">
        <v>5.6437333230860531E-2</v>
      </c>
    </row>
    <row r="3" spans="1:7">
      <c r="A3" s="780">
        <v>2010</v>
      </c>
      <c r="B3" s="781" t="s">
        <v>1624</v>
      </c>
      <c r="C3" s="781" t="s">
        <v>1268</v>
      </c>
      <c r="D3" s="781" t="s">
        <v>1625</v>
      </c>
      <c r="E3" s="781" t="s">
        <v>1627</v>
      </c>
      <c r="F3" s="782">
        <v>187828.58500000002</v>
      </c>
      <c r="G3" s="783">
        <v>2.1441618824610487E-2</v>
      </c>
    </row>
    <row r="4" spans="1:7">
      <c r="A4" s="784">
        <v>2010</v>
      </c>
      <c r="B4" s="785" t="s">
        <v>1624</v>
      </c>
      <c r="C4" s="785" t="s">
        <v>1268</v>
      </c>
      <c r="D4" s="785" t="s">
        <v>1628</v>
      </c>
      <c r="E4" s="785" t="s">
        <v>1629</v>
      </c>
      <c r="F4" s="786">
        <v>24646.239999999998</v>
      </c>
      <c r="G4" s="787">
        <v>2.8134976887486118E-3</v>
      </c>
    </row>
    <row r="5" spans="1:7">
      <c r="A5" s="780">
        <v>2010</v>
      </c>
      <c r="B5" s="781" t="s">
        <v>1624</v>
      </c>
      <c r="C5" s="781" t="s">
        <v>1268</v>
      </c>
      <c r="D5" s="781" t="s">
        <v>1628</v>
      </c>
      <c r="E5" s="781" t="s">
        <v>1630</v>
      </c>
      <c r="F5" s="782">
        <v>469322.04</v>
      </c>
      <c r="G5" s="783">
        <v>5.3575575762806693E-2</v>
      </c>
    </row>
    <row r="6" spans="1:7">
      <c r="A6" s="784">
        <v>2010</v>
      </c>
      <c r="B6" s="785" t="s">
        <v>1624</v>
      </c>
      <c r="C6" s="785" t="s">
        <v>1268</v>
      </c>
      <c r="D6" s="785" t="s">
        <v>1628</v>
      </c>
      <c r="E6" s="785" t="s">
        <v>1631</v>
      </c>
      <c r="F6" s="786">
        <v>404415.72</v>
      </c>
      <c r="G6" s="787">
        <v>4.6166178428393323E-2</v>
      </c>
    </row>
    <row r="7" spans="1:7">
      <c r="A7" s="780">
        <v>2010</v>
      </c>
      <c r="B7" s="781" t="s">
        <v>1624</v>
      </c>
      <c r="C7" s="781" t="s">
        <v>1268</v>
      </c>
      <c r="D7" s="781" t="s">
        <v>1628</v>
      </c>
      <c r="E7" s="781" t="s">
        <v>1632</v>
      </c>
      <c r="F7" s="782">
        <v>517886.84</v>
      </c>
      <c r="G7" s="783">
        <v>5.9119501844179467E-2</v>
      </c>
    </row>
    <row r="8" spans="1:7">
      <c r="A8" s="784">
        <v>2010</v>
      </c>
      <c r="B8" s="785" t="s">
        <v>1624</v>
      </c>
      <c r="C8" s="785" t="s">
        <v>1268</v>
      </c>
      <c r="D8" s="785" t="s">
        <v>1628</v>
      </c>
      <c r="E8" s="785" t="s">
        <v>1633</v>
      </c>
      <c r="F8" s="786">
        <v>13226</v>
      </c>
      <c r="G8" s="787">
        <v>1.5098173607839271E-3</v>
      </c>
    </row>
    <row r="9" spans="1:7">
      <c r="A9" s="780">
        <v>2010</v>
      </c>
      <c r="B9" s="781" t="s">
        <v>1624</v>
      </c>
      <c r="C9" s="781" t="s">
        <v>1268</v>
      </c>
      <c r="D9" s="781" t="s">
        <v>1628</v>
      </c>
      <c r="E9" s="781" t="s">
        <v>1634</v>
      </c>
      <c r="F9" s="782">
        <v>9612.48</v>
      </c>
      <c r="G9" s="783">
        <v>1.0973150801873999E-3</v>
      </c>
    </row>
    <row r="10" spans="1:7">
      <c r="A10" s="784">
        <v>2010</v>
      </c>
      <c r="B10" s="785" t="s">
        <v>1624</v>
      </c>
      <c r="C10" s="785" t="s">
        <v>1268</v>
      </c>
      <c r="D10" s="785" t="s">
        <v>1628</v>
      </c>
      <c r="E10" s="785" t="s">
        <v>1635</v>
      </c>
      <c r="F10" s="786">
        <v>87441.560000000012</v>
      </c>
      <c r="G10" s="787">
        <v>9.9819132228731178E-3</v>
      </c>
    </row>
    <row r="11" spans="1:7">
      <c r="A11" s="780">
        <v>2010</v>
      </c>
      <c r="B11" s="781" t="s">
        <v>1624</v>
      </c>
      <c r="C11" s="781" t="s">
        <v>1268</v>
      </c>
      <c r="D11" s="781" t="s">
        <v>1628</v>
      </c>
      <c r="E11" s="781" t="s">
        <v>1626</v>
      </c>
      <c r="F11" s="782">
        <v>341837</v>
      </c>
      <c r="G11" s="783">
        <v>3.9022488000568956E-2</v>
      </c>
    </row>
    <row r="12" spans="1:7">
      <c r="A12" s="784">
        <v>2010</v>
      </c>
      <c r="B12" s="785" t="s">
        <v>1624</v>
      </c>
      <c r="C12" s="785" t="s">
        <v>1268</v>
      </c>
      <c r="D12" s="785" t="s">
        <v>1628</v>
      </c>
      <c r="E12" s="785" t="s">
        <v>1636</v>
      </c>
      <c r="F12" s="786">
        <v>202896.16</v>
      </c>
      <c r="G12" s="787">
        <v>2.3161662889378931E-2</v>
      </c>
    </row>
    <row r="13" spans="1:7">
      <c r="A13" s="780">
        <v>2010</v>
      </c>
      <c r="B13" s="781" t="s">
        <v>1624</v>
      </c>
      <c r="C13" s="781" t="s">
        <v>1268</v>
      </c>
      <c r="D13" s="781" t="s">
        <v>1628</v>
      </c>
      <c r="E13" s="781" t="s">
        <v>1637</v>
      </c>
      <c r="F13" s="782">
        <v>1378958</v>
      </c>
      <c r="G13" s="783">
        <v>0.1574152967241389</v>
      </c>
    </row>
    <row r="14" spans="1:7">
      <c r="A14" s="784">
        <v>2010</v>
      </c>
      <c r="B14" s="785" t="s">
        <v>1624</v>
      </c>
      <c r="C14" s="785" t="s">
        <v>1268</v>
      </c>
      <c r="D14" s="785" t="s">
        <v>1628</v>
      </c>
      <c r="E14" s="785" t="s">
        <v>1638</v>
      </c>
      <c r="F14" s="786">
        <v>1686323.16</v>
      </c>
      <c r="G14" s="787">
        <v>0.19250264415632046</v>
      </c>
    </row>
    <row r="15" spans="1:7">
      <c r="A15" s="780">
        <v>2010</v>
      </c>
      <c r="B15" s="781" t="s">
        <v>1624</v>
      </c>
      <c r="C15" s="781" t="s">
        <v>1268</v>
      </c>
      <c r="D15" s="781" t="s">
        <v>1628</v>
      </c>
      <c r="E15" s="781" t="s">
        <v>1627</v>
      </c>
      <c r="F15" s="782">
        <v>1574985.3998000002</v>
      </c>
      <c r="G15" s="783">
        <v>0.17979285730962147</v>
      </c>
    </row>
    <row r="16" spans="1:7">
      <c r="A16" s="784">
        <v>2010</v>
      </c>
      <c r="B16" s="785" t="s">
        <v>1624</v>
      </c>
      <c r="C16" s="785" t="s">
        <v>1268</v>
      </c>
      <c r="D16" s="785" t="s">
        <v>1639</v>
      </c>
      <c r="E16" s="785" t="s">
        <v>1639</v>
      </c>
      <c r="F16" s="786">
        <v>10372574.32</v>
      </c>
      <c r="G16" s="787">
        <v>1.1840838240459561</v>
      </c>
    </row>
    <row r="17" spans="1:7">
      <c r="A17" s="780">
        <v>2010</v>
      </c>
      <c r="B17" s="781" t="s">
        <v>1624</v>
      </c>
      <c r="C17" s="781" t="s">
        <v>1268</v>
      </c>
      <c r="D17" s="781" t="s">
        <v>1639</v>
      </c>
      <c r="E17" s="781" t="s">
        <v>1627</v>
      </c>
      <c r="F17" s="782">
        <v>1796619.5407999996</v>
      </c>
      <c r="G17" s="783">
        <v>0.20509355481772218</v>
      </c>
    </row>
    <row r="18" spans="1:7">
      <c r="A18" s="784">
        <v>2010</v>
      </c>
      <c r="B18" s="785" t="s">
        <v>1624</v>
      </c>
      <c r="C18" s="785" t="s">
        <v>1268</v>
      </c>
      <c r="D18" s="785" t="s">
        <v>1640</v>
      </c>
      <c r="E18" s="785" t="s">
        <v>1641</v>
      </c>
      <c r="F18" s="786">
        <v>51846</v>
      </c>
      <c r="G18" s="787">
        <v>5.918493028730154E-3</v>
      </c>
    </row>
    <row r="19" spans="1:7">
      <c r="A19" s="780">
        <v>2010</v>
      </c>
      <c r="B19" s="781" t="s">
        <v>1624</v>
      </c>
      <c r="C19" s="781" t="s">
        <v>1268</v>
      </c>
      <c r="D19" s="781" t="s">
        <v>1642</v>
      </c>
      <c r="E19" s="781" t="s">
        <v>1627</v>
      </c>
      <c r="F19" s="782">
        <v>12163989</v>
      </c>
      <c r="G19" s="783">
        <v>1.3885831832885742</v>
      </c>
    </row>
    <row r="20" spans="1:7">
      <c r="A20" s="784">
        <v>2010</v>
      </c>
      <c r="B20" s="785" t="s">
        <v>1624</v>
      </c>
      <c r="C20" s="785" t="s">
        <v>1268</v>
      </c>
      <c r="D20" s="785" t="s">
        <v>1642</v>
      </c>
      <c r="E20" s="785" t="s">
        <v>1643</v>
      </c>
      <c r="F20" s="786">
        <v>931493</v>
      </c>
      <c r="G20" s="787">
        <v>0.10633481596596539</v>
      </c>
    </row>
    <row r="21" spans="1:7">
      <c r="A21" s="776">
        <v>2011</v>
      </c>
      <c r="B21" s="777" t="s">
        <v>1624</v>
      </c>
      <c r="C21" s="777" t="s">
        <v>1268</v>
      </c>
      <c r="D21" s="777" t="s">
        <v>1625</v>
      </c>
      <c r="E21" s="777" t="s">
        <v>1626</v>
      </c>
      <c r="F21" s="778">
        <v>285487.35999999999</v>
      </c>
      <c r="G21" s="779">
        <v>3.2589881011517718E-2</v>
      </c>
    </row>
    <row r="22" spans="1:7">
      <c r="A22" s="780">
        <v>2011</v>
      </c>
      <c r="B22" s="781" t="s">
        <v>1624</v>
      </c>
      <c r="C22" s="781" t="s">
        <v>1268</v>
      </c>
      <c r="D22" s="781" t="s">
        <v>1628</v>
      </c>
      <c r="E22" s="781" t="s">
        <v>1629</v>
      </c>
      <c r="F22" s="782">
        <v>52182.400000000001</v>
      </c>
      <c r="G22" s="783">
        <v>5.9568949918684666E-3</v>
      </c>
    </row>
    <row r="23" spans="1:7">
      <c r="A23" s="784">
        <v>2011</v>
      </c>
      <c r="B23" s="785" t="s">
        <v>1624</v>
      </c>
      <c r="C23" s="785" t="s">
        <v>1268</v>
      </c>
      <c r="D23" s="785" t="s">
        <v>1628</v>
      </c>
      <c r="E23" s="785" t="s">
        <v>1630</v>
      </c>
      <c r="F23" s="786">
        <v>289636</v>
      </c>
      <c r="G23" s="787">
        <v>3.306347038687818E-2</v>
      </c>
    </row>
    <row r="24" spans="1:7">
      <c r="A24" s="780">
        <v>2011</v>
      </c>
      <c r="B24" s="781" t="s">
        <v>1624</v>
      </c>
      <c r="C24" s="781" t="s">
        <v>1268</v>
      </c>
      <c r="D24" s="781" t="s">
        <v>1628</v>
      </c>
      <c r="E24" s="781" t="s">
        <v>1631</v>
      </c>
      <c r="F24" s="782">
        <v>447621</v>
      </c>
      <c r="G24" s="783">
        <v>5.109828859258414E-2</v>
      </c>
    </row>
    <row r="25" spans="1:7">
      <c r="A25" s="784">
        <v>2011</v>
      </c>
      <c r="B25" s="785" t="s">
        <v>1624</v>
      </c>
      <c r="C25" s="785" t="s">
        <v>1268</v>
      </c>
      <c r="D25" s="785" t="s">
        <v>1628</v>
      </c>
      <c r="E25" s="785" t="s">
        <v>1632</v>
      </c>
      <c r="F25" s="786">
        <v>199860.48000000001</v>
      </c>
      <c r="G25" s="787">
        <v>2.2815123348209454E-2</v>
      </c>
    </row>
    <row r="26" spans="1:7">
      <c r="A26" s="780">
        <v>2011</v>
      </c>
      <c r="B26" s="781" t="s">
        <v>1624</v>
      </c>
      <c r="C26" s="781" t="s">
        <v>1268</v>
      </c>
      <c r="D26" s="781" t="s">
        <v>1628</v>
      </c>
      <c r="E26" s="781" t="s">
        <v>1633</v>
      </c>
      <c r="F26" s="782">
        <v>8568</v>
      </c>
      <c r="G26" s="783">
        <v>9.7808220016304404E-4</v>
      </c>
    </row>
    <row r="27" spans="1:7">
      <c r="A27" s="784">
        <v>2011</v>
      </c>
      <c r="B27" s="785" t="s">
        <v>1624</v>
      </c>
      <c r="C27" s="785" t="s">
        <v>1268</v>
      </c>
      <c r="D27" s="785" t="s">
        <v>1628</v>
      </c>
      <c r="E27" s="785" t="s">
        <v>1634</v>
      </c>
      <c r="F27" s="786">
        <v>2788.64</v>
      </c>
      <c r="G27" s="787">
        <v>3.1833790399105055E-4</v>
      </c>
    </row>
    <row r="28" spans="1:7">
      <c r="A28" s="780">
        <v>2011</v>
      </c>
      <c r="B28" s="781" t="s">
        <v>1624</v>
      </c>
      <c r="C28" s="781" t="s">
        <v>1268</v>
      </c>
      <c r="D28" s="781" t="s">
        <v>1628</v>
      </c>
      <c r="E28" s="781" t="s">
        <v>1635</v>
      </c>
      <c r="F28" s="782">
        <v>76583.320000000007</v>
      </c>
      <c r="G28" s="783">
        <v>8.7423880540882237E-3</v>
      </c>
    </row>
    <row r="29" spans="1:7">
      <c r="A29" s="784">
        <v>2011</v>
      </c>
      <c r="B29" s="785" t="s">
        <v>1624</v>
      </c>
      <c r="C29" s="785" t="s">
        <v>1268</v>
      </c>
      <c r="D29" s="785" t="s">
        <v>1628</v>
      </c>
      <c r="E29" s="785" t="s">
        <v>1626</v>
      </c>
      <c r="F29" s="786">
        <v>1087714</v>
      </c>
      <c r="G29" s="787">
        <v>0.12416826453841168</v>
      </c>
    </row>
    <row r="30" spans="1:7">
      <c r="A30" s="780">
        <v>2011</v>
      </c>
      <c r="B30" s="781" t="s">
        <v>1624</v>
      </c>
      <c r="C30" s="781" t="s">
        <v>1268</v>
      </c>
      <c r="D30" s="781" t="s">
        <v>1628</v>
      </c>
      <c r="E30" s="781" t="s">
        <v>1636</v>
      </c>
      <c r="F30" s="782">
        <v>165425.44</v>
      </c>
      <c r="G30" s="783">
        <v>1.8884182646161207E-2</v>
      </c>
    </row>
    <row r="31" spans="1:7">
      <c r="A31" s="784">
        <v>2011</v>
      </c>
      <c r="B31" s="785" t="s">
        <v>1624</v>
      </c>
      <c r="C31" s="785" t="s">
        <v>1268</v>
      </c>
      <c r="D31" s="785" t="s">
        <v>1628</v>
      </c>
      <c r="E31" s="785" t="s">
        <v>1637</v>
      </c>
      <c r="F31" s="786">
        <v>2142940</v>
      </c>
      <c r="G31" s="787">
        <v>0.24462785306968726</v>
      </c>
    </row>
    <row r="32" spans="1:7">
      <c r="A32" s="780">
        <v>2011</v>
      </c>
      <c r="B32" s="781" t="s">
        <v>1624</v>
      </c>
      <c r="C32" s="781" t="s">
        <v>1268</v>
      </c>
      <c r="D32" s="781" t="s">
        <v>1628</v>
      </c>
      <c r="E32" s="781" t="s">
        <v>1638</v>
      </c>
      <c r="F32" s="782">
        <v>1780161.24</v>
      </c>
      <c r="G32" s="783">
        <v>0.20321475221953733</v>
      </c>
    </row>
    <row r="33" spans="1:7">
      <c r="A33" s="784">
        <v>2011</v>
      </c>
      <c r="B33" s="785" t="s">
        <v>1624</v>
      </c>
      <c r="C33" s="785" t="s">
        <v>1268</v>
      </c>
      <c r="D33" s="785" t="s">
        <v>1628</v>
      </c>
      <c r="E33" s="785" t="s">
        <v>1627</v>
      </c>
      <c r="F33" s="786">
        <v>2871819.9588409988</v>
      </c>
      <c r="G33" s="787">
        <v>0.32783332551980493</v>
      </c>
    </row>
    <row r="34" spans="1:7">
      <c r="A34" s="780">
        <v>2011</v>
      </c>
      <c r="B34" s="781" t="s">
        <v>1624</v>
      </c>
      <c r="C34" s="781" t="s">
        <v>1268</v>
      </c>
      <c r="D34" s="781" t="s">
        <v>1639</v>
      </c>
      <c r="E34" s="781" t="s">
        <v>1639</v>
      </c>
      <c r="F34" s="782">
        <v>14097640.960000001</v>
      </c>
      <c r="G34" s="783">
        <v>1.6093197800219059</v>
      </c>
    </row>
    <row r="35" spans="1:7">
      <c r="A35" s="784">
        <v>2011</v>
      </c>
      <c r="B35" s="785" t="s">
        <v>1624</v>
      </c>
      <c r="C35" s="785" t="s">
        <v>1268</v>
      </c>
      <c r="D35" s="785" t="s">
        <v>1639</v>
      </c>
      <c r="E35" s="785" t="s">
        <v>1627</v>
      </c>
      <c r="F35" s="786">
        <v>722070.17552999989</v>
      </c>
      <c r="G35" s="787">
        <v>8.2428100780816749E-2</v>
      </c>
    </row>
    <row r="36" spans="1:7">
      <c r="A36" s="780">
        <v>2011</v>
      </c>
      <c r="B36" s="781" t="s">
        <v>1624</v>
      </c>
      <c r="C36" s="781" t="s">
        <v>1268</v>
      </c>
      <c r="D36" s="781" t="s">
        <v>1640</v>
      </c>
      <c r="E36" s="781" t="s">
        <v>1641</v>
      </c>
      <c r="F36" s="782">
        <v>795074</v>
      </c>
      <c r="G36" s="783">
        <v>9.0761872357688844E-2</v>
      </c>
    </row>
    <row r="37" spans="1:7">
      <c r="A37" s="784">
        <v>2011</v>
      </c>
      <c r="B37" s="785" t="s">
        <v>1624</v>
      </c>
      <c r="C37" s="785" t="s">
        <v>1268</v>
      </c>
      <c r="D37" s="785" t="s">
        <v>1642</v>
      </c>
      <c r="E37" s="785" t="s">
        <v>1627</v>
      </c>
      <c r="F37" s="786">
        <v>15503635</v>
      </c>
      <c r="G37" s="787">
        <v>1.7698214054107666</v>
      </c>
    </row>
    <row r="38" spans="1:7">
      <c r="A38" s="780">
        <v>2011</v>
      </c>
      <c r="B38" s="781" t="s">
        <v>1624</v>
      </c>
      <c r="C38" s="781" t="s">
        <v>1268</v>
      </c>
      <c r="D38" s="781" t="s">
        <v>1642</v>
      </c>
      <c r="E38" s="781" t="s">
        <v>1643</v>
      </c>
      <c r="F38" s="782">
        <v>3555365</v>
      </c>
      <c r="G38" s="783">
        <v>0.40586358279688284</v>
      </c>
    </row>
    <row r="39" spans="1:7">
      <c r="A39" s="788">
        <v>2012</v>
      </c>
      <c r="B39" s="789" t="s">
        <v>1624</v>
      </c>
      <c r="C39" s="789" t="s">
        <v>1268</v>
      </c>
      <c r="D39" s="789" t="s">
        <v>1644</v>
      </c>
      <c r="E39" s="789" t="s">
        <v>1627</v>
      </c>
      <c r="F39" s="790">
        <v>19452.32</v>
      </c>
      <c r="G39" s="791">
        <v>2.2205845452845097E-3</v>
      </c>
    </row>
    <row r="40" spans="1:7">
      <c r="A40" s="784">
        <v>2012</v>
      </c>
      <c r="B40" s="785" t="s">
        <v>1624</v>
      </c>
      <c r="C40" s="785" t="s">
        <v>1268</v>
      </c>
      <c r="D40" s="785" t="s">
        <v>1625</v>
      </c>
      <c r="E40" s="785" t="s">
        <v>1626</v>
      </c>
      <c r="F40" s="786">
        <v>1218136.25</v>
      </c>
      <c r="G40" s="787">
        <v>0.13905665039783344</v>
      </c>
    </row>
    <row r="41" spans="1:7">
      <c r="A41" s="780">
        <v>2012</v>
      </c>
      <c r="B41" s="781" t="s">
        <v>1624</v>
      </c>
      <c r="C41" s="781" t="s">
        <v>1268</v>
      </c>
      <c r="D41" s="781" t="s">
        <v>1625</v>
      </c>
      <c r="E41" s="781" t="s">
        <v>1627</v>
      </c>
      <c r="F41" s="782">
        <v>284140.98449999996</v>
      </c>
      <c r="G41" s="783">
        <v>3.2436185150800156E-2</v>
      </c>
    </row>
    <row r="42" spans="1:7">
      <c r="A42" s="784">
        <v>2012</v>
      </c>
      <c r="B42" s="785" t="s">
        <v>1624</v>
      </c>
      <c r="C42" s="785" t="s">
        <v>1268</v>
      </c>
      <c r="D42" s="785" t="s">
        <v>1628</v>
      </c>
      <c r="E42" s="785" t="s">
        <v>1629</v>
      </c>
      <c r="F42" s="786">
        <v>98109.75</v>
      </c>
      <c r="G42" s="787">
        <v>1.1199743110864802E-2</v>
      </c>
    </row>
    <row r="43" spans="1:7">
      <c r="A43" s="780">
        <v>2012</v>
      </c>
      <c r="B43" s="781" t="s">
        <v>1624</v>
      </c>
      <c r="C43" s="781" t="s">
        <v>1268</v>
      </c>
      <c r="D43" s="781" t="s">
        <v>1628</v>
      </c>
      <c r="E43" s="781" t="s">
        <v>1630</v>
      </c>
      <c r="F43" s="782">
        <v>200715.5</v>
      </c>
      <c r="G43" s="783">
        <v>2.2912728205710664E-2</v>
      </c>
    </row>
    <row r="44" spans="1:7">
      <c r="A44" s="784">
        <v>2012</v>
      </c>
      <c r="B44" s="785" t="s">
        <v>1624</v>
      </c>
      <c r="C44" s="785" t="s">
        <v>1268</v>
      </c>
      <c r="D44" s="785" t="s">
        <v>1628</v>
      </c>
      <c r="E44" s="785" t="s">
        <v>1631</v>
      </c>
      <c r="F44" s="786">
        <v>2206864.25</v>
      </c>
      <c r="G44" s="787">
        <v>0.25192514689206291</v>
      </c>
    </row>
    <row r="45" spans="1:7">
      <c r="A45" s="780">
        <v>2012</v>
      </c>
      <c r="B45" s="781" t="s">
        <v>1624</v>
      </c>
      <c r="C45" s="781" t="s">
        <v>1268</v>
      </c>
      <c r="D45" s="781" t="s">
        <v>1628</v>
      </c>
      <c r="E45" s="781" t="s">
        <v>1632</v>
      </c>
      <c r="F45" s="782">
        <v>149331</v>
      </c>
      <c r="G45" s="783">
        <v>1.704691768372868E-2</v>
      </c>
    </row>
    <row r="46" spans="1:7">
      <c r="A46" s="784">
        <v>2012</v>
      </c>
      <c r="B46" s="785" t="s">
        <v>1624</v>
      </c>
      <c r="C46" s="785" t="s">
        <v>1268</v>
      </c>
      <c r="D46" s="785" t="s">
        <v>1628</v>
      </c>
      <c r="E46" s="785" t="s">
        <v>1633</v>
      </c>
      <c r="F46" s="786">
        <v>9261</v>
      </c>
      <c r="G46" s="787">
        <v>1.0571917432571354E-3</v>
      </c>
    </row>
    <row r="47" spans="1:7">
      <c r="A47" s="780">
        <v>2012</v>
      </c>
      <c r="B47" s="781" t="s">
        <v>1624</v>
      </c>
      <c r="C47" s="781" t="s">
        <v>1268</v>
      </c>
      <c r="D47" s="781" t="s">
        <v>1628</v>
      </c>
      <c r="E47" s="781" t="s">
        <v>1634</v>
      </c>
      <c r="F47" s="782">
        <v>4035</v>
      </c>
      <c r="G47" s="783">
        <v>4.6061643922712392E-4</v>
      </c>
    </row>
    <row r="48" spans="1:7">
      <c r="A48" s="784">
        <v>2012</v>
      </c>
      <c r="B48" s="785" t="s">
        <v>1624</v>
      </c>
      <c r="C48" s="785" t="s">
        <v>1268</v>
      </c>
      <c r="D48" s="785" t="s">
        <v>1628</v>
      </c>
      <c r="E48" s="785" t="s">
        <v>1635</v>
      </c>
      <c r="F48" s="786">
        <v>149119.25</v>
      </c>
      <c r="G48" s="787">
        <v>1.7022745349095203E-2</v>
      </c>
    </row>
    <row r="49" spans="1:7">
      <c r="A49" s="780">
        <v>2012</v>
      </c>
      <c r="B49" s="781" t="s">
        <v>1624</v>
      </c>
      <c r="C49" s="781" t="s">
        <v>1268</v>
      </c>
      <c r="D49" s="781" t="s">
        <v>1628</v>
      </c>
      <c r="E49" s="781" t="s">
        <v>1626</v>
      </c>
      <c r="F49" s="782">
        <v>834567</v>
      </c>
      <c r="G49" s="783">
        <v>9.5270206214991049E-2</v>
      </c>
    </row>
    <row r="50" spans="1:7">
      <c r="A50" s="784">
        <v>2012</v>
      </c>
      <c r="B50" s="785" t="s">
        <v>1624</v>
      </c>
      <c r="C50" s="785" t="s">
        <v>1268</v>
      </c>
      <c r="D50" s="785" t="s">
        <v>1628</v>
      </c>
      <c r="E50" s="785" t="s">
        <v>1636</v>
      </c>
      <c r="F50" s="786">
        <v>267875.75</v>
      </c>
      <c r="G50" s="787">
        <v>3.0579423448216403E-2</v>
      </c>
    </row>
    <row r="51" spans="1:7">
      <c r="A51" s="780">
        <v>2012</v>
      </c>
      <c r="B51" s="781" t="s">
        <v>1624</v>
      </c>
      <c r="C51" s="781" t="s">
        <v>1268</v>
      </c>
      <c r="D51" s="781" t="s">
        <v>1628</v>
      </c>
      <c r="E51" s="781" t="s">
        <v>1637</v>
      </c>
      <c r="F51" s="782">
        <v>2037413</v>
      </c>
      <c r="G51" s="783">
        <v>0.23258139231984387</v>
      </c>
    </row>
    <row r="52" spans="1:7">
      <c r="A52" s="784">
        <v>2012</v>
      </c>
      <c r="B52" s="785" t="s">
        <v>1624</v>
      </c>
      <c r="C52" s="785" t="s">
        <v>1268</v>
      </c>
      <c r="D52" s="785" t="s">
        <v>1628</v>
      </c>
      <c r="E52" s="785" t="s">
        <v>1638</v>
      </c>
      <c r="F52" s="786">
        <v>1353918.25</v>
      </c>
      <c r="G52" s="787">
        <v>0.15455687723010669</v>
      </c>
    </row>
    <row r="53" spans="1:7">
      <c r="A53" s="780">
        <v>2012</v>
      </c>
      <c r="B53" s="781" t="s">
        <v>1624</v>
      </c>
      <c r="C53" s="781" t="s">
        <v>1268</v>
      </c>
      <c r="D53" s="781" t="s">
        <v>1628</v>
      </c>
      <c r="E53" s="781" t="s">
        <v>1627</v>
      </c>
      <c r="F53" s="782">
        <v>2818457.2526999996</v>
      </c>
      <c r="G53" s="783">
        <v>0.32174169288418852</v>
      </c>
    </row>
    <row r="54" spans="1:7">
      <c r="A54" s="784">
        <v>2012</v>
      </c>
      <c r="B54" s="785" t="s">
        <v>1624</v>
      </c>
      <c r="C54" s="785" t="s">
        <v>1268</v>
      </c>
      <c r="D54" s="785" t="s">
        <v>1639</v>
      </c>
      <c r="E54" s="785" t="s">
        <v>1639</v>
      </c>
      <c r="F54" s="786">
        <v>11099010</v>
      </c>
      <c r="G54" s="787">
        <v>1.2670102687552571</v>
      </c>
    </row>
    <row r="55" spans="1:7">
      <c r="A55" s="780">
        <v>2012</v>
      </c>
      <c r="B55" s="781" t="s">
        <v>1624</v>
      </c>
      <c r="C55" s="781" t="s">
        <v>1268</v>
      </c>
      <c r="D55" s="781" t="s">
        <v>1639</v>
      </c>
      <c r="E55" s="781" t="s">
        <v>1627</v>
      </c>
      <c r="F55" s="782">
        <v>1292523.6456000002</v>
      </c>
      <c r="G55" s="783">
        <v>0.14754836179781705</v>
      </c>
    </row>
    <row r="56" spans="1:7">
      <c r="A56" s="784">
        <v>2012</v>
      </c>
      <c r="B56" s="785" t="s">
        <v>1624</v>
      </c>
      <c r="C56" s="785" t="s">
        <v>1268</v>
      </c>
      <c r="D56" s="785" t="s">
        <v>1642</v>
      </c>
      <c r="E56" s="785" t="s">
        <v>1645</v>
      </c>
      <c r="F56" s="786">
        <v>0</v>
      </c>
      <c r="G56" s="787">
        <v>0</v>
      </c>
    </row>
    <row r="57" spans="1:7">
      <c r="A57" s="780">
        <v>2012</v>
      </c>
      <c r="B57" s="781" t="s">
        <v>1624</v>
      </c>
      <c r="C57" s="781" t="s">
        <v>1268</v>
      </c>
      <c r="D57" s="781" t="s">
        <v>1642</v>
      </c>
      <c r="E57" s="781" t="s">
        <v>1627</v>
      </c>
      <c r="F57" s="782">
        <v>14064463.4541</v>
      </c>
      <c r="G57" s="783">
        <v>1.6055323315085843</v>
      </c>
    </row>
    <row r="58" spans="1:7">
      <c r="A58" s="788">
        <v>2013</v>
      </c>
      <c r="B58" s="789" t="s">
        <v>1624</v>
      </c>
      <c r="C58" s="789" t="s">
        <v>1268</v>
      </c>
      <c r="D58" s="789" t="s">
        <v>1644</v>
      </c>
      <c r="E58" s="789" t="s">
        <v>1754</v>
      </c>
      <c r="F58" s="790">
        <v>67578.73</v>
      </c>
      <c r="G58" s="791">
        <v>7.7144671231508255E-3</v>
      </c>
    </row>
    <row r="59" spans="1:7">
      <c r="A59" s="784">
        <v>2013</v>
      </c>
      <c r="B59" s="785" t="s">
        <v>1624</v>
      </c>
      <c r="C59" s="785" t="s">
        <v>1268</v>
      </c>
      <c r="D59" s="785" t="s">
        <v>1625</v>
      </c>
      <c r="E59" s="785" t="s">
        <v>1755</v>
      </c>
      <c r="F59" s="786">
        <v>59071.552100000001</v>
      </c>
      <c r="G59" s="787">
        <v>6.7433278454700485E-3</v>
      </c>
    </row>
    <row r="60" spans="1:7">
      <c r="A60" s="780">
        <v>2013</v>
      </c>
      <c r="B60" s="781" t="s">
        <v>1624</v>
      </c>
      <c r="C60" s="781" t="s">
        <v>1268</v>
      </c>
      <c r="D60" s="781" t="s">
        <v>1625</v>
      </c>
      <c r="E60" s="781" t="s">
        <v>1756</v>
      </c>
      <c r="F60" s="782">
        <v>35914</v>
      </c>
      <c r="G60" s="783">
        <v>4.0997718460857868E-3</v>
      </c>
    </row>
    <row r="61" spans="1:7">
      <c r="A61" s="784">
        <v>2013</v>
      </c>
      <c r="B61" s="785" t="s">
        <v>1624</v>
      </c>
      <c r="C61" s="785" t="s">
        <v>1268</v>
      </c>
      <c r="D61" s="785" t="s">
        <v>1625</v>
      </c>
      <c r="E61" s="785" t="s">
        <v>1757</v>
      </c>
      <c r="F61" s="786">
        <v>1444164.5125</v>
      </c>
      <c r="G61" s="787">
        <v>0.16485896197991678</v>
      </c>
    </row>
    <row r="62" spans="1:7">
      <c r="A62" s="780">
        <v>2013</v>
      </c>
      <c r="B62" s="781" t="s">
        <v>1624</v>
      </c>
      <c r="C62" s="781" t="s">
        <v>1268</v>
      </c>
      <c r="D62" s="781" t="s">
        <v>1628</v>
      </c>
      <c r="E62" s="781" t="s">
        <v>1629</v>
      </c>
      <c r="F62" s="782">
        <v>91847.149399999995</v>
      </c>
      <c r="G62" s="783">
        <v>1.0484834611361293E-2</v>
      </c>
    </row>
    <row r="63" spans="1:7">
      <c r="A63" s="784">
        <v>2013</v>
      </c>
      <c r="B63" s="785" t="s">
        <v>1624</v>
      </c>
      <c r="C63" s="785" t="s">
        <v>1268</v>
      </c>
      <c r="D63" s="785" t="s">
        <v>1628</v>
      </c>
      <c r="E63" s="785" t="s">
        <v>1630</v>
      </c>
      <c r="F63" s="786">
        <v>159806.66080000001</v>
      </c>
      <c r="G63" s="787">
        <v>1.8242769515836699E-2</v>
      </c>
    </row>
    <row r="64" spans="1:7">
      <c r="A64" s="780">
        <v>2013</v>
      </c>
      <c r="B64" s="781" t="s">
        <v>1624</v>
      </c>
      <c r="C64" s="781" t="s">
        <v>1268</v>
      </c>
      <c r="D64" s="781" t="s">
        <v>1628</v>
      </c>
      <c r="E64" s="781" t="s">
        <v>1631</v>
      </c>
      <c r="F64" s="782">
        <v>1205570.9555000002</v>
      </c>
      <c r="G64" s="783">
        <v>0.13762225306618348</v>
      </c>
    </row>
    <row r="65" spans="1:7">
      <c r="A65" s="784">
        <v>2013</v>
      </c>
      <c r="B65" s="785" t="s">
        <v>1624</v>
      </c>
      <c r="C65" s="785" t="s">
        <v>1268</v>
      </c>
      <c r="D65" s="785" t="s">
        <v>1628</v>
      </c>
      <c r="E65" s="785" t="s">
        <v>1632</v>
      </c>
      <c r="F65" s="786">
        <v>131218.08480000001</v>
      </c>
      <c r="G65" s="787">
        <v>1.4979233435667538E-2</v>
      </c>
    </row>
    <row r="66" spans="1:7">
      <c r="A66" s="780">
        <v>2013</v>
      </c>
      <c r="B66" s="781" t="s">
        <v>1624</v>
      </c>
      <c r="C66" s="781" t="s">
        <v>1268</v>
      </c>
      <c r="D66" s="781" t="s">
        <v>1628</v>
      </c>
      <c r="E66" s="781" t="s">
        <v>1633</v>
      </c>
      <c r="F66" s="782">
        <v>32760</v>
      </c>
      <c r="G66" s="783">
        <v>3.7397259729914367E-3</v>
      </c>
    </row>
    <row r="67" spans="1:7">
      <c r="A67" s="784">
        <v>2013</v>
      </c>
      <c r="B67" s="785" t="s">
        <v>1624</v>
      </c>
      <c r="C67" s="785" t="s">
        <v>1268</v>
      </c>
      <c r="D67" s="785" t="s">
        <v>1628</v>
      </c>
      <c r="E67" s="785" t="s">
        <v>1634</v>
      </c>
      <c r="F67" s="786">
        <v>3052.8220000000001</v>
      </c>
      <c r="G67" s="787">
        <v>3.4849566043249069E-4</v>
      </c>
    </row>
    <row r="68" spans="1:7">
      <c r="A68" s="780">
        <v>2013</v>
      </c>
      <c r="B68" s="781" t="s">
        <v>1624</v>
      </c>
      <c r="C68" s="781" t="s">
        <v>1268</v>
      </c>
      <c r="D68" s="781" t="s">
        <v>1628</v>
      </c>
      <c r="E68" s="781" t="s">
        <v>1758</v>
      </c>
      <c r="F68" s="782">
        <v>932.19499999999994</v>
      </c>
      <c r="G68" s="783">
        <v>1.0641495646268595E-4</v>
      </c>
    </row>
    <row r="69" spans="1:7">
      <c r="A69" s="784">
        <v>2013</v>
      </c>
      <c r="B69" s="785" t="s">
        <v>1624</v>
      </c>
      <c r="C69" s="785" t="s">
        <v>1268</v>
      </c>
      <c r="D69" s="785" t="s">
        <v>1628</v>
      </c>
      <c r="E69" s="785" t="s">
        <v>1635</v>
      </c>
      <c r="F69" s="786">
        <v>26381</v>
      </c>
      <c r="G69" s="787">
        <v>3.0115296622170717E-3</v>
      </c>
    </row>
    <row r="70" spans="1:7">
      <c r="A70" s="780">
        <v>2013</v>
      </c>
      <c r="B70" s="781" t="s">
        <v>1624</v>
      </c>
      <c r="C70" s="781" t="s">
        <v>1268</v>
      </c>
      <c r="D70" s="781" t="s">
        <v>1628</v>
      </c>
      <c r="E70" s="781" t="s">
        <v>1626</v>
      </c>
      <c r="F70" s="782">
        <v>570332.91399999999</v>
      </c>
      <c r="G70" s="783">
        <v>6.5106496986572893E-2</v>
      </c>
    </row>
    <row r="71" spans="1:7">
      <c r="A71" s="784">
        <v>2013</v>
      </c>
      <c r="B71" s="785" t="s">
        <v>1624</v>
      </c>
      <c r="C71" s="785" t="s">
        <v>1268</v>
      </c>
      <c r="D71" s="785" t="s">
        <v>1628</v>
      </c>
      <c r="E71" s="785" t="s">
        <v>1636</v>
      </c>
      <c r="F71" s="786">
        <v>167650.45669999998</v>
      </c>
      <c r="G71" s="787">
        <v>1.9138179803121602E-2</v>
      </c>
    </row>
    <row r="72" spans="1:7">
      <c r="A72" s="780">
        <v>2013</v>
      </c>
      <c r="B72" s="781" t="s">
        <v>1624</v>
      </c>
      <c r="C72" s="781" t="s">
        <v>1268</v>
      </c>
      <c r="D72" s="781" t="s">
        <v>1628</v>
      </c>
      <c r="E72" s="781" t="s">
        <v>1637</v>
      </c>
      <c r="F72" s="782">
        <v>2184253</v>
      </c>
      <c r="G72" s="783">
        <v>0.24934395100717666</v>
      </c>
    </row>
    <row r="73" spans="1:7">
      <c r="A73" s="784">
        <v>2013</v>
      </c>
      <c r="B73" s="785" t="s">
        <v>1624</v>
      </c>
      <c r="C73" s="785" t="s">
        <v>1268</v>
      </c>
      <c r="D73" s="785" t="s">
        <v>1628</v>
      </c>
      <c r="E73" s="785" t="s">
        <v>1638</v>
      </c>
      <c r="F73" s="786">
        <v>5984297.8882000083</v>
      </c>
      <c r="G73" s="787">
        <v>0.68313902652948855</v>
      </c>
    </row>
    <row r="74" spans="1:7">
      <c r="A74" s="780">
        <v>2013</v>
      </c>
      <c r="B74" s="781" t="s">
        <v>1624</v>
      </c>
      <c r="C74" s="781" t="s">
        <v>1268</v>
      </c>
      <c r="D74" s="781" t="s">
        <v>1628</v>
      </c>
      <c r="E74" s="781" t="s">
        <v>1627</v>
      </c>
      <c r="F74" s="782">
        <v>788104.91760000016</v>
      </c>
      <c r="G74" s="783">
        <v>8.9966312050819397E-2</v>
      </c>
    </row>
    <row r="75" spans="1:7">
      <c r="A75" s="784">
        <v>2013</v>
      </c>
      <c r="B75" s="785" t="s">
        <v>1624</v>
      </c>
      <c r="C75" s="785" t="s">
        <v>1268</v>
      </c>
      <c r="D75" s="785" t="s">
        <v>1639</v>
      </c>
      <c r="E75" s="785" t="s">
        <v>1639</v>
      </c>
      <c r="F75" s="786">
        <v>4112184.11</v>
      </c>
      <c r="G75" s="787">
        <v>0.4694274109788239</v>
      </c>
    </row>
    <row r="76" spans="1:7">
      <c r="A76" s="780">
        <v>2013</v>
      </c>
      <c r="B76" s="781" t="s">
        <v>1624</v>
      </c>
      <c r="C76" s="781" t="s">
        <v>1268</v>
      </c>
      <c r="D76" s="781" t="s">
        <v>1640</v>
      </c>
      <c r="E76" s="781" t="s">
        <v>1759</v>
      </c>
      <c r="F76" s="782">
        <v>773197.22</v>
      </c>
      <c r="G76" s="783">
        <v>8.8264524936676025E-2</v>
      </c>
    </row>
    <row r="77" spans="1:7">
      <c r="A77" s="784">
        <v>2013</v>
      </c>
      <c r="B77" s="785" t="s">
        <v>1624</v>
      </c>
      <c r="C77" s="785" t="s">
        <v>1268</v>
      </c>
      <c r="D77" s="785" t="s">
        <v>1640</v>
      </c>
      <c r="E77" s="785" t="s">
        <v>1760</v>
      </c>
      <c r="F77" s="786">
        <v>7071.19</v>
      </c>
      <c r="G77" s="787">
        <v>8.0721348058432341E-4</v>
      </c>
    </row>
    <row r="78" spans="1:7">
      <c r="A78" s="780">
        <v>2013</v>
      </c>
      <c r="B78" s="781" t="s">
        <v>1624</v>
      </c>
      <c r="C78" s="781" t="s">
        <v>1268</v>
      </c>
      <c r="D78" s="781" t="s">
        <v>1642</v>
      </c>
      <c r="E78" s="781" t="s">
        <v>1761</v>
      </c>
      <c r="F78" s="782">
        <v>647719.70399999991</v>
      </c>
      <c r="G78" s="783">
        <v>7.3940605812822469E-2</v>
      </c>
    </row>
    <row r="79" spans="1:7">
      <c r="A79" s="784">
        <v>2013</v>
      </c>
      <c r="B79" s="785" t="s">
        <v>1624</v>
      </c>
      <c r="C79" s="785" t="s">
        <v>1268</v>
      </c>
      <c r="D79" s="785" t="s">
        <v>1642</v>
      </c>
      <c r="E79" s="785" t="s">
        <v>1645</v>
      </c>
      <c r="F79" s="786">
        <v>0</v>
      </c>
      <c r="G79" s="787">
        <v>0</v>
      </c>
    </row>
    <row r="80" spans="1:7">
      <c r="A80" s="780">
        <v>2013</v>
      </c>
      <c r="B80" s="781" t="s">
        <v>1624</v>
      </c>
      <c r="C80" s="781" t="s">
        <v>1268</v>
      </c>
      <c r="D80" s="781" t="s">
        <v>1642</v>
      </c>
      <c r="E80" s="781" t="s">
        <v>1762</v>
      </c>
      <c r="F80" s="782">
        <v>829213.83000000007</v>
      </c>
      <c r="G80" s="783">
        <v>9.4659113383386284E-2</v>
      </c>
    </row>
    <row r="81" spans="1:8">
      <c r="A81" s="784">
        <v>2013</v>
      </c>
      <c r="B81" s="785" t="s">
        <v>1624</v>
      </c>
      <c r="C81" s="785" t="s">
        <v>1268</v>
      </c>
      <c r="D81" s="785" t="s">
        <v>1627</v>
      </c>
      <c r="E81" s="785" t="s">
        <v>1627</v>
      </c>
      <c r="F81" s="786">
        <v>20528944.089000002</v>
      </c>
      <c r="G81" s="787">
        <v>2.3434867858886719</v>
      </c>
    </row>
    <row r="85" spans="1:8">
      <c r="H85" t="s">
        <v>1775</v>
      </c>
    </row>
    <row r="89" spans="1:8">
      <c r="F89" t="s">
        <v>230</v>
      </c>
      <c r="G89" s="792">
        <f>SUM(G2:G81)</f>
        <v>17.665927627732174</v>
      </c>
      <c r="H89" s="792">
        <f>G89/4</f>
        <v>4.4164819069330434</v>
      </c>
    </row>
    <row r="90" spans="1:8">
      <c r="F90" s="785" t="s">
        <v>1628</v>
      </c>
      <c r="G90" s="792">
        <f t="shared" ref="G90:G95" si="0">SUMIF($D$2:$D$81,$F90,$G$2:$G$81)</f>
        <v>4.2594436167190111</v>
      </c>
      <c r="H90" s="792">
        <f t="shared" ref="H90:H95" si="1">G90/4</f>
        <v>1.0648609041797528</v>
      </c>
    </row>
    <row r="91" spans="1:8">
      <c r="F91" s="785" t="s">
        <v>1639</v>
      </c>
      <c r="G91" s="792">
        <f t="shared" si="0"/>
        <v>4.964911301198299</v>
      </c>
      <c r="H91" s="792">
        <f t="shared" si="1"/>
        <v>1.2412278252995748</v>
      </c>
    </row>
    <row r="92" spans="1:8">
      <c r="F92" s="785" t="s">
        <v>1642</v>
      </c>
      <c r="G92" s="792">
        <f t="shared" si="0"/>
        <v>5.4447350381669821</v>
      </c>
      <c r="H92" s="792">
        <f t="shared" si="1"/>
        <v>1.3611837595417455</v>
      </c>
    </row>
    <row r="93" spans="1:8">
      <c r="F93" s="785" t="s">
        <v>1625</v>
      </c>
      <c r="G93" s="792">
        <f t="shared" si="0"/>
        <v>0.45766373028709495</v>
      </c>
      <c r="H93" s="792">
        <f t="shared" si="1"/>
        <v>0.11441593257177374</v>
      </c>
    </row>
    <row r="94" spans="1:8">
      <c r="F94" s="785" t="s">
        <v>1644</v>
      </c>
      <c r="G94" s="792">
        <f t="shared" si="0"/>
        <v>9.9350516684353352E-3</v>
      </c>
      <c r="H94" s="792">
        <f t="shared" si="1"/>
        <v>2.4837629171088338E-3</v>
      </c>
    </row>
    <row r="95" spans="1:8">
      <c r="F95" s="785" t="s">
        <v>1640</v>
      </c>
      <c r="G95" s="792">
        <f t="shared" si="0"/>
        <v>0.18575210380367935</v>
      </c>
      <c r="H95" s="792">
        <f t="shared" si="1"/>
        <v>4.6438025950919837E-2</v>
      </c>
    </row>
  </sheetData>
  <autoFilter ref="A1:G81"/>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EA56"/>
  <sheetViews>
    <sheetView workbookViewId="0">
      <selection sqref="A1:EA56"/>
    </sheetView>
  </sheetViews>
  <sheetFormatPr defaultRowHeight="12.75"/>
  <sheetData>
    <row r="1" spans="1:131" ht="13.5" thickBot="1">
      <c r="A1" s="24" t="s">
        <v>1545</v>
      </c>
      <c r="B1" s="25"/>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row>
    <row r="2" spans="1:131" ht="13.5" thickBot="1">
      <c r="A2" s="33"/>
      <c r="B2" s="34"/>
      <c r="C2" s="35"/>
      <c r="D2" s="35"/>
      <c r="E2" s="35"/>
      <c r="F2" s="35"/>
      <c r="G2" s="35"/>
      <c r="H2" s="35"/>
      <c r="I2" s="35"/>
      <c r="J2" s="35"/>
      <c r="K2" s="35"/>
      <c r="L2" s="35"/>
      <c r="M2" s="35"/>
      <c r="N2" s="35"/>
      <c r="O2" s="36" t="s">
        <v>1652</v>
      </c>
      <c r="P2" s="37"/>
      <c r="Q2" s="37"/>
      <c r="R2" s="37"/>
      <c r="S2" s="37"/>
      <c r="T2" s="37"/>
      <c r="U2" s="37"/>
      <c r="V2" s="37"/>
      <c r="W2" s="37"/>
      <c r="X2" s="37"/>
      <c r="Y2" s="37"/>
      <c r="Z2" s="31"/>
      <c r="AA2" s="35"/>
      <c r="AB2" s="36" t="s">
        <v>1653</v>
      </c>
      <c r="AC2" s="37"/>
      <c r="AD2" s="37"/>
      <c r="AE2" s="37"/>
      <c r="AF2" s="37"/>
      <c r="AG2" s="37"/>
      <c r="AH2" s="37"/>
      <c r="AI2" s="37"/>
      <c r="AJ2" s="37"/>
      <c r="AK2" s="37"/>
      <c r="AL2" s="37"/>
      <c r="AM2" s="31"/>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row>
    <row r="3" spans="1:131" ht="204">
      <c r="A3" s="27" t="s">
        <v>1436</v>
      </c>
      <c r="B3" s="28" t="s">
        <v>1437</v>
      </c>
      <c r="C3" s="29" t="s">
        <v>22</v>
      </c>
      <c r="D3" s="29" t="s">
        <v>1522</v>
      </c>
      <c r="E3" s="29" t="s">
        <v>1523</v>
      </c>
      <c r="F3" s="29" t="s">
        <v>1524</v>
      </c>
      <c r="G3" s="29" t="s">
        <v>1525</v>
      </c>
      <c r="H3" s="29" t="s">
        <v>1526</v>
      </c>
      <c r="I3" s="29" t="s">
        <v>1527</v>
      </c>
      <c r="J3" s="29" t="s">
        <v>1528</v>
      </c>
      <c r="K3" s="29" t="s">
        <v>21</v>
      </c>
      <c r="L3" s="29" t="s">
        <v>1498</v>
      </c>
      <c r="M3" s="29" t="s">
        <v>1529</v>
      </c>
      <c r="N3" s="29" t="s">
        <v>1654</v>
      </c>
      <c r="O3" s="29" t="s">
        <v>1530</v>
      </c>
      <c r="P3" s="29" t="s">
        <v>1531</v>
      </c>
      <c r="Q3" s="29" t="s">
        <v>1532</v>
      </c>
      <c r="R3" s="29" t="s">
        <v>1533</v>
      </c>
      <c r="S3" s="29" t="s">
        <v>1534</v>
      </c>
      <c r="T3" s="29" t="s">
        <v>1535</v>
      </c>
      <c r="U3" s="29" t="s">
        <v>1536</v>
      </c>
      <c r="V3" s="29" t="s">
        <v>1537</v>
      </c>
      <c r="W3" s="29" t="s">
        <v>1538</v>
      </c>
      <c r="X3" s="29" t="s">
        <v>1539</v>
      </c>
      <c r="Y3" s="29" t="s">
        <v>1540</v>
      </c>
      <c r="Z3" s="29" t="s">
        <v>1541</v>
      </c>
      <c r="AA3" s="29"/>
      <c r="AB3" s="29" t="s">
        <v>1530</v>
      </c>
      <c r="AC3" s="29" t="s">
        <v>1531</v>
      </c>
      <c r="AD3" s="29" t="s">
        <v>1532</v>
      </c>
      <c r="AE3" s="29" t="s">
        <v>1533</v>
      </c>
      <c r="AF3" s="29" t="s">
        <v>1534</v>
      </c>
      <c r="AG3" s="29" t="s">
        <v>1535</v>
      </c>
      <c r="AH3" s="29" t="s">
        <v>1536</v>
      </c>
      <c r="AI3" s="29" t="s">
        <v>1537</v>
      </c>
      <c r="AJ3" s="29" t="s">
        <v>1538</v>
      </c>
      <c r="AK3" s="29" t="s">
        <v>1539</v>
      </c>
      <c r="AL3" s="29" t="s">
        <v>1540</v>
      </c>
      <c r="AM3" s="29" t="s">
        <v>1541</v>
      </c>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row>
    <row r="4" spans="1:131">
      <c r="A4" s="7" t="s">
        <v>1318</v>
      </c>
      <c r="B4" s="7"/>
      <c r="C4" s="32">
        <v>398.75442145308739</v>
      </c>
      <c r="D4" s="32">
        <v>6.2666666666666666</v>
      </c>
      <c r="E4" s="32">
        <v>1.2533333333333334</v>
      </c>
      <c r="F4" s="32">
        <v>7.52</v>
      </c>
      <c r="G4" s="32">
        <v>22.987953419479691</v>
      </c>
      <c r="H4" s="32">
        <v>192.61284730730273</v>
      </c>
      <c r="I4" s="32">
        <v>165.20243151147122</v>
      </c>
      <c r="J4" s="32">
        <v>0.84373611884529098</v>
      </c>
      <c r="K4" s="32">
        <v>4.0909288497475105</v>
      </c>
      <c r="L4" s="30">
        <v>8.3788601704789052</v>
      </c>
      <c r="M4" s="32">
        <v>3.7882182121930161</v>
      </c>
      <c r="N4" s="32">
        <v>1.0606173555314377E-3</v>
      </c>
      <c r="O4" s="32">
        <v>0</v>
      </c>
      <c r="P4" s="32">
        <v>1.3969097290864402E-2</v>
      </c>
      <c r="Q4" s="32">
        <v>0.76912655943965402</v>
      </c>
      <c r="R4" s="32">
        <v>9.2645433646927842</v>
      </c>
      <c r="S4" s="32">
        <v>36.696411893336091</v>
      </c>
      <c r="T4" s="32">
        <v>48.634855963924991</v>
      </c>
      <c r="U4" s="32">
        <v>47.084550579074467</v>
      </c>
      <c r="V4" s="32">
        <v>47.758325981595618</v>
      </c>
      <c r="W4" s="32">
        <v>22.451747843827242</v>
      </c>
      <c r="X4" s="32">
        <v>12.910376220391836</v>
      </c>
      <c r="Y4" s="32">
        <v>3.6489090069872319</v>
      </c>
      <c r="Z4" s="32">
        <v>2.5003912746300094E-2</v>
      </c>
      <c r="AA4" s="32"/>
      <c r="AB4" s="32">
        <v>0</v>
      </c>
      <c r="AC4" s="32">
        <v>9.5531615311436856E-3</v>
      </c>
      <c r="AD4" s="32">
        <v>0.28359943803200099</v>
      </c>
      <c r="AE4" s="32">
        <v>6.1057494853567249</v>
      </c>
      <c r="AF4" s="32">
        <v>23.794904175607975</v>
      </c>
      <c r="AG4" s="32">
        <v>35.7502808492426</v>
      </c>
      <c r="AH4" s="32">
        <v>40.551283412765329</v>
      </c>
      <c r="AI4" s="32">
        <v>34.730914690749835</v>
      </c>
      <c r="AJ4" s="32">
        <v>17.970424219787567</v>
      </c>
      <c r="AK4" s="32">
        <v>8.4809878124573554</v>
      </c>
      <c r="AL4" s="32">
        <v>1.8004259784599372</v>
      </c>
      <c r="AM4" s="26">
        <v>1.847780578983169E-2</v>
      </c>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row>
    <row r="5" spans="1:131">
      <c r="A5" s="7" t="s">
        <v>1331</v>
      </c>
      <c r="B5" s="7"/>
      <c r="C5" s="32">
        <v>398.75442145308739</v>
      </c>
      <c r="D5" s="32">
        <v>6.2666666666666666</v>
      </c>
      <c r="E5" s="32">
        <v>1.2533333333333334</v>
      </c>
      <c r="F5" s="32">
        <v>7.52</v>
      </c>
      <c r="G5" s="32">
        <v>22.987953419479691</v>
      </c>
      <c r="H5" s="32">
        <v>192.61284730730273</v>
      </c>
      <c r="I5" s="32">
        <v>165.20243151147122</v>
      </c>
      <c r="J5" s="32">
        <v>0.84373611884529098</v>
      </c>
      <c r="K5" s="32">
        <v>4.0909288497475105</v>
      </c>
      <c r="L5" s="30">
        <v>8.3788601704789052</v>
      </c>
      <c r="M5" s="32">
        <v>3.7882182121930161</v>
      </c>
      <c r="N5" s="32">
        <v>1.0606173555314377E-3</v>
      </c>
      <c r="O5" s="32">
        <v>0</v>
      </c>
      <c r="P5" s="32">
        <v>1.3969097290864402E-2</v>
      </c>
      <c r="Q5" s="32">
        <v>0.76912655943965402</v>
      </c>
      <c r="R5" s="32">
        <v>9.2645433646927842</v>
      </c>
      <c r="S5" s="32">
        <v>36.696411893336091</v>
      </c>
      <c r="T5" s="32">
        <v>48.634855963924991</v>
      </c>
      <c r="U5" s="32">
        <v>47.084550579074467</v>
      </c>
      <c r="V5" s="32">
        <v>47.758325981595618</v>
      </c>
      <c r="W5" s="32">
        <v>22.451747843827242</v>
      </c>
      <c r="X5" s="32">
        <v>12.910376220391836</v>
      </c>
      <c r="Y5" s="32">
        <v>3.6489090069872319</v>
      </c>
      <c r="Z5" s="32">
        <v>2.5003912746300094E-2</v>
      </c>
      <c r="AA5" s="32"/>
      <c r="AB5" s="32">
        <v>0</v>
      </c>
      <c r="AC5" s="32">
        <v>9.5531615311436856E-3</v>
      </c>
      <c r="AD5" s="32">
        <v>0.28359943803200099</v>
      </c>
      <c r="AE5" s="32">
        <v>6.1057494853567249</v>
      </c>
      <c r="AF5" s="32">
        <v>23.794904175607975</v>
      </c>
      <c r="AG5" s="32">
        <v>35.7502808492426</v>
      </c>
      <c r="AH5" s="32">
        <v>40.551283412765329</v>
      </c>
      <c r="AI5" s="32">
        <v>34.730914690749835</v>
      </c>
      <c r="AJ5" s="32">
        <v>17.970424219787567</v>
      </c>
      <c r="AK5" s="32">
        <v>8.4809878124573554</v>
      </c>
      <c r="AL5" s="32">
        <v>1.8004259784599372</v>
      </c>
      <c r="AM5" s="26">
        <v>1.847780578983169E-2</v>
      </c>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row>
    <row r="6" spans="1:131">
      <c r="A6" s="7" t="s">
        <v>1295</v>
      </c>
      <c r="B6" s="7"/>
      <c r="C6" s="32">
        <v>290.22000108964318</v>
      </c>
      <c r="D6" s="32">
        <v>6.2666666666666666</v>
      </c>
      <c r="E6" s="32">
        <v>1.2533333333333334</v>
      </c>
      <c r="F6" s="32">
        <v>7.52</v>
      </c>
      <c r="G6" s="32">
        <v>22.987953419479691</v>
      </c>
      <c r="H6" s="32">
        <v>140.18678602158465</v>
      </c>
      <c r="I6" s="32">
        <v>226.98366671031906</v>
      </c>
      <c r="J6" s="32">
        <v>1.215746080859921</v>
      </c>
      <c r="K6" s="32">
        <v>5.6773009492221416</v>
      </c>
      <c r="L6" s="30">
        <v>6.0982717105556778</v>
      </c>
      <c r="M6" s="32">
        <v>2.7571272806558902</v>
      </c>
      <c r="N6" s="32">
        <v>7.7193468841383565E-4</v>
      </c>
      <c r="O6" s="32">
        <v>0</v>
      </c>
      <c r="P6" s="32">
        <v>1.0166937876707548E-2</v>
      </c>
      <c r="Q6" s="32">
        <v>0.55978291125960788</v>
      </c>
      <c r="R6" s="32">
        <v>6.7428864502572363</v>
      </c>
      <c r="S6" s="32">
        <v>26.708249806636815</v>
      </c>
      <c r="T6" s="32">
        <v>35.397244999590626</v>
      </c>
      <c r="U6" s="32">
        <v>34.268907340434332</v>
      </c>
      <c r="V6" s="32">
        <v>34.759292117463993</v>
      </c>
      <c r="W6" s="32">
        <v>16.340749928127188</v>
      </c>
      <c r="X6" s="32">
        <v>9.3963833356281192</v>
      </c>
      <c r="Y6" s="32">
        <v>2.6557357586778028</v>
      </c>
      <c r="Z6" s="32">
        <v>1.8198257358584009E-2</v>
      </c>
      <c r="AA6" s="32"/>
      <c r="AB6" s="32">
        <v>0</v>
      </c>
      <c r="AC6" s="32">
        <v>6.9529474804939278E-3</v>
      </c>
      <c r="AD6" s="32">
        <v>0.20640831746702695</v>
      </c>
      <c r="AE6" s="32">
        <v>4.4438645114855237</v>
      </c>
      <c r="AF6" s="32">
        <v>17.318321112548087</v>
      </c>
      <c r="AG6" s="32">
        <v>26.019640131420807</v>
      </c>
      <c r="AH6" s="32">
        <v>29.513888456340936</v>
      </c>
      <c r="AI6" s="32">
        <v>25.277728740067566</v>
      </c>
      <c r="AJ6" s="32">
        <v>13.079169172953424</v>
      </c>
      <c r="AK6" s="32">
        <v>6.1726018816375614</v>
      </c>
      <c r="AL6" s="32">
        <v>1.3103795251382264</v>
      </c>
      <c r="AM6" s="26">
        <v>1.3448449792524922E-2</v>
      </c>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row>
    <row r="7" spans="1:131">
      <c r="A7" s="7" t="s">
        <v>1322</v>
      </c>
      <c r="B7" s="7"/>
      <c r="C7" s="32">
        <v>98.880861483826095</v>
      </c>
      <c r="D7" s="32">
        <v>5.2</v>
      </c>
      <c r="E7" s="32">
        <v>1.04</v>
      </c>
      <c r="F7" s="32">
        <v>6.24</v>
      </c>
      <c r="G7" s="32">
        <v>19.075110284249103</v>
      </c>
      <c r="H7" s="32">
        <v>47.763042238365365</v>
      </c>
      <c r="I7" s="32">
        <v>552.8107176629029</v>
      </c>
      <c r="J7" s="32">
        <v>3.1776833658313701</v>
      </c>
      <c r="K7" s="32">
        <v>14.043642949696046</v>
      </c>
      <c r="L7" s="30">
        <v>2.5039457977763178</v>
      </c>
      <c r="M7" s="32">
        <v>0.93938088246235063</v>
      </c>
      <c r="N7" s="32">
        <v>2.6300588075606906E-4</v>
      </c>
      <c r="O7" s="32">
        <v>0</v>
      </c>
      <c r="P7" s="32">
        <v>3.463977576069479E-3</v>
      </c>
      <c r="Q7" s="32">
        <v>0.19072364517074453</v>
      </c>
      <c r="R7" s="32">
        <v>2.297368956604442</v>
      </c>
      <c r="S7" s="32">
        <v>9.0997682437115959</v>
      </c>
      <c r="T7" s="32">
        <v>12.060195942982103</v>
      </c>
      <c r="U7" s="32">
        <v>11.675760000031513</v>
      </c>
      <c r="V7" s="32">
        <v>11.842839005714065</v>
      </c>
      <c r="W7" s="32">
        <v>5.567457184613203</v>
      </c>
      <c r="X7" s="32">
        <v>3.2014419253350783</v>
      </c>
      <c r="Y7" s="32">
        <v>0.90483577529293446</v>
      </c>
      <c r="Z7" s="32">
        <v>6.2003285726863009E-3</v>
      </c>
      <c r="AA7" s="32"/>
      <c r="AB7" s="32">
        <v>0</v>
      </c>
      <c r="AC7" s="32">
        <v>2.3689388537721022E-3</v>
      </c>
      <c r="AD7" s="32">
        <v>7.0325381338078419E-2</v>
      </c>
      <c r="AE7" s="32">
        <v>1.5140691529298307</v>
      </c>
      <c r="AF7" s="32">
        <v>5.9005254794046618</v>
      </c>
      <c r="AG7" s="32">
        <v>8.8651520296126058</v>
      </c>
      <c r="AH7" s="32">
        <v>10.055677435543522</v>
      </c>
      <c r="AI7" s="32">
        <v>8.6123753869062583</v>
      </c>
      <c r="AJ7" s="32">
        <v>4.4562039503089492</v>
      </c>
      <c r="AK7" s="32">
        <v>2.1030672915767865</v>
      </c>
      <c r="AL7" s="32">
        <v>0.44645943019072876</v>
      </c>
      <c r="AM7" s="26">
        <v>4.5820215564539935E-3</v>
      </c>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row>
    <row r="8" spans="1:131">
      <c r="A8" s="7" t="s">
        <v>1335</v>
      </c>
      <c r="B8" s="7"/>
      <c r="C8" s="32">
        <v>98.880861483826095</v>
      </c>
      <c r="D8" s="32">
        <v>5.2</v>
      </c>
      <c r="E8" s="32">
        <v>1.04</v>
      </c>
      <c r="F8" s="32">
        <v>6.24</v>
      </c>
      <c r="G8" s="32">
        <v>19.075110284249103</v>
      </c>
      <c r="H8" s="32">
        <v>47.763042238365365</v>
      </c>
      <c r="I8" s="32">
        <v>552.8107176629029</v>
      </c>
      <c r="J8" s="32">
        <v>3.1776833658313701</v>
      </c>
      <c r="K8" s="32">
        <v>14.043642949696046</v>
      </c>
      <c r="L8" s="30">
        <v>2.5039457977763178</v>
      </c>
      <c r="M8" s="32">
        <v>0.93938088246235063</v>
      </c>
      <c r="N8" s="32">
        <v>2.6300588075606906E-4</v>
      </c>
      <c r="O8" s="32">
        <v>0</v>
      </c>
      <c r="P8" s="32">
        <v>3.463977576069479E-3</v>
      </c>
      <c r="Q8" s="32">
        <v>0.19072364517074453</v>
      </c>
      <c r="R8" s="32">
        <v>2.297368956604442</v>
      </c>
      <c r="S8" s="32">
        <v>9.0997682437115959</v>
      </c>
      <c r="T8" s="32">
        <v>12.060195942982103</v>
      </c>
      <c r="U8" s="32">
        <v>11.675760000031513</v>
      </c>
      <c r="V8" s="32">
        <v>11.842839005714065</v>
      </c>
      <c r="W8" s="32">
        <v>5.567457184613203</v>
      </c>
      <c r="X8" s="32">
        <v>3.2014419253350783</v>
      </c>
      <c r="Y8" s="32">
        <v>0.90483577529293446</v>
      </c>
      <c r="Z8" s="32">
        <v>6.2003285726863009E-3</v>
      </c>
      <c r="AA8" s="32"/>
      <c r="AB8" s="32">
        <v>0</v>
      </c>
      <c r="AC8" s="32">
        <v>2.3689388537721022E-3</v>
      </c>
      <c r="AD8" s="32">
        <v>7.0325381338078419E-2</v>
      </c>
      <c r="AE8" s="32">
        <v>1.5140691529298307</v>
      </c>
      <c r="AF8" s="32">
        <v>5.9005254794046618</v>
      </c>
      <c r="AG8" s="32">
        <v>8.8651520296126058</v>
      </c>
      <c r="AH8" s="32">
        <v>10.055677435543522</v>
      </c>
      <c r="AI8" s="32">
        <v>8.6123753869062583</v>
      </c>
      <c r="AJ8" s="32">
        <v>4.4562039503089492</v>
      </c>
      <c r="AK8" s="32">
        <v>2.1030672915767865</v>
      </c>
      <c r="AL8" s="32">
        <v>0.44645943019072876</v>
      </c>
      <c r="AM8" s="26">
        <v>4.5820215564539935E-3</v>
      </c>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row>
    <row r="9" spans="1:131">
      <c r="A9" s="7" t="s">
        <v>1319</v>
      </c>
      <c r="B9" s="7"/>
      <c r="C9" s="32">
        <v>413.28068651502326</v>
      </c>
      <c r="D9" s="32">
        <v>21.866666666666667</v>
      </c>
      <c r="E9" s="32">
        <v>4.373333333333334</v>
      </c>
      <c r="F9" s="32">
        <v>26.240000000000002</v>
      </c>
      <c r="G9" s="32">
        <v>80.213284272226986</v>
      </c>
      <c r="H9" s="32">
        <v>199.62956016060278</v>
      </c>
      <c r="I9" s="32">
        <v>556.18955228299603</v>
      </c>
      <c r="J9" s="32">
        <v>3.198028704260254</v>
      </c>
      <c r="K9" s="32">
        <v>14.130402124270704</v>
      </c>
      <c r="L9" s="30">
        <v>2.48873440318317</v>
      </c>
      <c r="M9" s="32">
        <v>3.9262195957569674</v>
      </c>
      <c r="N9" s="32">
        <v>1.0992546922149928E-3</v>
      </c>
      <c r="O9" s="32">
        <v>0</v>
      </c>
      <c r="P9" s="32">
        <v>1.4477978945852997E-2</v>
      </c>
      <c r="Q9" s="32">
        <v>0.79714514849474649</v>
      </c>
      <c r="R9" s="32">
        <v>9.6020423499150951</v>
      </c>
      <c r="S9" s="32">
        <v>38.033229185648651</v>
      </c>
      <c r="T9" s="32">
        <v>50.406580040128532</v>
      </c>
      <c r="U9" s="32">
        <v>48.799798423954421</v>
      </c>
      <c r="V9" s="32">
        <v>49.498118858612315</v>
      </c>
      <c r="W9" s="32">
        <v>23.269644831889984</v>
      </c>
      <c r="X9" s="32">
        <v>13.380689618656662</v>
      </c>
      <c r="Y9" s="32">
        <v>3.7818354814554724</v>
      </c>
      <c r="Z9" s="32">
        <v>2.5914782807162865E-2</v>
      </c>
      <c r="AA9" s="32"/>
      <c r="AB9" s="32">
        <v>0</v>
      </c>
      <c r="AC9" s="32">
        <v>9.9011746166793608E-3</v>
      </c>
      <c r="AD9" s="32">
        <v>0.29393071058129755</v>
      </c>
      <c r="AE9" s="32">
        <v>6.3281764495590638</v>
      </c>
      <c r="AF9" s="32">
        <v>24.661731141234263</v>
      </c>
      <c r="AG9" s="32">
        <v>37.052631438265088</v>
      </c>
      <c r="AH9" s="32">
        <v>42.02853020869788</v>
      </c>
      <c r="AI9" s="32">
        <v>35.99613068710881</v>
      </c>
      <c r="AJ9" s="32">
        <v>18.625070617289087</v>
      </c>
      <c r="AK9" s="32">
        <v>8.7899425733898227</v>
      </c>
      <c r="AL9" s="32">
        <v>1.866013878130615</v>
      </c>
      <c r="AM9" s="26">
        <v>1.9150935641753963E-2</v>
      </c>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row>
    <row r="10" spans="1:131">
      <c r="A10" s="7" t="s">
        <v>1332</v>
      </c>
      <c r="B10" s="7"/>
      <c r="C10" s="32">
        <v>413.28068651502326</v>
      </c>
      <c r="D10" s="32">
        <v>21.866666666666667</v>
      </c>
      <c r="E10" s="32">
        <v>4.373333333333334</v>
      </c>
      <c r="F10" s="32">
        <v>26.240000000000002</v>
      </c>
      <c r="G10" s="32">
        <v>80.213284272226986</v>
      </c>
      <c r="H10" s="32">
        <v>199.62956016060278</v>
      </c>
      <c r="I10" s="32">
        <v>556.18955228299603</v>
      </c>
      <c r="J10" s="32">
        <v>3.198028704260254</v>
      </c>
      <c r="K10" s="32">
        <v>14.130402124270704</v>
      </c>
      <c r="L10" s="30">
        <v>2.48873440318317</v>
      </c>
      <c r="M10" s="32">
        <v>3.9262195957569674</v>
      </c>
      <c r="N10" s="32">
        <v>1.0992546922149928E-3</v>
      </c>
      <c r="O10" s="32">
        <v>0</v>
      </c>
      <c r="P10" s="32">
        <v>1.4477978945852997E-2</v>
      </c>
      <c r="Q10" s="32">
        <v>0.79714514849474649</v>
      </c>
      <c r="R10" s="32">
        <v>9.6020423499150951</v>
      </c>
      <c r="S10" s="32">
        <v>38.033229185648651</v>
      </c>
      <c r="T10" s="32">
        <v>50.406580040128532</v>
      </c>
      <c r="U10" s="32">
        <v>48.799798423954421</v>
      </c>
      <c r="V10" s="32">
        <v>49.498118858612315</v>
      </c>
      <c r="W10" s="32">
        <v>23.269644831889984</v>
      </c>
      <c r="X10" s="32">
        <v>13.380689618656662</v>
      </c>
      <c r="Y10" s="32">
        <v>3.7818354814554724</v>
      </c>
      <c r="Z10" s="32">
        <v>2.5914782807162865E-2</v>
      </c>
      <c r="AA10" s="32"/>
      <c r="AB10" s="32">
        <v>0</v>
      </c>
      <c r="AC10" s="32">
        <v>9.9011746166793608E-3</v>
      </c>
      <c r="AD10" s="32">
        <v>0.29393071058129755</v>
      </c>
      <c r="AE10" s="32">
        <v>6.3281764495590638</v>
      </c>
      <c r="AF10" s="32">
        <v>24.661731141234263</v>
      </c>
      <c r="AG10" s="32">
        <v>37.052631438265088</v>
      </c>
      <c r="AH10" s="32">
        <v>42.02853020869788</v>
      </c>
      <c r="AI10" s="32">
        <v>35.99613068710881</v>
      </c>
      <c r="AJ10" s="32">
        <v>18.625070617289087</v>
      </c>
      <c r="AK10" s="32">
        <v>8.7899425733898227</v>
      </c>
      <c r="AL10" s="32">
        <v>1.866013878130615</v>
      </c>
      <c r="AM10" s="26">
        <v>1.9150935641753963E-2</v>
      </c>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row>
    <row r="11" spans="1:131">
      <c r="A11" s="7" t="s">
        <v>1316</v>
      </c>
      <c r="B11" s="7"/>
      <c r="C11" s="32">
        <v>75.807619128618981</v>
      </c>
      <c r="D11" s="32">
        <v>3.3866666666666667</v>
      </c>
      <c r="E11" s="32">
        <v>0.67733333333333334</v>
      </c>
      <c r="F11" s="32">
        <v>4.0640000000000001</v>
      </c>
      <c r="G11" s="32">
        <v>15.159181668026848</v>
      </c>
      <c r="H11" s="32">
        <v>36.617829376642312</v>
      </c>
      <c r="I11" s="32">
        <v>469.6182311120757</v>
      </c>
      <c r="J11" s="32">
        <v>2.6767475450750196</v>
      </c>
      <c r="K11" s="32">
        <v>14.563061720172616</v>
      </c>
      <c r="L11" s="30">
        <v>2.4155544922240231</v>
      </c>
      <c r="M11" s="32">
        <v>0.72018211700208545</v>
      </c>
      <c r="N11" s="32">
        <v>2.0163507212368184E-4</v>
      </c>
      <c r="O11" s="32">
        <v>0</v>
      </c>
      <c r="P11" s="32">
        <v>2.6556796615258517E-3</v>
      </c>
      <c r="Q11" s="32">
        <v>0.14621945273292966</v>
      </c>
      <c r="R11" s="32">
        <v>1.7612920058212611</v>
      </c>
      <c r="S11" s="32">
        <v>6.9763931546129001</v>
      </c>
      <c r="T11" s="32">
        <v>9.2460232136190239</v>
      </c>
      <c r="U11" s="32">
        <v>8.9512930392938657</v>
      </c>
      <c r="V11" s="32">
        <v>9.0793851840942317</v>
      </c>
      <c r="W11" s="32">
        <v>4.2683252090707819</v>
      </c>
      <c r="X11" s="32">
        <v>2.4544050941333233</v>
      </c>
      <c r="Y11" s="32">
        <v>0.69369789864315923</v>
      </c>
      <c r="Z11" s="32">
        <v>4.753519941645936E-3</v>
      </c>
      <c r="AA11" s="32"/>
      <c r="AB11" s="32">
        <v>0</v>
      </c>
      <c r="AC11" s="32">
        <v>1.8161615065936413E-3</v>
      </c>
      <c r="AD11" s="32">
        <v>5.3915385076048927E-2</v>
      </c>
      <c r="AE11" s="32">
        <v>1.1607704054891308</v>
      </c>
      <c r="AF11" s="32">
        <v>4.5236740607745016</v>
      </c>
      <c r="AG11" s="32">
        <v>6.7965231946133722</v>
      </c>
      <c r="AH11" s="32">
        <v>7.7092468014006954</v>
      </c>
      <c r="AI11" s="32">
        <v>6.6027304306008112</v>
      </c>
      <c r="AJ11" s="32">
        <v>3.4163760990262446</v>
      </c>
      <c r="AK11" s="32">
        <v>1.6123294422125054</v>
      </c>
      <c r="AL11" s="32">
        <v>0.34228086135571384</v>
      </c>
      <c r="AM11" s="26">
        <v>3.512834938716655E-3</v>
      </c>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row>
    <row r="12" spans="1:131">
      <c r="A12" s="7" t="s">
        <v>1329</v>
      </c>
      <c r="B12" s="7"/>
      <c r="C12" s="32">
        <v>75.807619128618981</v>
      </c>
      <c r="D12" s="32">
        <v>3.3866666666666667</v>
      </c>
      <c r="E12" s="32">
        <v>0.67733333333333334</v>
      </c>
      <c r="F12" s="32">
        <v>4.0640000000000001</v>
      </c>
      <c r="G12" s="32">
        <v>15.159181668026848</v>
      </c>
      <c r="H12" s="32">
        <v>36.617829376642312</v>
      </c>
      <c r="I12" s="32">
        <v>469.6182311120757</v>
      </c>
      <c r="J12" s="32">
        <v>2.6767475450750196</v>
      </c>
      <c r="K12" s="32">
        <v>14.563061720172616</v>
      </c>
      <c r="L12" s="30">
        <v>2.4155544922240231</v>
      </c>
      <c r="M12" s="32">
        <v>0.72018211700208545</v>
      </c>
      <c r="N12" s="32">
        <v>2.0163507212368184E-4</v>
      </c>
      <c r="O12" s="32">
        <v>0</v>
      </c>
      <c r="P12" s="32">
        <v>2.6556796615258517E-3</v>
      </c>
      <c r="Q12" s="32">
        <v>0.14621945273292966</v>
      </c>
      <c r="R12" s="32">
        <v>1.7612920058212611</v>
      </c>
      <c r="S12" s="32">
        <v>6.9763931546129001</v>
      </c>
      <c r="T12" s="32">
        <v>9.2460232136190239</v>
      </c>
      <c r="U12" s="32">
        <v>8.9512930392938657</v>
      </c>
      <c r="V12" s="32">
        <v>9.0793851840942317</v>
      </c>
      <c r="W12" s="32">
        <v>4.2683252090707819</v>
      </c>
      <c r="X12" s="32">
        <v>2.4544050941333233</v>
      </c>
      <c r="Y12" s="32">
        <v>0.69369789864315923</v>
      </c>
      <c r="Z12" s="32">
        <v>4.753519941645936E-3</v>
      </c>
      <c r="AA12" s="32"/>
      <c r="AB12" s="32">
        <v>0</v>
      </c>
      <c r="AC12" s="32">
        <v>1.8161615065936413E-3</v>
      </c>
      <c r="AD12" s="32">
        <v>5.3915385076048927E-2</v>
      </c>
      <c r="AE12" s="32">
        <v>1.1607704054891308</v>
      </c>
      <c r="AF12" s="32">
        <v>4.5236740607745016</v>
      </c>
      <c r="AG12" s="32">
        <v>6.7965231946133722</v>
      </c>
      <c r="AH12" s="32">
        <v>7.7092468014006954</v>
      </c>
      <c r="AI12" s="32">
        <v>6.6027304306008112</v>
      </c>
      <c r="AJ12" s="32">
        <v>3.4163760990262446</v>
      </c>
      <c r="AK12" s="32">
        <v>1.6123294422125054</v>
      </c>
      <c r="AL12" s="32">
        <v>0.34228086135571384</v>
      </c>
      <c r="AM12" s="26">
        <v>3.512834938716655E-3</v>
      </c>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row>
    <row r="13" spans="1:131">
      <c r="A13" s="7" t="s">
        <v>1291</v>
      </c>
      <c r="B13" s="7"/>
      <c r="C13" s="32">
        <v>68.27798844872909</v>
      </c>
      <c r="D13" s="32">
        <v>3.3866666666666667</v>
      </c>
      <c r="E13" s="32">
        <v>0.67733333333333334</v>
      </c>
      <c r="F13" s="32">
        <v>4.0640000000000001</v>
      </c>
      <c r="G13" s="32">
        <v>15.159181668026848</v>
      </c>
      <c r="H13" s="32">
        <v>32.980744678895199</v>
      </c>
      <c r="I13" s="32">
        <v>521.40727647143592</v>
      </c>
      <c r="J13" s="32">
        <v>2.9885904652578277</v>
      </c>
      <c r="K13" s="32">
        <v>16.185715897644169</v>
      </c>
      <c r="L13" s="30">
        <v>2.1756283024470173</v>
      </c>
      <c r="M13" s="32">
        <v>0.64864965858142765</v>
      </c>
      <c r="N13" s="32">
        <v>1.8160756509132974E-4</v>
      </c>
      <c r="O13" s="32">
        <v>0</v>
      </c>
      <c r="P13" s="32">
        <v>2.3919029160583815E-3</v>
      </c>
      <c r="Q13" s="32">
        <v>0.13169613053985824</v>
      </c>
      <c r="R13" s="32">
        <v>1.5863507733209261</v>
      </c>
      <c r="S13" s="32">
        <v>6.2834593237426457</v>
      </c>
      <c r="T13" s="32">
        <v>8.32765721220008</v>
      </c>
      <c r="U13" s="32">
        <v>8.0622012637165614</v>
      </c>
      <c r="V13" s="32">
        <v>8.1775705904885001</v>
      </c>
      <c r="W13" s="32">
        <v>3.844371616867361</v>
      </c>
      <c r="X13" s="32">
        <v>2.2106200483807465</v>
      </c>
      <c r="Y13" s="32">
        <v>0.62479599880461412</v>
      </c>
      <c r="Z13" s="32">
        <v>4.2813741335925434E-3</v>
      </c>
      <c r="AA13" s="32"/>
      <c r="AB13" s="32">
        <v>0</v>
      </c>
      <c r="AC13" s="32">
        <v>1.635770332766103E-3</v>
      </c>
      <c r="AD13" s="32">
        <v>4.856021178010464E-2</v>
      </c>
      <c r="AE13" s="32">
        <v>1.0454762891727987</v>
      </c>
      <c r="AF13" s="32">
        <v>4.0743578128121536</v>
      </c>
      <c r="AG13" s="32">
        <v>6.1214550398423127</v>
      </c>
      <c r="AH13" s="32">
        <v>6.9435219059098747</v>
      </c>
      <c r="AI13" s="32">
        <v>5.9469108415837288</v>
      </c>
      <c r="AJ13" s="32">
        <v>3.0770427894597505</v>
      </c>
      <c r="AK13" s="32">
        <v>1.4521839928009457</v>
      </c>
      <c r="AL13" s="32">
        <v>0.30828363911832324</v>
      </c>
      <c r="AM13" s="26">
        <v>3.1639208053882745E-3</v>
      </c>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row>
    <row r="14" spans="1:131">
      <c r="A14" s="7" t="s">
        <v>1303</v>
      </c>
      <c r="B14" s="7"/>
      <c r="C14" s="32">
        <v>71.967111042948147</v>
      </c>
      <c r="D14" s="32">
        <v>5.2</v>
      </c>
      <c r="E14" s="32">
        <v>1.04</v>
      </c>
      <c r="F14" s="32">
        <v>6.24</v>
      </c>
      <c r="G14" s="32">
        <v>19.075110284249103</v>
      </c>
      <c r="H14" s="32">
        <v>34.762724686411772</v>
      </c>
      <c r="I14" s="32">
        <v>759.54695426607952</v>
      </c>
      <c r="J14" s="32">
        <v>4.4225263877984986</v>
      </c>
      <c r="K14" s="32">
        <v>19.352060572653851</v>
      </c>
      <c r="L14" s="30">
        <v>1.8224127760412692</v>
      </c>
      <c r="M14" s="32">
        <v>0.68369679698683283</v>
      </c>
      <c r="N14" s="32">
        <v>1.9141998907863894E-4</v>
      </c>
      <c r="O14" s="32">
        <v>0</v>
      </c>
      <c r="P14" s="32">
        <v>2.52113963335616E-3</v>
      </c>
      <c r="Q14" s="32">
        <v>0.13881179375408195</v>
      </c>
      <c r="R14" s="32">
        <v>1.672062766500245</v>
      </c>
      <c r="S14" s="32">
        <v>6.6229604175465715</v>
      </c>
      <c r="T14" s="32">
        <v>8.7776082004531677</v>
      </c>
      <c r="U14" s="32">
        <v>8.4978094226102883</v>
      </c>
      <c r="V14" s="32">
        <v>8.6194122603532453</v>
      </c>
      <c r="W14" s="32">
        <v>4.052086555672413</v>
      </c>
      <c r="X14" s="32">
        <v>2.3300618853914972</v>
      </c>
      <c r="Y14" s="32">
        <v>0.65855430200504561</v>
      </c>
      <c r="Z14" s="32">
        <v>4.5127007208191367E-3</v>
      </c>
      <c r="AA14" s="32"/>
      <c r="AB14" s="32">
        <v>0</v>
      </c>
      <c r="AC14" s="32">
        <v>1.7241525102535385E-3</v>
      </c>
      <c r="AD14" s="32">
        <v>5.11839647424897E-2</v>
      </c>
      <c r="AE14" s="32">
        <v>1.1019643358732936</v>
      </c>
      <c r="AF14" s="32">
        <v>4.2944991175822125</v>
      </c>
      <c r="AG14" s="32">
        <v>6.4522028929946655</v>
      </c>
      <c r="AH14" s="32">
        <v>7.3186867888908962</v>
      </c>
      <c r="AI14" s="32">
        <v>6.2682279109635175</v>
      </c>
      <c r="AJ14" s="32">
        <v>3.2432982450741004</v>
      </c>
      <c r="AK14" s="32">
        <v>1.5306468312723522</v>
      </c>
      <c r="AL14" s="32">
        <v>0.32494048804341263</v>
      </c>
      <c r="AM14" s="26">
        <v>3.334870360210651E-3</v>
      </c>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row>
    <row r="15" spans="1:131">
      <c r="A15" s="7" t="s">
        <v>1297</v>
      </c>
      <c r="B15" s="7"/>
      <c r="C15" s="32">
        <v>300.79245479872253</v>
      </c>
      <c r="D15" s="32">
        <v>21.866666666666667</v>
      </c>
      <c r="E15" s="32">
        <v>4.373333333333334</v>
      </c>
      <c r="F15" s="32">
        <v>26.240000000000002</v>
      </c>
      <c r="G15" s="32">
        <v>80.213284272226986</v>
      </c>
      <c r="H15" s="32">
        <v>145.29366459739987</v>
      </c>
      <c r="I15" s="32">
        <v>764.18938152492592</v>
      </c>
      <c r="J15" s="32">
        <v>4.4504803317858732</v>
      </c>
      <c r="K15" s="32">
        <v>19.471265328815996</v>
      </c>
      <c r="L15" s="30">
        <v>1.8113416738342714</v>
      </c>
      <c r="M15" s="32">
        <v>2.8575669486158244</v>
      </c>
      <c r="N15" s="32">
        <v>8.0005557508272865E-4</v>
      </c>
      <c r="O15" s="32">
        <v>0</v>
      </c>
      <c r="P15" s="32">
        <v>1.0537310282678887E-2</v>
      </c>
      <c r="Q15" s="32">
        <v>0.58017529942791279</v>
      </c>
      <c r="R15" s="32">
        <v>6.9885237412546379</v>
      </c>
      <c r="S15" s="32">
        <v>27.681207334274532</v>
      </c>
      <c r="T15" s="32">
        <v>36.686734810017299</v>
      </c>
      <c r="U15" s="32">
        <v>35.517292824402276</v>
      </c>
      <c r="V15" s="32">
        <v>36.025541877964628</v>
      </c>
      <c r="W15" s="32">
        <v>16.936028756388936</v>
      </c>
      <c r="X15" s="32">
        <v>9.738685132457098</v>
      </c>
      <c r="Y15" s="32">
        <v>2.752481824651027</v>
      </c>
      <c r="Z15" s="32">
        <v>1.8861203512491966E-2</v>
      </c>
      <c r="AA15" s="32"/>
      <c r="AB15" s="32">
        <v>0</v>
      </c>
      <c r="AC15" s="32">
        <v>7.2062371059614574E-3</v>
      </c>
      <c r="AD15" s="32">
        <v>0.21392758689503252</v>
      </c>
      <c r="AE15" s="32">
        <v>4.6057505002550894</v>
      </c>
      <c r="AF15" s="32">
        <v>17.949211980144877</v>
      </c>
      <c r="AG15" s="32">
        <v>26.967512227704685</v>
      </c>
      <c r="AH15" s="32">
        <v>30.589052877497469</v>
      </c>
      <c r="AI15" s="32">
        <v>26.19857367140116</v>
      </c>
      <c r="AJ15" s="32">
        <v>13.555631546721921</v>
      </c>
      <c r="AK15" s="32">
        <v>6.397464218530847</v>
      </c>
      <c r="AL15" s="32">
        <v>1.3581154731047145</v>
      </c>
      <c r="AM15" s="26">
        <v>1.3938364727252076E-2</v>
      </c>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row>
    <row r="16" spans="1:131">
      <c r="A16" s="7" t="s">
        <v>1326</v>
      </c>
      <c r="B16" s="7"/>
      <c r="C16" s="32">
        <v>16.648197676361288</v>
      </c>
      <c r="D16" s="32">
        <v>2.0750000000000002</v>
      </c>
      <c r="E16" s="32">
        <v>0.41500000000000004</v>
      </c>
      <c r="F16" s="32">
        <v>2.4900000000000002</v>
      </c>
      <c r="G16" s="32">
        <v>5.1037127736287227</v>
      </c>
      <c r="H16" s="32">
        <v>8.041683262830043</v>
      </c>
      <c r="I16" s="32">
        <v>1310.1958797000198</v>
      </c>
      <c r="J16" s="32">
        <v>7.7382076812326881</v>
      </c>
      <c r="K16" s="32">
        <v>22.406388933458576</v>
      </c>
      <c r="L16" s="30">
        <v>1.5756535721175455</v>
      </c>
      <c r="M16" s="32">
        <v>0.15816001590141862</v>
      </c>
      <c r="N16" s="32">
        <v>4.4281308103173689E-5</v>
      </c>
      <c r="O16" s="32">
        <v>0</v>
      </c>
      <c r="P16" s="32">
        <v>5.8321683860248737E-4</v>
      </c>
      <c r="Q16" s="32">
        <v>3.2111420741192789E-2</v>
      </c>
      <c r="R16" s="32">
        <v>0.38679934570900443</v>
      </c>
      <c r="S16" s="32">
        <v>1.5320936555064861</v>
      </c>
      <c r="T16" s="32">
        <v>2.0305297007071292</v>
      </c>
      <c r="U16" s="32">
        <v>1.9658036710579374</v>
      </c>
      <c r="V16" s="32">
        <v>1.993934133034424</v>
      </c>
      <c r="W16" s="32">
        <v>0.93737176611552331</v>
      </c>
      <c r="X16" s="32">
        <v>0.53901470135438734</v>
      </c>
      <c r="Y16" s="32">
        <v>0.15234378650902422</v>
      </c>
      <c r="Z16" s="32">
        <v>1.0439259345789271E-3</v>
      </c>
      <c r="AA16" s="32"/>
      <c r="AB16" s="32">
        <v>0</v>
      </c>
      <c r="AC16" s="32">
        <v>3.9884929933849377E-4</v>
      </c>
      <c r="AD16" s="32">
        <v>1.1840419193488971E-2</v>
      </c>
      <c r="AE16" s="32">
        <v>0.25491811231620121</v>
      </c>
      <c r="AF16" s="32">
        <v>0.99344921859932656</v>
      </c>
      <c r="AG16" s="32">
        <v>1.4925922084945347</v>
      </c>
      <c r="AH16" s="32">
        <v>1.6930364805128377</v>
      </c>
      <c r="AI16" s="32">
        <v>1.4500331586178246</v>
      </c>
      <c r="AJ16" s="32">
        <v>0.75027425062493336</v>
      </c>
      <c r="AK16" s="32">
        <v>0.35408550726054339</v>
      </c>
      <c r="AL16" s="32">
        <v>7.5168690247572806E-2</v>
      </c>
      <c r="AM16" s="26">
        <v>7.7145768639639331E-4</v>
      </c>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row>
    <row r="17" spans="1:131">
      <c r="A17" s="7" t="s">
        <v>1339</v>
      </c>
      <c r="B17" s="7"/>
      <c r="C17" s="32">
        <v>16.648197676361288</v>
      </c>
      <c r="D17" s="32">
        <v>2.0750000000000002</v>
      </c>
      <c r="E17" s="32">
        <v>0.41500000000000004</v>
      </c>
      <c r="F17" s="32">
        <v>2.4900000000000002</v>
      </c>
      <c r="G17" s="32">
        <v>5.1037127736287227</v>
      </c>
      <c r="H17" s="32">
        <v>8.041683262830043</v>
      </c>
      <c r="I17" s="32">
        <v>1310.1958797000198</v>
      </c>
      <c r="J17" s="32">
        <v>7.7382076812326881</v>
      </c>
      <c r="K17" s="32">
        <v>22.406388933458576</v>
      </c>
      <c r="L17" s="30">
        <v>1.5756535721175455</v>
      </c>
      <c r="M17" s="32">
        <v>0.15816001590141862</v>
      </c>
      <c r="N17" s="32">
        <v>4.4281308103173689E-5</v>
      </c>
      <c r="O17" s="32">
        <v>0</v>
      </c>
      <c r="P17" s="32">
        <v>5.8321683860248737E-4</v>
      </c>
      <c r="Q17" s="32">
        <v>3.2111420741192789E-2</v>
      </c>
      <c r="R17" s="32">
        <v>0.38679934570900443</v>
      </c>
      <c r="S17" s="32">
        <v>1.5320936555064861</v>
      </c>
      <c r="T17" s="32">
        <v>2.0305297007071292</v>
      </c>
      <c r="U17" s="32">
        <v>1.9658036710579374</v>
      </c>
      <c r="V17" s="32">
        <v>1.993934133034424</v>
      </c>
      <c r="W17" s="32">
        <v>0.93737176611552331</v>
      </c>
      <c r="X17" s="32">
        <v>0.53901470135438734</v>
      </c>
      <c r="Y17" s="32">
        <v>0.15234378650902422</v>
      </c>
      <c r="Z17" s="32">
        <v>1.0439259345789271E-3</v>
      </c>
      <c r="AA17" s="32"/>
      <c r="AB17" s="32">
        <v>0</v>
      </c>
      <c r="AC17" s="32">
        <v>3.9884929933849377E-4</v>
      </c>
      <c r="AD17" s="32">
        <v>1.1840419193488971E-2</v>
      </c>
      <c r="AE17" s="32">
        <v>0.25491811231620121</v>
      </c>
      <c r="AF17" s="32">
        <v>0.99344921859932656</v>
      </c>
      <c r="AG17" s="32">
        <v>1.4925922084945347</v>
      </c>
      <c r="AH17" s="32">
        <v>1.6930364805128377</v>
      </c>
      <c r="AI17" s="32">
        <v>1.4500331586178246</v>
      </c>
      <c r="AJ17" s="32">
        <v>0.75027425062493336</v>
      </c>
      <c r="AK17" s="32">
        <v>0.35408550726054339</v>
      </c>
      <c r="AL17" s="32">
        <v>7.5168690247572806E-2</v>
      </c>
      <c r="AM17" s="26">
        <v>7.7145768639639331E-4</v>
      </c>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row>
    <row r="18" spans="1:131">
      <c r="A18" s="7" t="s">
        <v>1320</v>
      </c>
      <c r="B18" s="7"/>
      <c r="C18" s="32">
        <v>198.409703845281</v>
      </c>
      <c r="D18" s="32">
        <v>28.8</v>
      </c>
      <c r="E18" s="32">
        <v>5.7600000000000007</v>
      </c>
      <c r="F18" s="32">
        <v>34.56</v>
      </c>
      <c r="G18" s="32">
        <v>70.837073677352876</v>
      </c>
      <c r="H18" s="32">
        <v>95.839082741141112</v>
      </c>
      <c r="I18" s="32">
        <v>1525.8608532377009</v>
      </c>
      <c r="J18" s="32">
        <v>9.0368142622667875</v>
      </c>
      <c r="K18" s="32">
        <v>26.119453513193985</v>
      </c>
      <c r="L18" s="30">
        <v>1.3529509022022399</v>
      </c>
      <c r="M18" s="32">
        <v>1.8849176664764418</v>
      </c>
      <c r="N18" s="32">
        <v>5.2773527786177817E-4</v>
      </c>
      <c r="O18" s="32">
        <v>0</v>
      </c>
      <c r="P18" s="32">
        <v>6.9506551083908076E-3</v>
      </c>
      <c r="Q18" s="32">
        <v>0.38269713053430049</v>
      </c>
      <c r="R18" s="32">
        <v>4.6097929110153224</v>
      </c>
      <c r="S18" s="32">
        <v>18.25916861162089</v>
      </c>
      <c r="T18" s="32">
        <v>24.199424129759809</v>
      </c>
      <c r="U18" s="32">
        <v>23.428032978391411</v>
      </c>
      <c r="V18" s="32">
        <v>23.763285883137407</v>
      </c>
      <c r="W18" s="32">
        <v>11.171398737773666</v>
      </c>
      <c r="X18" s="32">
        <v>6.4238633720590927</v>
      </c>
      <c r="Y18" s="32">
        <v>1.81560107295234</v>
      </c>
      <c r="Z18" s="32">
        <v>1.2441288813521786E-2</v>
      </c>
      <c r="AA18" s="32"/>
      <c r="AB18" s="32">
        <v>0</v>
      </c>
      <c r="AC18" s="32">
        <v>4.7534017134486977E-3</v>
      </c>
      <c r="AD18" s="32">
        <v>0.14111161527832075</v>
      </c>
      <c r="AE18" s="32">
        <v>3.038060224457293</v>
      </c>
      <c r="AF18" s="32">
        <v>11.839717973044847</v>
      </c>
      <c r="AG18" s="32">
        <v>17.788398708748478</v>
      </c>
      <c r="AH18" s="32">
        <v>20.177251209286947</v>
      </c>
      <c r="AI18" s="32">
        <v>17.281188940692658</v>
      </c>
      <c r="AJ18" s="32">
        <v>8.9416100627277686</v>
      </c>
      <c r="AK18" s="32">
        <v>4.2199162934750518</v>
      </c>
      <c r="AL18" s="32">
        <v>0.89584457491366731</v>
      </c>
      <c r="AM18" s="26">
        <v>9.194069776358435E-3</v>
      </c>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row>
    <row r="19" spans="1:131">
      <c r="A19" s="7" t="s">
        <v>1333</v>
      </c>
      <c r="B19" s="7"/>
      <c r="C19" s="32">
        <v>198.409703845281</v>
      </c>
      <c r="D19" s="32">
        <v>28.8</v>
      </c>
      <c r="E19" s="32">
        <v>5.7600000000000007</v>
      </c>
      <c r="F19" s="32">
        <v>34.56</v>
      </c>
      <c r="G19" s="32">
        <v>70.837073677352876</v>
      </c>
      <c r="H19" s="32">
        <v>95.839082741141112</v>
      </c>
      <c r="I19" s="32">
        <v>1525.8608532377009</v>
      </c>
      <c r="J19" s="32">
        <v>9.0368142622667875</v>
      </c>
      <c r="K19" s="32">
        <v>26.119453513193985</v>
      </c>
      <c r="L19" s="30">
        <v>1.3529509022022399</v>
      </c>
      <c r="M19" s="32">
        <v>1.8849176664764418</v>
      </c>
      <c r="N19" s="32">
        <v>5.2773527786177817E-4</v>
      </c>
      <c r="O19" s="32">
        <v>0</v>
      </c>
      <c r="P19" s="32">
        <v>6.9506551083908076E-3</v>
      </c>
      <c r="Q19" s="32">
        <v>0.38269713053430049</v>
      </c>
      <c r="R19" s="32">
        <v>4.6097929110153224</v>
      </c>
      <c r="S19" s="32">
        <v>18.25916861162089</v>
      </c>
      <c r="T19" s="32">
        <v>24.199424129759809</v>
      </c>
      <c r="U19" s="32">
        <v>23.428032978391411</v>
      </c>
      <c r="V19" s="32">
        <v>23.763285883137407</v>
      </c>
      <c r="W19" s="32">
        <v>11.171398737773666</v>
      </c>
      <c r="X19" s="32">
        <v>6.4238633720590927</v>
      </c>
      <c r="Y19" s="32">
        <v>1.81560107295234</v>
      </c>
      <c r="Z19" s="32">
        <v>1.2441288813521786E-2</v>
      </c>
      <c r="AA19" s="32"/>
      <c r="AB19" s="32">
        <v>0</v>
      </c>
      <c r="AC19" s="32">
        <v>4.7534017134486977E-3</v>
      </c>
      <c r="AD19" s="32">
        <v>0.14111161527832075</v>
      </c>
      <c r="AE19" s="32">
        <v>3.038060224457293</v>
      </c>
      <c r="AF19" s="32">
        <v>11.839717973044847</v>
      </c>
      <c r="AG19" s="32">
        <v>17.788398708748478</v>
      </c>
      <c r="AH19" s="32">
        <v>20.177251209286947</v>
      </c>
      <c r="AI19" s="32">
        <v>17.281188940692658</v>
      </c>
      <c r="AJ19" s="32">
        <v>8.9416100627277686</v>
      </c>
      <c r="AK19" s="32">
        <v>4.2199162934750518</v>
      </c>
      <c r="AL19" s="32">
        <v>0.89584457491366731</v>
      </c>
      <c r="AM19" s="26">
        <v>9.194069776358435E-3</v>
      </c>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row>
    <row r="20" spans="1:131">
      <c r="A20" s="7" t="s">
        <v>1311</v>
      </c>
      <c r="B20" s="7"/>
      <c r="C20" s="32">
        <v>12.827549704832846</v>
      </c>
      <c r="D20" s="32">
        <v>2.0750000000000002</v>
      </c>
      <c r="E20" s="32">
        <v>0.41500000000000004</v>
      </c>
      <c r="F20" s="32">
        <v>2.4900000000000002</v>
      </c>
      <c r="G20" s="32">
        <v>5.1037127736287227</v>
      </c>
      <c r="H20" s="32">
        <v>6.1961717280029855</v>
      </c>
      <c r="I20" s="32">
        <v>1700.4338709973633</v>
      </c>
      <c r="J20" s="32">
        <v>10.087989453188879</v>
      </c>
      <c r="K20" s="32">
        <v>29.125045372586339</v>
      </c>
      <c r="L20" s="30">
        <v>1.2140518095021104</v>
      </c>
      <c r="M20" s="32">
        <v>0.12186336952097195</v>
      </c>
      <c r="N20" s="32">
        <v>3.4119049504980847E-5</v>
      </c>
      <c r="O20" s="32">
        <v>0</v>
      </c>
      <c r="P20" s="32">
        <v>4.493725465845153E-4</v>
      </c>
      <c r="Q20" s="32">
        <v>2.4742068400312272E-2</v>
      </c>
      <c r="R20" s="32">
        <v>0.29803153045954989</v>
      </c>
      <c r="S20" s="32">
        <v>1.1804885970553876</v>
      </c>
      <c r="T20" s="32">
        <v>1.5645369648597878</v>
      </c>
      <c r="U20" s="32">
        <v>1.5146651181492936</v>
      </c>
      <c r="V20" s="32">
        <v>1.5363398307060561</v>
      </c>
      <c r="W20" s="32">
        <v>0.72225133047446421</v>
      </c>
      <c r="X20" s="32">
        <v>0.41531449876262194</v>
      </c>
      <c r="Y20" s="32">
        <v>0.11738192515828359</v>
      </c>
      <c r="Z20" s="32">
        <v>8.0435204304362112E-4</v>
      </c>
      <c r="AA20" s="32"/>
      <c r="AB20" s="32">
        <v>0</v>
      </c>
      <c r="AC20" s="32">
        <v>3.0731610180643391E-4</v>
      </c>
      <c r="AD20" s="32">
        <v>9.1231236367523127E-3</v>
      </c>
      <c r="AE20" s="32">
        <v>0.19641614185307621</v>
      </c>
      <c r="AF20" s="32">
        <v>0.76545938957132198</v>
      </c>
      <c r="AG20" s="32">
        <v>1.1500524630780682</v>
      </c>
      <c r="AH20" s="32">
        <v>1.3044961399461454</v>
      </c>
      <c r="AI20" s="32">
        <v>1.1172604252673255</v>
      </c>
      <c r="AJ20" s="32">
        <v>0.57809142041921358</v>
      </c>
      <c r="AK20" s="32">
        <v>0.27282529511256404</v>
      </c>
      <c r="AL20" s="32">
        <v>5.7917987829218941E-2</v>
      </c>
      <c r="AM20" s="26">
        <v>5.9441340196700397E-4</v>
      </c>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row>
    <row r="21" spans="1:131">
      <c r="A21" s="7" t="s">
        <v>1546</v>
      </c>
      <c r="B21" s="7"/>
      <c r="C21" s="32">
        <v>54.224211982249763</v>
      </c>
      <c r="D21" s="32">
        <v>6.2666666666666666</v>
      </c>
      <c r="E21" s="32">
        <v>1.2533333333333334</v>
      </c>
      <c r="F21" s="32">
        <v>7.52</v>
      </c>
      <c r="G21" s="32">
        <v>22.987953419479691</v>
      </c>
      <c r="H21" s="32">
        <v>26.192260953085462</v>
      </c>
      <c r="I21" s="32">
        <v>1214.8668941756898</v>
      </c>
      <c r="J21" s="32">
        <v>7.1641930606175803</v>
      </c>
      <c r="K21" s="32">
        <v>31.043423600315389</v>
      </c>
      <c r="L21" s="30">
        <v>1.1393907267486667</v>
      </c>
      <c r="M21" s="32">
        <v>0.5151369773517106</v>
      </c>
      <c r="N21" s="32">
        <v>1.4422696583229208E-4</v>
      </c>
      <c r="O21" s="32">
        <v>0</v>
      </c>
      <c r="P21" s="32">
        <v>1.8995734014440667E-3</v>
      </c>
      <c r="Q21" s="32">
        <v>0.10458888818901976</v>
      </c>
      <c r="R21" s="32">
        <v>1.2598294496527578</v>
      </c>
      <c r="S21" s="32">
        <v>4.9901240223020507</v>
      </c>
      <c r="T21" s="32">
        <v>6.6135611234202001</v>
      </c>
      <c r="U21" s="32">
        <v>6.4027444319863518</v>
      </c>
      <c r="V21" s="32">
        <v>6.4943670906683471</v>
      </c>
      <c r="W21" s="32">
        <v>3.053077957152972</v>
      </c>
      <c r="X21" s="32">
        <v>1.7556042999951622</v>
      </c>
      <c r="Y21" s="32">
        <v>0.49619315762770511</v>
      </c>
      <c r="Z21" s="32">
        <v>3.4001314899540546E-3</v>
      </c>
      <c r="AA21" s="32"/>
      <c r="AB21" s="32">
        <v>0</v>
      </c>
      <c r="AC21" s="32">
        <v>1.2990768956936869E-3</v>
      </c>
      <c r="AD21" s="32">
        <v>3.8564979392218E-2</v>
      </c>
      <c r="AE21" s="32">
        <v>0.83028409615627596</v>
      </c>
      <c r="AF21" s="32">
        <v>3.2357256965670613</v>
      </c>
      <c r="AG21" s="32">
        <v>4.8614653603843712</v>
      </c>
      <c r="AH21" s="32">
        <v>5.5143247814363532</v>
      </c>
      <c r="AI21" s="32">
        <v>4.7228478963717579</v>
      </c>
      <c r="AJ21" s="32">
        <v>2.4436897495802592</v>
      </c>
      <c r="AK21" s="32">
        <v>1.1532784496426396</v>
      </c>
      <c r="AL21" s="32">
        <v>0.24482908442394952</v>
      </c>
      <c r="AM21" s="26">
        <v>2.5126855132126783E-3</v>
      </c>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row>
    <row r="22" spans="1:131">
      <c r="A22" s="7" t="s">
        <v>1299</v>
      </c>
      <c r="B22" s="7"/>
      <c r="C22" s="32">
        <v>144.40583318509411</v>
      </c>
      <c r="D22" s="32">
        <v>28.8</v>
      </c>
      <c r="E22" s="32">
        <v>5.7600000000000007</v>
      </c>
      <c r="F22" s="32">
        <v>34.56</v>
      </c>
      <c r="G22" s="32">
        <v>70.837073677352876</v>
      </c>
      <c r="H22" s="32">
        <v>69.753254637796374</v>
      </c>
      <c r="I22" s="32">
        <v>2096.4914873760799</v>
      </c>
      <c r="J22" s="32">
        <v>12.472813556339858</v>
      </c>
      <c r="K22" s="32">
        <v>35.943897237065414</v>
      </c>
      <c r="L22" s="742">
        <v>0.98469983324702182</v>
      </c>
      <c r="M22" s="32">
        <v>1.3718739599807517</v>
      </c>
      <c r="N22" s="32">
        <v>3.8409438159448049E-4</v>
      </c>
      <c r="O22" s="32">
        <v>0</v>
      </c>
      <c r="P22" s="32">
        <v>5.0588006667864286E-3</v>
      </c>
      <c r="Q22" s="32">
        <v>0.27853324167775972</v>
      </c>
      <c r="R22" s="32">
        <v>3.3550828070637264</v>
      </c>
      <c r="S22" s="32">
        <v>13.289322072091512</v>
      </c>
      <c r="T22" s="32">
        <v>17.612737362797848</v>
      </c>
      <c r="U22" s="32">
        <v>17.051306244429629</v>
      </c>
      <c r="V22" s="32">
        <v>17.295308801256791</v>
      </c>
      <c r="W22" s="32">
        <v>8.1307270325300873</v>
      </c>
      <c r="X22" s="32">
        <v>4.6753930101764256</v>
      </c>
      <c r="Y22" s="32">
        <v>1.3214242075371623</v>
      </c>
      <c r="Z22" s="32">
        <v>9.0549738354227926E-3</v>
      </c>
      <c r="AA22" s="32"/>
      <c r="AB22" s="32">
        <v>0</v>
      </c>
      <c r="AC22" s="32">
        <v>3.459603646348263E-3</v>
      </c>
      <c r="AD22" s="32">
        <v>0.10270334555940128</v>
      </c>
      <c r="AE22" s="32">
        <v>2.2111500066617524</v>
      </c>
      <c r="AF22" s="32">
        <v>8.6171407216418707</v>
      </c>
      <c r="AG22" s="32">
        <v>12.9466880237298</v>
      </c>
      <c r="AH22" s="32">
        <v>14.685334012363274</v>
      </c>
      <c r="AI22" s="32">
        <v>12.57753244446018</v>
      </c>
      <c r="AJ22" s="32">
        <v>6.5078503021773226</v>
      </c>
      <c r="AK22" s="32">
        <v>3.0713242171149617</v>
      </c>
      <c r="AL22" s="32">
        <v>0.65201035905800742</v>
      </c>
      <c r="AM22" s="26">
        <v>6.6915946180346525E-3</v>
      </c>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row>
    <row r="23" spans="1:131">
      <c r="A23" s="7" t="s">
        <v>1315</v>
      </c>
      <c r="B23" s="7"/>
      <c r="C23" s="32">
        <v>75.807619128618981</v>
      </c>
      <c r="D23" s="32">
        <v>9.0666666666666664</v>
      </c>
      <c r="E23" s="32">
        <v>1.8133333333333335</v>
      </c>
      <c r="F23" s="32">
        <v>10.879999999999999</v>
      </c>
      <c r="G23" s="32">
        <v>40.583635961646671</v>
      </c>
      <c r="H23" s="32">
        <v>36.617829376642312</v>
      </c>
      <c r="I23" s="32">
        <v>1257.2456580953208</v>
      </c>
      <c r="J23" s="32">
        <v>7.4193728462794768</v>
      </c>
      <c r="K23" s="32">
        <v>39.241001346540749</v>
      </c>
      <c r="L23" s="742">
        <v>0.90228064856603241</v>
      </c>
      <c r="M23" s="32">
        <v>0.72018211700208545</v>
      </c>
      <c r="N23" s="32">
        <v>2.0163507212368184E-4</v>
      </c>
      <c r="O23" s="32">
        <v>0</v>
      </c>
      <c r="P23" s="32">
        <v>2.6556796615258517E-3</v>
      </c>
      <c r="Q23" s="32">
        <v>0.14621945273292966</v>
      </c>
      <c r="R23" s="32">
        <v>1.7612920058212611</v>
      </c>
      <c r="S23" s="32">
        <v>6.9763931546129001</v>
      </c>
      <c r="T23" s="32">
        <v>9.2460232136190239</v>
      </c>
      <c r="U23" s="32">
        <v>8.9512930392938657</v>
      </c>
      <c r="V23" s="32">
        <v>9.0793851840942317</v>
      </c>
      <c r="W23" s="32">
        <v>4.2683252090707819</v>
      </c>
      <c r="X23" s="32">
        <v>2.4544050941333233</v>
      </c>
      <c r="Y23" s="32">
        <v>0.69369789864315923</v>
      </c>
      <c r="Z23" s="32">
        <v>4.753519941645936E-3</v>
      </c>
      <c r="AA23" s="32"/>
      <c r="AB23" s="32">
        <v>0</v>
      </c>
      <c r="AC23" s="32">
        <v>1.8161615065936413E-3</v>
      </c>
      <c r="AD23" s="32">
        <v>5.3915385076048927E-2</v>
      </c>
      <c r="AE23" s="32">
        <v>1.1607704054891308</v>
      </c>
      <c r="AF23" s="32">
        <v>4.5236740607745016</v>
      </c>
      <c r="AG23" s="32">
        <v>6.7965231946133722</v>
      </c>
      <c r="AH23" s="32">
        <v>7.7092468014006954</v>
      </c>
      <c r="AI23" s="32">
        <v>6.6027304306008112</v>
      </c>
      <c r="AJ23" s="32">
        <v>3.4163760990262446</v>
      </c>
      <c r="AK23" s="32">
        <v>1.6123294422125054</v>
      </c>
      <c r="AL23" s="32">
        <v>0.34228086135571384</v>
      </c>
      <c r="AM23" s="26">
        <v>3.512834938716655E-3</v>
      </c>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row>
    <row r="24" spans="1:131">
      <c r="A24" s="7" t="s">
        <v>1328</v>
      </c>
      <c r="B24" s="7"/>
      <c r="C24" s="32">
        <v>75.807619128618981</v>
      </c>
      <c r="D24" s="32">
        <v>9.0666666666666664</v>
      </c>
      <c r="E24" s="32">
        <v>1.8133333333333335</v>
      </c>
      <c r="F24" s="32">
        <v>10.879999999999999</v>
      </c>
      <c r="G24" s="32">
        <v>40.583635961646671</v>
      </c>
      <c r="H24" s="32">
        <v>36.617829376642312</v>
      </c>
      <c r="I24" s="32">
        <v>1257.2456580953208</v>
      </c>
      <c r="J24" s="32">
        <v>7.4193728462794768</v>
      </c>
      <c r="K24" s="32">
        <v>39.241001346540749</v>
      </c>
      <c r="L24" s="742">
        <v>0.90228064856603241</v>
      </c>
      <c r="M24" s="32">
        <v>0.72018211700208545</v>
      </c>
      <c r="N24" s="32">
        <v>2.0163507212368184E-4</v>
      </c>
      <c r="O24" s="32">
        <v>0</v>
      </c>
      <c r="P24" s="32">
        <v>2.6556796615258517E-3</v>
      </c>
      <c r="Q24" s="32">
        <v>0.14621945273292966</v>
      </c>
      <c r="R24" s="32">
        <v>1.7612920058212611</v>
      </c>
      <c r="S24" s="32">
        <v>6.9763931546129001</v>
      </c>
      <c r="T24" s="32">
        <v>9.2460232136190239</v>
      </c>
      <c r="U24" s="32">
        <v>8.9512930392938657</v>
      </c>
      <c r="V24" s="32">
        <v>9.0793851840942317</v>
      </c>
      <c r="W24" s="32">
        <v>4.2683252090707819</v>
      </c>
      <c r="X24" s="32">
        <v>2.4544050941333233</v>
      </c>
      <c r="Y24" s="32">
        <v>0.69369789864315923</v>
      </c>
      <c r="Z24" s="32">
        <v>4.753519941645936E-3</v>
      </c>
      <c r="AA24" s="32"/>
      <c r="AB24" s="32">
        <v>0</v>
      </c>
      <c r="AC24" s="32">
        <v>1.8161615065936413E-3</v>
      </c>
      <c r="AD24" s="32">
        <v>5.3915385076048927E-2</v>
      </c>
      <c r="AE24" s="32">
        <v>1.1607704054891308</v>
      </c>
      <c r="AF24" s="32">
        <v>4.5236740607745016</v>
      </c>
      <c r="AG24" s="32">
        <v>6.7965231946133722</v>
      </c>
      <c r="AH24" s="32">
        <v>7.7092468014006954</v>
      </c>
      <c r="AI24" s="32">
        <v>6.6027304306008112</v>
      </c>
      <c r="AJ24" s="32">
        <v>3.4163760990262446</v>
      </c>
      <c r="AK24" s="32">
        <v>1.6123294422125054</v>
      </c>
      <c r="AL24" s="32">
        <v>0.34228086135571384</v>
      </c>
      <c r="AM24" s="26">
        <v>3.512834938716655E-3</v>
      </c>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row>
    <row r="25" spans="1:131">
      <c r="A25" s="7" t="s">
        <v>1289</v>
      </c>
      <c r="B25" s="7"/>
      <c r="C25" s="32">
        <v>68.27798844872909</v>
      </c>
      <c r="D25" s="32">
        <v>9.0666666666666664</v>
      </c>
      <c r="E25" s="32">
        <v>1.8133333333333335</v>
      </c>
      <c r="F25" s="32">
        <v>10.879999999999999</v>
      </c>
      <c r="G25" s="32">
        <v>40.583635961646671</v>
      </c>
      <c r="H25" s="32">
        <v>32.980744678895199</v>
      </c>
      <c r="I25" s="32">
        <v>1395.8934960652616</v>
      </c>
      <c r="J25" s="32">
        <v>8.2542279081862091</v>
      </c>
      <c r="K25" s="32">
        <v>43.585114892527585</v>
      </c>
      <c r="L25" s="742">
        <v>0.81266116003168021</v>
      </c>
      <c r="M25" s="32">
        <v>0.64864965858142765</v>
      </c>
      <c r="N25" s="32">
        <v>1.8160756509132974E-4</v>
      </c>
      <c r="O25" s="32">
        <v>0</v>
      </c>
      <c r="P25" s="32">
        <v>2.3919029160583815E-3</v>
      </c>
      <c r="Q25" s="32">
        <v>0.13169613053985824</v>
      </c>
      <c r="R25" s="32">
        <v>1.5863507733209261</v>
      </c>
      <c r="S25" s="32">
        <v>6.2834593237426457</v>
      </c>
      <c r="T25" s="32">
        <v>8.32765721220008</v>
      </c>
      <c r="U25" s="32">
        <v>8.0622012637165614</v>
      </c>
      <c r="V25" s="32">
        <v>8.1775705904885001</v>
      </c>
      <c r="W25" s="32">
        <v>3.844371616867361</v>
      </c>
      <c r="X25" s="32">
        <v>2.2106200483807465</v>
      </c>
      <c r="Y25" s="32">
        <v>0.62479599880461412</v>
      </c>
      <c r="Z25" s="32">
        <v>4.2813741335925434E-3</v>
      </c>
      <c r="AA25" s="32"/>
      <c r="AB25" s="32">
        <v>0</v>
      </c>
      <c r="AC25" s="32">
        <v>1.635770332766103E-3</v>
      </c>
      <c r="AD25" s="32">
        <v>4.856021178010464E-2</v>
      </c>
      <c r="AE25" s="32">
        <v>1.0454762891727987</v>
      </c>
      <c r="AF25" s="32">
        <v>4.0743578128121536</v>
      </c>
      <c r="AG25" s="32">
        <v>6.1214550398423127</v>
      </c>
      <c r="AH25" s="32">
        <v>6.9435219059098747</v>
      </c>
      <c r="AI25" s="32">
        <v>5.9469108415837288</v>
      </c>
      <c r="AJ25" s="32">
        <v>3.0770427894597505</v>
      </c>
      <c r="AK25" s="32">
        <v>1.4521839928009457</v>
      </c>
      <c r="AL25" s="32">
        <v>0.30828363911832324</v>
      </c>
      <c r="AM25" s="26">
        <v>3.1639208053882745E-3</v>
      </c>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row>
    <row r="26" spans="1:131">
      <c r="A26" s="7" t="s">
        <v>1324</v>
      </c>
      <c r="B26" s="7"/>
      <c r="C26" s="32">
        <v>10.003962157933968</v>
      </c>
      <c r="D26" s="32">
        <v>3.9583333333333335</v>
      </c>
      <c r="E26" s="32">
        <v>0.79166666666666674</v>
      </c>
      <c r="F26" s="32">
        <v>4.75</v>
      </c>
      <c r="G26" s="32">
        <v>6.0526841362108934</v>
      </c>
      <c r="H26" s="32">
        <v>4.8322765389596256</v>
      </c>
      <c r="I26" s="32">
        <v>4159.3519990476807</v>
      </c>
      <c r="J26" s="32">
        <v>24.894136278659708</v>
      </c>
      <c r="K26" s="32">
        <v>44.368055175717714</v>
      </c>
      <c r="L26" s="742">
        <v>0.79836919128985506</v>
      </c>
      <c r="M26" s="32">
        <v>9.5038925217870746E-2</v>
      </c>
      <c r="N26" s="32">
        <v>2.6608798092117926E-5</v>
      </c>
      <c r="O26" s="32">
        <v>0</v>
      </c>
      <c r="P26" s="32">
        <v>3.5045710632890432E-4</v>
      </c>
      <c r="Q26" s="32">
        <v>1.929586878875892E-2</v>
      </c>
      <c r="R26" s="32">
        <v>0.232429124906465</v>
      </c>
      <c r="S26" s="32">
        <v>0.920640615281759</v>
      </c>
      <c r="T26" s="32">
        <v>1.2201526364188924</v>
      </c>
      <c r="U26" s="32">
        <v>1.1812585312531882</v>
      </c>
      <c r="V26" s="32">
        <v>1.1981622275312276</v>
      </c>
      <c r="W26" s="32">
        <v>0.56327008234953879</v>
      </c>
      <c r="X26" s="32">
        <v>0.32389588228975985</v>
      </c>
      <c r="Y26" s="32">
        <v>9.1543931953464858E-2</v>
      </c>
      <c r="Z26" s="32">
        <v>6.2729886731474681E-4</v>
      </c>
      <c r="AA26" s="32"/>
      <c r="AB26" s="32">
        <v>0</v>
      </c>
      <c r="AC26" s="32">
        <v>2.3966998559647439E-4</v>
      </c>
      <c r="AD26" s="32">
        <v>7.1149506900634023E-3</v>
      </c>
      <c r="AE26" s="32">
        <v>0.1531812150815727</v>
      </c>
      <c r="AF26" s="32">
        <v>0.59696722623664356</v>
      </c>
      <c r="AG26" s="32">
        <v>0.89690405299596276</v>
      </c>
      <c r="AH26" s="32">
        <v>1.0173517405491297</v>
      </c>
      <c r="AI26" s="32">
        <v>0.87133016609715663</v>
      </c>
      <c r="AJ26" s="32">
        <v>0.45084250903516326</v>
      </c>
      <c r="AK26" s="32">
        <v>0.2127712611399952</v>
      </c>
      <c r="AL26" s="32">
        <v>4.5169137663827637E-2</v>
      </c>
      <c r="AM26" s="26">
        <v>4.6357171215686882E-4</v>
      </c>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row>
    <row r="27" spans="1:131">
      <c r="A27" s="7" t="s">
        <v>1337</v>
      </c>
      <c r="B27" s="7"/>
      <c r="C27" s="32">
        <v>10.003962157933968</v>
      </c>
      <c r="D27" s="32">
        <v>3.9583333333333335</v>
      </c>
      <c r="E27" s="32">
        <v>0.79166666666666674</v>
      </c>
      <c r="F27" s="32">
        <v>4.75</v>
      </c>
      <c r="G27" s="32">
        <v>6.0526841362108934</v>
      </c>
      <c r="H27" s="32">
        <v>4.8322765389596256</v>
      </c>
      <c r="I27" s="32">
        <v>4159.3519990476807</v>
      </c>
      <c r="J27" s="32">
        <v>24.894136278659708</v>
      </c>
      <c r="K27" s="32">
        <v>44.368055175717714</v>
      </c>
      <c r="L27" s="742">
        <v>0.79836919128985506</v>
      </c>
      <c r="M27" s="32">
        <v>9.5038925217870746E-2</v>
      </c>
      <c r="N27" s="32">
        <v>2.6608798092117926E-5</v>
      </c>
      <c r="O27" s="32">
        <v>0</v>
      </c>
      <c r="P27" s="32">
        <v>3.5045710632890432E-4</v>
      </c>
      <c r="Q27" s="32">
        <v>1.929586878875892E-2</v>
      </c>
      <c r="R27" s="32">
        <v>0.232429124906465</v>
      </c>
      <c r="S27" s="32">
        <v>0.920640615281759</v>
      </c>
      <c r="T27" s="32">
        <v>1.2201526364188924</v>
      </c>
      <c r="U27" s="32">
        <v>1.1812585312531882</v>
      </c>
      <c r="V27" s="32">
        <v>1.1981622275312276</v>
      </c>
      <c r="W27" s="32">
        <v>0.56327008234953879</v>
      </c>
      <c r="X27" s="32">
        <v>0.32389588228975985</v>
      </c>
      <c r="Y27" s="32">
        <v>9.1543931953464858E-2</v>
      </c>
      <c r="Z27" s="32">
        <v>6.2729886731474681E-4</v>
      </c>
      <c r="AA27" s="32"/>
      <c r="AB27" s="32">
        <v>0</v>
      </c>
      <c r="AC27" s="32">
        <v>2.3966998559647439E-4</v>
      </c>
      <c r="AD27" s="32">
        <v>7.1149506900634023E-3</v>
      </c>
      <c r="AE27" s="32">
        <v>0.1531812150815727</v>
      </c>
      <c r="AF27" s="32">
        <v>0.59696722623664356</v>
      </c>
      <c r="AG27" s="32">
        <v>0.89690405299596276</v>
      </c>
      <c r="AH27" s="32">
        <v>1.0173517405491297</v>
      </c>
      <c r="AI27" s="32">
        <v>0.87133016609715663</v>
      </c>
      <c r="AJ27" s="32">
        <v>0.45084250903516326</v>
      </c>
      <c r="AK27" s="32">
        <v>0.2127712611399952</v>
      </c>
      <c r="AL27" s="32">
        <v>4.5169137663827637E-2</v>
      </c>
      <c r="AM27" s="26">
        <v>4.6357171215686882E-4</v>
      </c>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row>
    <row r="28" spans="1:131">
      <c r="A28" s="7" t="s">
        <v>1323</v>
      </c>
      <c r="B28" s="7"/>
      <c r="C28" s="32">
        <v>131.05318682818603</v>
      </c>
      <c r="D28" s="32">
        <v>24.253499999999999</v>
      </c>
      <c r="E28" s="32">
        <v>4.8506999999999998</v>
      </c>
      <c r="F28" s="32">
        <v>29.104199999999999</v>
      </c>
      <c r="G28" s="32">
        <v>88.968882169045301</v>
      </c>
      <c r="H28" s="32">
        <v>63.303442183004229</v>
      </c>
      <c r="I28" s="32">
        <v>1945.4146684296156</v>
      </c>
      <c r="J28" s="32">
        <v>11.56311854139439</v>
      </c>
      <c r="K28" s="32">
        <v>49.801879993743583</v>
      </c>
      <c r="L28" s="742">
        <v>0.71152340728216124</v>
      </c>
      <c r="M28" s="32">
        <v>1.2450221048316961</v>
      </c>
      <c r="N28" s="32">
        <v>3.4857866639111573E-4</v>
      </c>
      <c r="O28" s="32">
        <v>0</v>
      </c>
      <c r="P28" s="32">
        <v>4.591033023306895E-3</v>
      </c>
      <c r="Q28" s="32">
        <v>0.25277835496207379</v>
      </c>
      <c r="R28" s="32">
        <v>3.0448513348804496</v>
      </c>
      <c r="S28" s="32">
        <v>12.060510091039159</v>
      </c>
      <c r="T28" s="32">
        <v>15.984155966912677</v>
      </c>
      <c r="U28" s="32">
        <v>15.474638202818213</v>
      </c>
      <c r="V28" s="32">
        <v>15.696078791201078</v>
      </c>
      <c r="W28" s="32">
        <v>7.3789102928920824</v>
      </c>
      <c r="X28" s="32">
        <v>4.2430775831089695</v>
      </c>
      <c r="Y28" s="32">
        <v>1.1992372449919224</v>
      </c>
      <c r="Z28" s="32">
        <v>8.2176955847548926E-3</v>
      </c>
      <c r="AA28" s="32"/>
      <c r="AB28" s="32">
        <v>0</v>
      </c>
      <c r="AC28" s="32">
        <v>3.1397075382350458E-3</v>
      </c>
      <c r="AD28" s="32">
        <v>9.3206766212995992E-2</v>
      </c>
      <c r="AE28" s="32">
        <v>2.0066935561859212</v>
      </c>
      <c r="AF28" s="32">
        <v>7.8203471979598067</v>
      </c>
      <c r="AG28" s="32">
        <v>11.749558081946219</v>
      </c>
      <c r="AH28" s="32">
        <v>13.327438230903931</v>
      </c>
      <c r="AI28" s="32">
        <v>11.414536884868408</v>
      </c>
      <c r="AJ28" s="32">
        <v>5.9060946686823117</v>
      </c>
      <c r="AK28" s="32">
        <v>2.7873307993007508</v>
      </c>
      <c r="AL28" s="32">
        <v>0.59172149431122734</v>
      </c>
      <c r="AM28" s="26">
        <v>6.0728488615257731E-3</v>
      </c>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row>
    <row r="29" spans="1:131">
      <c r="A29" s="7" t="s">
        <v>1336</v>
      </c>
      <c r="B29" s="7"/>
      <c r="C29" s="32">
        <v>131.05318682818603</v>
      </c>
      <c r="D29" s="32">
        <v>24.253499999999999</v>
      </c>
      <c r="E29" s="32">
        <v>4.8506999999999998</v>
      </c>
      <c r="F29" s="32">
        <v>29.104199999999999</v>
      </c>
      <c r="G29" s="32">
        <v>88.968882169045301</v>
      </c>
      <c r="H29" s="32">
        <v>63.303442183004229</v>
      </c>
      <c r="I29" s="32">
        <v>1945.4146684296156</v>
      </c>
      <c r="J29" s="32">
        <v>11.56311854139439</v>
      </c>
      <c r="K29" s="32">
        <v>49.801879993743583</v>
      </c>
      <c r="L29" s="742">
        <v>0.71152340728216124</v>
      </c>
      <c r="M29" s="32">
        <v>1.2450221048316961</v>
      </c>
      <c r="N29" s="32">
        <v>3.4857866639111573E-4</v>
      </c>
      <c r="O29" s="32">
        <v>0</v>
      </c>
      <c r="P29" s="32">
        <v>4.591033023306895E-3</v>
      </c>
      <c r="Q29" s="32">
        <v>0.25277835496207379</v>
      </c>
      <c r="R29" s="32">
        <v>3.0448513348804496</v>
      </c>
      <c r="S29" s="32">
        <v>12.060510091039159</v>
      </c>
      <c r="T29" s="32">
        <v>15.984155966912677</v>
      </c>
      <c r="U29" s="32">
        <v>15.474638202818213</v>
      </c>
      <c r="V29" s="32">
        <v>15.696078791201078</v>
      </c>
      <c r="W29" s="32">
        <v>7.3789102928920824</v>
      </c>
      <c r="X29" s="32">
        <v>4.2430775831089695</v>
      </c>
      <c r="Y29" s="32">
        <v>1.1992372449919224</v>
      </c>
      <c r="Z29" s="32">
        <v>8.2176955847548926E-3</v>
      </c>
      <c r="AA29" s="32"/>
      <c r="AB29" s="32">
        <v>0</v>
      </c>
      <c r="AC29" s="32">
        <v>3.1397075382350458E-3</v>
      </c>
      <c r="AD29" s="32">
        <v>9.3206766212995992E-2</v>
      </c>
      <c r="AE29" s="32">
        <v>2.0066935561859212</v>
      </c>
      <c r="AF29" s="32">
        <v>7.8203471979598067</v>
      </c>
      <c r="AG29" s="32">
        <v>11.749558081946219</v>
      </c>
      <c r="AH29" s="32">
        <v>13.327438230903931</v>
      </c>
      <c r="AI29" s="32">
        <v>11.414536884868408</v>
      </c>
      <c r="AJ29" s="32">
        <v>5.9060946686823117</v>
      </c>
      <c r="AK29" s="32">
        <v>2.7873307993007508</v>
      </c>
      <c r="AL29" s="32">
        <v>0.59172149431122734</v>
      </c>
      <c r="AM29" s="26">
        <v>6.0728488615257731E-3</v>
      </c>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row>
    <row r="30" spans="1:131">
      <c r="A30" s="7" t="s">
        <v>1307</v>
      </c>
      <c r="B30" s="7"/>
      <c r="C30" s="32">
        <v>7.7081209822715397</v>
      </c>
      <c r="D30" s="32">
        <v>3.9583333333333335</v>
      </c>
      <c r="E30" s="32">
        <v>0.79166666666666674</v>
      </c>
      <c r="F30" s="32">
        <v>4.75</v>
      </c>
      <c r="G30" s="32">
        <v>6.0526841362108934</v>
      </c>
      <c r="H30" s="32">
        <v>3.7233019871584156</v>
      </c>
      <c r="I30" s="32">
        <v>5398.2027650709979</v>
      </c>
      <c r="J30" s="32">
        <v>32.353760951536543</v>
      </c>
      <c r="K30" s="32">
        <v>57.627929346261482</v>
      </c>
      <c r="L30" s="742">
        <v>0.61514889978866139</v>
      </c>
      <c r="M30" s="32">
        <v>7.3228139215162302E-2</v>
      </c>
      <c r="N30" s="32">
        <v>2.0502260169408662E-5</v>
      </c>
      <c r="O30" s="32">
        <v>0</v>
      </c>
      <c r="P30" s="32">
        <v>2.7002958748075526E-4</v>
      </c>
      <c r="Q30" s="32">
        <v>1.4867598330910529E-2</v>
      </c>
      <c r="R30" s="32">
        <v>0.17908822387554268</v>
      </c>
      <c r="S30" s="32">
        <v>0.70935986479683644</v>
      </c>
      <c r="T30" s="32">
        <v>0.94013591713713096</v>
      </c>
      <c r="U30" s="32">
        <v>0.91016774418910817</v>
      </c>
      <c r="V30" s="32">
        <v>0.92319215730680126</v>
      </c>
      <c r="W30" s="32">
        <v>0.4340034350290829</v>
      </c>
      <c r="X30" s="32">
        <v>0.24956398344320188</v>
      </c>
      <c r="Y30" s="32">
        <v>7.0535223099631214E-2</v>
      </c>
      <c r="Z30" s="32">
        <v>4.8333804996145277E-4</v>
      </c>
      <c r="AA30" s="32"/>
      <c r="AB30" s="32">
        <v>0</v>
      </c>
      <c r="AC30" s="32">
        <v>1.8466735635657691E-4</v>
      </c>
      <c r="AD30" s="32">
        <v>5.4821179684701364E-3</v>
      </c>
      <c r="AE30" s="32">
        <v>0.11802716957737555</v>
      </c>
      <c r="AF30" s="32">
        <v>0.45996731391409229</v>
      </c>
      <c r="AG30" s="32">
        <v>0.69107068187974241</v>
      </c>
      <c r="AH30" s="32">
        <v>0.7838764455399273</v>
      </c>
      <c r="AI30" s="32">
        <v>0.67136582783382925</v>
      </c>
      <c r="AJ30" s="32">
        <v>0.34737722401696697</v>
      </c>
      <c r="AK30" s="32">
        <v>0.16394170594866414</v>
      </c>
      <c r="AL30" s="32">
        <v>3.4803128228702324E-2</v>
      </c>
      <c r="AM30" s="26">
        <v>3.5718516172414828E-4</v>
      </c>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row>
    <row r="31" spans="1:131">
      <c r="A31" s="7" t="s">
        <v>1305</v>
      </c>
      <c r="B31" s="7"/>
      <c r="C31" s="32">
        <v>100.97737308839594</v>
      </c>
      <c r="D31" s="32">
        <v>24.253499999999999</v>
      </c>
      <c r="E31" s="32">
        <v>4.8506999999999998</v>
      </c>
      <c r="F31" s="32">
        <v>29.104199999999999</v>
      </c>
      <c r="G31" s="32">
        <v>88.968882169045301</v>
      </c>
      <c r="H31" s="32">
        <v>48.775733378183837</v>
      </c>
      <c r="I31" s="32">
        <v>2524.8507086514664</v>
      </c>
      <c r="J31" s="32">
        <v>15.052138769284864</v>
      </c>
      <c r="K31" s="32">
        <v>64.680202912984029</v>
      </c>
      <c r="L31" s="742">
        <v>0.54823363168155259</v>
      </c>
      <c r="M31" s="32">
        <v>0.95929801194160247</v>
      </c>
      <c r="N31" s="32">
        <v>2.6858223671414699E-4</v>
      </c>
      <c r="O31" s="32">
        <v>0</v>
      </c>
      <c r="P31" s="32">
        <v>3.5374222151757766E-3</v>
      </c>
      <c r="Q31" s="32">
        <v>0.19476744423727807</v>
      </c>
      <c r="R31" s="32">
        <v>2.3460786927983115</v>
      </c>
      <c r="S31" s="32">
        <v>9.2927051724109671</v>
      </c>
      <c r="T31" s="32">
        <v>12.315901044742203</v>
      </c>
      <c r="U31" s="32">
        <v>11.923314137049649</v>
      </c>
      <c r="V31" s="32">
        <v>12.093935618687983</v>
      </c>
      <c r="W31" s="32">
        <v>5.6855006403470156</v>
      </c>
      <c r="X31" s="32">
        <v>3.2693201784884378</v>
      </c>
      <c r="Y31" s="32">
        <v>0.92402046558248951</v>
      </c>
      <c r="Z31" s="32">
        <v>6.3317904209116939E-3</v>
      </c>
      <c r="AA31" s="32"/>
      <c r="AB31" s="32">
        <v>0</v>
      </c>
      <c r="AC31" s="32">
        <v>2.4191660435732548E-3</v>
      </c>
      <c r="AD31" s="32">
        <v>7.181644822259578E-2</v>
      </c>
      <c r="AE31" s="32">
        <v>1.5461710531520272</v>
      </c>
      <c r="AF31" s="32">
        <v>6.0256307824430602</v>
      </c>
      <c r="AG31" s="32">
        <v>9.0531145314299959</v>
      </c>
      <c r="AH31" s="32">
        <v>10.268881933553246</v>
      </c>
      <c r="AI31" s="32">
        <v>8.7949784171651935</v>
      </c>
      <c r="AJ31" s="32">
        <v>4.5506861701638082</v>
      </c>
      <c r="AK31" s="32">
        <v>2.1476573660949296</v>
      </c>
      <c r="AL31" s="32">
        <v>0.45592544173551697</v>
      </c>
      <c r="AM31" s="26">
        <v>4.679171411555794E-3</v>
      </c>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row>
    <row r="32" spans="1:131">
      <c r="A32" s="7" t="s">
        <v>1321</v>
      </c>
      <c r="B32" s="7"/>
      <c r="C32" s="32">
        <v>343.39414966181369</v>
      </c>
      <c r="D32" s="32">
        <v>160</v>
      </c>
      <c r="E32" s="32">
        <v>32</v>
      </c>
      <c r="F32" s="32">
        <v>192</v>
      </c>
      <c r="G32" s="32">
        <v>329.40609938121804</v>
      </c>
      <c r="H32" s="32">
        <v>165.87182826463908</v>
      </c>
      <c r="I32" s="32">
        <v>4897.9285222430617</v>
      </c>
      <c r="J32" s="32">
        <v>29.341406124503401</v>
      </c>
      <c r="K32" s="32">
        <v>70.433406428063208</v>
      </c>
      <c r="L32" s="742">
        <v>0.5035481388360008</v>
      </c>
      <c r="M32" s="32">
        <v>3.2622885207617998</v>
      </c>
      <c r="N32" s="32">
        <v>9.133686683449805E-4</v>
      </c>
      <c r="O32" s="32">
        <v>0</v>
      </c>
      <c r="P32" s="32">
        <v>1.2029725634788659E-2</v>
      </c>
      <c r="Q32" s="32">
        <v>0.66234641336050681</v>
      </c>
      <c r="R32" s="32">
        <v>7.9783190343833219</v>
      </c>
      <c r="S32" s="32">
        <v>31.6017390147844</v>
      </c>
      <c r="T32" s="32">
        <v>41.88273310374224</v>
      </c>
      <c r="U32" s="32">
        <v>40.547661263267344</v>
      </c>
      <c r="V32" s="32">
        <v>41.127894406685961</v>
      </c>
      <c r="W32" s="32">
        <v>19.334704380599714</v>
      </c>
      <c r="X32" s="32">
        <v>11.117989984562788</v>
      </c>
      <c r="Y32" s="32">
        <v>3.1423200301620424</v>
      </c>
      <c r="Z32" s="32">
        <v>2.1532544578302695E-2</v>
      </c>
      <c r="AA32" s="32"/>
      <c r="AB32" s="32">
        <v>0</v>
      </c>
      <c r="AC32" s="32">
        <v>8.226867475512066E-3</v>
      </c>
      <c r="AD32" s="32">
        <v>0.24422647782232679</v>
      </c>
      <c r="AE32" s="32">
        <v>5.2580699793414043</v>
      </c>
      <c r="AF32" s="32">
        <v>20.49138629207286</v>
      </c>
      <c r="AG32" s="32">
        <v>30.786962180031857</v>
      </c>
      <c r="AH32" s="32">
        <v>34.921427164312995</v>
      </c>
      <c r="AI32" s="32">
        <v>29.909117681370077</v>
      </c>
      <c r="AJ32" s="32">
        <v>15.475536350239592</v>
      </c>
      <c r="AK32" s="32">
        <v>7.3035468485548245</v>
      </c>
      <c r="AL32" s="32">
        <v>1.5504674422149962</v>
      </c>
      <c r="AM32" s="26">
        <v>1.591247661579067E-2</v>
      </c>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row>
    <row r="33" spans="1:131">
      <c r="A33" s="7" t="s">
        <v>1334</v>
      </c>
      <c r="B33" s="7"/>
      <c r="C33" s="32">
        <v>343.39414966181369</v>
      </c>
      <c r="D33" s="32">
        <v>160</v>
      </c>
      <c r="E33" s="32">
        <v>32</v>
      </c>
      <c r="F33" s="32">
        <v>192</v>
      </c>
      <c r="G33" s="32">
        <v>329.40609938121804</v>
      </c>
      <c r="H33" s="32">
        <v>165.87182826463908</v>
      </c>
      <c r="I33" s="32">
        <v>4897.9285222430617</v>
      </c>
      <c r="J33" s="32">
        <v>29.341406124503401</v>
      </c>
      <c r="K33" s="32">
        <v>70.433406428063208</v>
      </c>
      <c r="L33" s="742">
        <v>0.5035481388360008</v>
      </c>
      <c r="M33" s="32">
        <v>3.2622885207617998</v>
      </c>
      <c r="N33" s="32">
        <v>9.133686683449805E-4</v>
      </c>
      <c r="O33" s="32">
        <v>0</v>
      </c>
      <c r="P33" s="32">
        <v>1.2029725634788659E-2</v>
      </c>
      <c r="Q33" s="32">
        <v>0.66234641336050681</v>
      </c>
      <c r="R33" s="32">
        <v>7.9783190343833219</v>
      </c>
      <c r="S33" s="32">
        <v>31.6017390147844</v>
      </c>
      <c r="T33" s="32">
        <v>41.88273310374224</v>
      </c>
      <c r="U33" s="32">
        <v>40.547661263267344</v>
      </c>
      <c r="V33" s="32">
        <v>41.127894406685961</v>
      </c>
      <c r="W33" s="32">
        <v>19.334704380599714</v>
      </c>
      <c r="X33" s="32">
        <v>11.117989984562788</v>
      </c>
      <c r="Y33" s="32">
        <v>3.1423200301620424</v>
      </c>
      <c r="Z33" s="32">
        <v>2.1532544578302695E-2</v>
      </c>
      <c r="AA33" s="32"/>
      <c r="AB33" s="32">
        <v>0</v>
      </c>
      <c r="AC33" s="32">
        <v>8.226867475512066E-3</v>
      </c>
      <c r="AD33" s="32">
        <v>0.24422647782232679</v>
      </c>
      <c r="AE33" s="32">
        <v>5.2580699793414043</v>
      </c>
      <c r="AF33" s="32">
        <v>20.49138629207286</v>
      </c>
      <c r="AG33" s="32">
        <v>30.786962180031857</v>
      </c>
      <c r="AH33" s="32">
        <v>34.921427164312995</v>
      </c>
      <c r="AI33" s="32">
        <v>29.909117681370077</v>
      </c>
      <c r="AJ33" s="32">
        <v>15.475536350239592</v>
      </c>
      <c r="AK33" s="32">
        <v>7.3035468485548245</v>
      </c>
      <c r="AL33" s="32">
        <v>1.5504674422149962</v>
      </c>
      <c r="AM33" s="26">
        <v>1.591247661579067E-2</v>
      </c>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row>
    <row r="34" spans="1:131">
      <c r="A34" s="7" t="s">
        <v>1317</v>
      </c>
      <c r="B34" s="7"/>
      <c r="C34" s="32">
        <v>66.641912508276818</v>
      </c>
      <c r="D34" s="32">
        <v>19.733333333333334</v>
      </c>
      <c r="E34" s="32">
        <v>3.9466666666666672</v>
      </c>
      <c r="F34" s="32">
        <v>23.68</v>
      </c>
      <c r="G34" s="32">
        <v>72.387598001765824</v>
      </c>
      <c r="H34" s="32">
        <v>32.190460663602906</v>
      </c>
      <c r="I34" s="32">
        <v>3112.7077869236828</v>
      </c>
      <c r="J34" s="32">
        <v>18.591865494628127</v>
      </c>
      <c r="K34" s="32">
        <v>79.774754914869376</v>
      </c>
      <c r="L34" s="742">
        <v>0.44469579806775261</v>
      </c>
      <c r="M34" s="32">
        <v>0.63310672704084014</v>
      </c>
      <c r="N34" s="32">
        <v>1.7725588785829057E-4</v>
      </c>
      <c r="O34" s="32">
        <v>0</v>
      </c>
      <c r="P34" s="32">
        <v>2.33458818107905E-3</v>
      </c>
      <c r="Q34" s="32">
        <v>0.12854043021062667</v>
      </c>
      <c r="R34" s="32">
        <v>1.5483386644068335</v>
      </c>
      <c r="S34" s="32">
        <v>6.1328951835863279</v>
      </c>
      <c r="T34" s="32">
        <v>8.1281100387293002</v>
      </c>
      <c r="U34" s="32">
        <v>7.869014940944977</v>
      </c>
      <c r="V34" s="32">
        <v>7.98161978996814</v>
      </c>
      <c r="W34" s="32">
        <v>3.7522528528056851</v>
      </c>
      <c r="X34" s="32">
        <v>2.1576492102408231</v>
      </c>
      <c r="Y34" s="32">
        <v>0.60982464823381233</v>
      </c>
      <c r="Z34" s="32">
        <v>4.1787839230255554E-3</v>
      </c>
      <c r="AA34" s="32"/>
      <c r="AB34" s="32">
        <v>0</v>
      </c>
      <c r="AC34" s="32">
        <v>1.59657403325072E-3</v>
      </c>
      <c r="AD34" s="32">
        <v>4.7396612852225337E-2</v>
      </c>
      <c r="AE34" s="32">
        <v>1.0204246049933012</v>
      </c>
      <c r="AF34" s="32">
        <v>3.9767281236284822</v>
      </c>
      <c r="AG34" s="32">
        <v>5.9747728434450522</v>
      </c>
      <c r="AH34" s="32">
        <v>6.7771413579417255</v>
      </c>
      <c r="AI34" s="32">
        <v>5.8044110701495413</v>
      </c>
      <c r="AJ34" s="32">
        <v>3.0033107450636627</v>
      </c>
      <c r="AK34" s="32">
        <v>1.4173867858868077</v>
      </c>
      <c r="AL34" s="32">
        <v>0.30089655206060617</v>
      </c>
      <c r="AM34" s="26">
        <v>3.0881069915252722E-3</v>
      </c>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row>
    <row r="35" spans="1:131">
      <c r="A35" s="7" t="s">
        <v>1330</v>
      </c>
      <c r="B35" s="7"/>
      <c r="C35" s="32">
        <v>66.641912508276818</v>
      </c>
      <c r="D35" s="32">
        <v>19.733333333333334</v>
      </c>
      <c r="E35" s="32">
        <v>3.9466666666666672</v>
      </c>
      <c r="F35" s="32">
        <v>23.68</v>
      </c>
      <c r="G35" s="32">
        <v>72.387598001765824</v>
      </c>
      <c r="H35" s="32">
        <v>32.190460663602906</v>
      </c>
      <c r="I35" s="32">
        <v>3112.7077869236828</v>
      </c>
      <c r="J35" s="32">
        <v>18.591865494628127</v>
      </c>
      <c r="K35" s="32">
        <v>79.774754914869376</v>
      </c>
      <c r="L35" s="742">
        <v>0.44469579806775261</v>
      </c>
      <c r="M35" s="32">
        <v>0.63310672704084014</v>
      </c>
      <c r="N35" s="32">
        <v>1.7725588785829057E-4</v>
      </c>
      <c r="O35" s="32">
        <v>0</v>
      </c>
      <c r="P35" s="32">
        <v>2.33458818107905E-3</v>
      </c>
      <c r="Q35" s="32">
        <v>0.12854043021062667</v>
      </c>
      <c r="R35" s="32">
        <v>1.5483386644068335</v>
      </c>
      <c r="S35" s="32">
        <v>6.1328951835863279</v>
      </c>
      <c r="T35" s="32">
        <v>8.1281100387293002</v>
      </c>
      <c r="U35" s="32">
        <v>7.869014940944977</v>
      </c>
      <c r="V35" s="32">
        <v>7.98161978996814</v>
      </c>
      <c r="W35" s="32">
        <v>3.7522528528056851</v>
      </c>
      <c r="X35" s="32">
        <v>2.1576492102408231</v>
      </c>
      <c r="Y35" s="32">
        <v>0.60982464823381233</v>
      </c>
      <c r="Z35" s="32">
        <v>4.1787839230255554E-3</v>
      </c>
      <c r="AA35" s="32"/>
      <c r="AB35" s="32">
        <v>0</v>
      </c>
      <c r="AC35" s="32">
        <v>1.59657403325072E-3</v>
      </c>
      <c r="AD35" s="32">
        <v>4.7396612852225337E-2</v>
      </c>
      <c r="AE35" s="32">
        <v>1.0204246049933012</v>
      </c>
      <c r="AF35" s="32">
        <v>3.9767281236284822</v>
      </c>
      <c r="AG35" s="32">
        <v>5.9747728434450522</v>
      </c>
      <c r="AH35" s="32">
        <v>6.7771413579417255</v>
      </c>
      <c r="AI35" s="32">
        <v>5.8044110701495413</v>
      </c>
      <c r="AJ35" s="32">
        <v>3.0033107450636627</v>
      </c>
      <c r="AK35" s="32">
        <v>1.4173867858868077</v>
      </c>
      <c r="AL35" s="32">
        <v>0.30089655206060617</v>
      </c>
      <c r="AM35" s="26">
        <v>3.0881069915252722E-3</v>
      </c>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row>
    <row r="36" spans="1:131">
      <c r="A36" s="7" t="s">
        <v>1325</v>
      </c>
      <c r="B36" s="7"/>
      <c r="C36" s="32">
        <v>10.003962157933968</v>
      </c>
      <c r="D36" s="32">
        <v>6.1749999999999998</v>
      </c>
      <c r="E36" s="32">
        <v>1.2350000000000001</v>
      </c>
      <c r="F36" s="32">
        <v>7.41</v>
      </c>
      <c r="G36" s="32">
        <v>12.713016647993882</v>
      </c>
      <c r="H36" s="32">
        <v>4.8322765389596256</v>
      </c>
      <c r="I36" s="32">
        <v>6488.5891185143819</v>
      </c>
      <c r="J36" s="32">
        <v>38.919420971446755</v>
      </c>
      <c r="K36" s="32">
        <v>93.356537564067438</v>
      </c>
      <c r="L36" s="742">
        <v>0.38010463391646387</v>
      </c>
      <c r="M36" s="32">
        <v>9.5038925217870746E-2</v>
      </c>
      <c r="N36" s="32">
        <v>2.6608798092117926E-5</v>
      </c>
      <c r="O36" s="32">
        <v>0</v>
      </c>
      <c r="P36" s="32">
        <v>3.5045710632890432E-4</v>
      </c>
      <c r="Q36" s="32">
        <v>1.929586878875892E-2</v>
      </c>
      <c r="R36" s="32">
        <v>0.232429124906465</v>
      </c>
      <c r="S36" s="32">
        <v>0.920640615281759</v>
      </c>
      <c r="T36" s="32">
        <v>1.2201526364188924</v>
      </c>
      <c r="U36" s="32">
        <v>1.1812585312531882</v>
      </c>
      <c r="V36" s="32">
        <v>1.1981622275312276</v>
      </c>
      <c r="W36" s="32">
        <v>0.56327008234953879</v>
      </c>
      <c r="X36" s="32">
        <v>0.32389588228975985</v>
      </c>
      <c r="Y36" s="32">
        <v>9.1543931953464858E-2</v>
      </c>
      <c r="Z36" s="32">
        <v>6.2729886731474681E-4</v>
      </c>
      <c r="AA36" s="32"/>
      <c r="AB36" s="32">
        <v>0</v>
      </c>
      <c r="AC36" s="32">
        <v>2.3966998559647439E-4</v>
      </c>
      <c r="AD36" s="32">
        <v>7.1149506900634023E-3</v>
      </c>
      <c r="AE36" s="32">
        <v>0.1531812150815727</v>
      </c>
      <c r="AF36" s="32">
        <v>0.59696722623664356</v>
      </c>
      <c r="AG36" s="32">
        <v>0.89690405299596276</v>
      </c>
      <c r="AH36" s="32">
        <v>1.0173517405491297</v>
      </c>
      <c r="AI36" s="32">
        <v>0.87133016609715663</v>
      </c>
      <c r="AJ36" s="32">
        <v>0.45084250903516326</v>
      </c>
      <c r="AK36" s="32">
        <v>0.2127712611399952</v>
      </c>
      <c r="AL36" s="32">
        <v>4.5169137663827637E-2</v>
      </c>
      <c r="AM36" s="26">
        <v>4.6357171215686882E-4</v>
      </c>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row>
    <row r="37" spans="1:131">
      <c r="A37" s="7" t="s">
        <v>1338</v>
      </c>
      <c r="B37" s="7"/>
      <c r="C37" s="32">
        <v>10.003962157933968</v>
      </c>
      <c r="D37" s="32">
        <v>6.1749999999999998</v>
      </c>
      <c r="E37" s="32">
        <v>1.2350000000000001</v>
      </c>
      <c r="F37" s="32">
        <v>7.41</v>
      </c>
      <c r="G37" s="32">
        <v>12.713016647993882</v>
      </c>
      <c r="H37" s="32">
        <v>4.8322765389596256</v>
      </c>
      <c r="I37" s="32">
        <v>6488.5891185143819</v>
      </c>
      <c r="J37" s="32">
        <v>38.919420971446755</v>
      </c>
      <c r="K37" s="32">
        <v>93.356537564067438</v>
      </c>
      <c r="L37" s="742">
        <v>0.38010463391646387</v>
      </c>
      <c r="M37" s="32">
        <v>9.5038925217870746E-2</v>
      </c>
      <c r="N37" s="32">
        <v>2.6608798092117926E-5</v>
      </c>
      <c r="O37" s="32">
        <v>0</v>
      </c>
      <c r="P37" s="32">
        <v>3.5045710632890432E-4</v>
      </c>
      <c r="Q37" s="32">
        <v>1.929586878875892E-2</v>
      </c>
      <c r="R37" s="32">
        <v>0.232429124906465</v>
      </c>
      <c r="S37" s="32">
        <v>0.920640615281759</v>
      </c>
      <c r="T37" s="32">
        <v>1.2201526364188924</v>
      </c>
      <c r="U37" s="32">
        <v>1.1812585312531882</v>
      </c>
      <c r="V37" s="32">
        <v>1.1981622275312276</v>
      </c>
      <c r="W37" s="32">
        <v>0.56327008234953879</v>
      </c>
      <c r="X37" s="32">
        <v>0.32389588228975985</v>
      </c>
      <c r="Y37" s="32">
        <v>9.1543931953464858E-2</v>
      </c>
      <c r="Z37" s="32">
        <v>6.2729886731474681E-4</v>
      </c>
      <c r="AA37" s="32"/>
      <c r="AB37" s="32">
        <v>0</v>
      </c>
      <c r="AC37" s="32">
        <v>2.3966998559647439E-4</v>
      </c>
      <c r="AD37" s="32">
        <v>7.1149506900634023E-3</v>
      </c>
      <c r="AE37" s="32">
        <v>0.1531812150815727</v>
      </c>
      <c r="AF37" s="32">
        <v>0.59696722623664356</v>
      </c>
      <c r="AG37" s="32">
        <v>0.89690405299596276</v>
      </c>
      <c r="AH37" s="32">
        <v>1.0173517405491297</v>
      </c>
      <c r="AI37" s="32">
        <v>0.87133016609715663</v>
      </c>
      <c r="AJ37" s="32">
        <v>0.45084250903516326</v>
      </c>
      <c r="AK37" s="32">
        <v>0.2127712611399952</v>
      </c>
      <c r="AL37" s="32">
        <v>4.5169137663827637E-2</v>
      </c>
      <c r="AM37" s="26">
        <v>4.6357171215686882E-4</v>
      </c>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row>
    <row r="38" spans="1:131">
      <c r="A38" s="7" t="s">
        <v>1301</v>
      </c>
      <c r="B38" s="7"/>
      <c r="C38" s="32">
        <v>249.92788826230839</v>
      </c>
      <c r="D38" s="32">
        <v>160</v>
      </c>
      <c r="E38" s="32">
        <v>32</v>
      </c>
      <c r="F38" s="32">
        <v>192</v>
      </c>
      <c r="G38" s="32">
        <v>329.40609938121804</v>
      </c>
      <c r="H38" s="32">
        <v>120.72423423991587</v>
      </c>
      <c r="I38" s="32">
        <v>6729.6211386972709</v>
      </c>
      <c r="J38" s="32">
        <v>40.370772864686657</v>
      </c>
      <c r="K38" s="32">
        <v>96.830068384897544</v>
      </c>
      <c r="L38" s="742">
        <v>0.36649058553163899</v>
      </c>
      <c r="M38" s="32">
        <v>2.3743470344481303</v>
      </c>
      <c r="N38" s="32">
        <v>6.64764681370466E-4</v>
      </c>
      <c r="O38" s="32">
        <v>0</v>
      </c>
      <c r="P38" s="32">
        <v>8.7554314109272221E-3</v>
      </c>
      <c r="Q38" s="32">
        <v>0.48206657146702642</v>
      </c>
      <c r="R38" s="32">
        <v>5.8067513092758478</v>
      </c>
      <c r="S38" s="32">
        <v>23.000263414970934</v>
      </c>
      <c r="T38" s="32">
        <v>30.482939355784275</v>
      </c>
      <c r="U38" s="32">
        <v>29.511252196591329</v>
      </c>
      <c r="V38" s="32">
        <v>29.93355538485832</v>
      </c>
      <c r="W38" s="32">
        <v>14.072114626234276</v>
      </c>
      <c r="X38" s="32">
        <v>8.0918552668990635</v>
      </c>
      <c r="Y38" s="32">
        <v>2.2870320014368195</v>
      </c>
      <c r="Z38" s="32">
        <v>1.5671738731335923E-2</v>
      </c>
      <c r="AA38" s="32"/>
      <c r="AB38" s="32">
        <v>0</v>
      </c>
      <c r="AC38" s="32">
        <v>5.9876489369243471E-3</v>
      </c>
      <c r="AD38" s="32">
        <v>0.17775203194343564</v>
      </c>
      <c r="AE38" s="32">
        <v>3.8269094787038309</v>
      </c>
      <c r="AF38" s="32">
        <v>14.913966672375413</v>
      </c>
      <c r="AG38" s="32">
        <v>22.407255485408655</v>
      </c>
      <c r="AH38" s="32">
        <v>25.416386839665829</v>
      </c>
      <c r="AI38" s="32">
        <v>21.768345876758382</v>
      </c>
      <c r="AJ38" s="32">
        <v>11.263348905481013</v>
      </c>
      <c r="AK38" s="32">
        <v>5.3156410570238943</v>
      </c>
      <c r="AL38" s="32">
        <v>1.1284556071612895</v>
      </c>
      <c r="AM38" s="26">
        <v>1.1581361189538562E-2</v>
      </c>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row>
    <row r="39" spans="1:131">
      <c r="A39" s="7" t="s">
        <v>1550</v>
      </c>
      <c r="B39" s="7"/>
      <c r="C39" s="32">
        <v>13.446212770626941</v>
      </c>
      <c r="D39" s="32">
        <v>5.2</v>
      </c>
      <c r="E39" s="32">
        <v>1.04</v>
      </c>
      <c r="F39" s="32">
        <v>6.24</v>
      </c>
      <c r="G39" s="32">
        <v>19.075110284249103</v>
      </c>
      <c r="H39" s="32">
        <v>6.4950084260193472</v>
      </c>
      <c r="I39" s="32">
        <v>4065.2636495094907</v>
      </c>
      <c r="J39" s="32">
        <v>24.327592032254383</v>
      </c>
      <c r="K39" s="32">
        <v>104.23376805589017</v>
      </c>
      <c r="L39" s="742">
        <v>0.34049650718834756</v>
      </c>
      <c r="M39" s="32">
        <v>0.12774074809526337</v>
      </c>
      <c r="N39" s="32">
        <v>3.5764585578076661E-5</v>
      </c>
      <c r="O39" s="32">
        <v>0</v>
      </c>
      <c r="P39" s="32">
        <v>4.7104544622246676E-4</v>
      </c>
      <c r="Q39" s="32">
        <v>2.5935359733641306E-2</v>
      </c>
      <c r="R39" s="32">
        <v>0.31240536681802022</v>
      </c>
      <c r="S39" s="32">
        <v>1.2374226734296232</v>
      </c>
      <c r="T39" s="32">
        <v>1.6399934049048945</v>
      </c>
      <c r="U39" s="32">
        <v>1.5877162765706541</v>
      </c>
      <c r="V39" s="32">
        <v>1.6104363441974905</v>
      </c>
      <c r="W39" s="32">
        <v>0.75708496843860718</v>
      </c>
      <c r="X39" s="32">
        <v>0.43534480439273138</v>
      </c>
      <c r="Y39" s="32">
        <v>0.12304316704455569</v>
      </c>
      <c r="Z39" s="32">
        <v>8.4314533657025854E-4</v>
      </c>
      <c r="AA39" s="32"/>
      <c r="AB39" s="32">
        <v>0</v>
      </c>
      <c r="AC39" s="32">
        <v>3.2213772605161836E-4</v>
      </c>
      <c r="AD39" s="32">
        <v>9.5631250219432289E-3</v>
      </c>
      <c r="AE39" s="32">
        <v>0.20588914451425402</v>
      </c>
      <c r="AF39" s="32">
        <v>0.80237691969904812</v>
      </c>
      <c r="AG39" s="32">
        <v>1.2055186276226397</v>
      </c>
      <c r="AH39" s="32">
        <v>1.3674110067621819</v>
      </c>
      <c r="AI39" s="32">
        <v>1.1711450545138513</v>
      </c>
      <c r="AJ39" s="32">
        <v>0.60597233444374232</v>
      </c>
      <c r="AK39" s="32">
        <v>0.28598345371528822</v>
      </c>
      <c r="AL39" s="32">
        <v>6.0711328782054999E-2</v>
      </c>
      <c r="AM39" s="26">
        <v>6.2308151287453423E-4</v>
      </c>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row>
    <row r="40" spans="1:131">
      <c r="A40" s="7" t="s">
        <v>1547</v>
      </c>
      <c r="B40" s="7"/>
      <c r="C40" s="32">
        <v>56.199551272930009</v>
      </c>
      <c r="D40" s="32">
        <v>21.866666666666667</v>
      </c>
      <c r="E40" s="32">
        <v>4.373333333333334</v>
      </c>
      <c r="F40" s="32">
        <v>26.240000000000002</v>
      </c>
      <c r="G40" s="32">
        <v>80.213284272226986</v>
      </c>
      <c r="H40" s="32">
        <v>27.146421470702922</v>
      </c>
      <c r="I40" s="32">
        <v>4090.1109491726365</v>
      </c>
      <c r="J40" s="32">
        <v>24.477207736344834</v>
      </c>
      <c r="K40" s="32">
        <v>104.8717783320854</v>
      </c>
      <c r="L40" s="742">
        <v>0.33842800125941341</v>
      </c>
      <c r="M40" s="32">
        <v>0.53390295428795753</v>
      </c>
      <c r="N40" s="32">
        <v>1.4948102452617197E-4</v>
      </c>
      <c r="O40" s="32">
        <v>0</v>
      </c>
      <c r="P40" s="32">
        <v>1.9687731525927215E-3</v>
      </c>
      <c r="Q40" s="32">
        <v>0.10839896735210587</v>
      </c>
      <c r="R40" s="32">
        <v>1.305723903817805</v>
      </c>
      <c r="S40" s="32">
        <v>5.1719097539203789</v>
      </c>
      <c r="T40" s="32">
        <v>6.8544872090345716</v>
      </c>
      <c r="U40" s="32">
        <v>6.6359906550725816</v>
      </c>
      <c r="V40" s="32">
        <v>6.7309510448343826</v>
      </c>
      <c r="W40" s="32">
        <v>3.1642988421747451</v>
      </c>
      <c r="X40" s="32">
        <v>1.8195593862175836</v>
      </c>
      <c r="Y40" s="32">
        <v>0.5142690282433916</v>
      </c>
      <c r="Z40" s="32">
        <v>3.5239952231473381E-3</v>
      </c>
      <c r="AA40" s="32"/>
      <c r="AB40" s="32">
        <v>0</v>
      </c>
      <c r="AC40" s="32">
        <v>1.346401099031463E-3</v>
      </c>
      <c r="AD40" s="32">
        <v>3.9969866918525609E-2</v>
      </c>
      <c r="AE40" s="32">
        <v>0.86053059928851727</v>
      </c>
      <c r="AF40" s="32">
        <v>3.3536002745210007</v>
      </c>
      <c r="AG40" s="32">
        <v>5.0385641726232988</v>
      </c>
      <c r="AH40" s="32">
        <v>5.7152066754122162</v>
      </c>
      <c r="AI40" s="32">
        <v>4.8948969990247138</v>
      </c>
      <c r="AJ40" s="32">
        <v>2.5327111700881058</v>
      </c>
      <c r="AK40" s="32">
        <v>1.195291346675051</v>
      </c>
      <c r="AL40" s="32">
        <v>0.25374798784890312</v>
      </c>
      <c r="AM40" s="26">
        <v>2.6042203873570336E-3</v>
      </c>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row>
    <row r="41" spans="1:131">
      <c r="A41" s="7" t="s">
        <v>1342</v>
      </c>
      <c r="B41" s="7"/>
      <c r="C41" s="32">
        <v>10.308621518278239</v>
      </c>
      <c r="D41" s="32">
        <v>3.3866666666666667</v>
      </c>
      <c r="E41" s="32">
        <v>0.67733333333333334</v>
      </c>
      <c r="F41" s="32">
        <v>4.0640000000000001</v>
      </c>
      <c r="G41" s="32">
        <v>15.159181668026848</v>
      </c>
      <c r="H41" s="32">
        <v>4.9794380591777374</v>
      </c>
      <c r="I41" s="32">
        <v>3453.48211076296</v>
      </c>
      <c r="J41" s="32">
        <v>20.643806393170983</v>
      </c>
      <c r="K41" s="32">
        <v>108.05347375084912</v>
      </c>
      <c r="L41" s="742">
        <v>0.32847670594780015</v>
      </c>
      <c r="M41" s="32">
        <v>9.7933228265760314E-2</v>
      </c>
      <c r="N41" s="32">
        <v>2.7419138962894343E-5</v>
      </c>
      <c r="O41" s="32">
        <v>0</v>
      </c>
      <c r="P41" s="32">
        <v>3.6112988139109213E-4</v>
      </c>
      <c r="Q41" s="32">
        <v>1.9883502663184165E-2</v>
      </c>
      <c r="R41" s="32">
        <v>0.23950749119788714</v>
      </c>
      <c r="S41" s="32">
        <v>0.94867768464794533</v>
      </c>
      <c r="T41" s="32">
        <v>1.2573110058594388</v>
      </c>
      <c r="U41" s="32">
        <v>1.2172324246817428</v>
      </c>
      <c r="V41" s="32">
        <v>1.2346509039241937</v>
      </c>
      <c r="W41" s="32">
        <v>0.58042383606037018</v>
      </c>
      <c r="X41" s="32">
        <v>0.33375976529518309</v>
      </c>
      <c r="Y41" s="32">
        <v>9.4331798931772376E-2</v>
      </c>
      <c r="Z41" s="32">
        <v>6.4640254530189611E-4</v>
      </c>
      <c r="AA41" s="32"/>
      <c r="AB41" s="32">
        <v>0</v>
      </c>
      <c r="AC41" s="32">
        <v>2.4696886411608513E-4</v>
      </c>
      <c r="AD41" s="32">
        <v>7.3316284715158877E-3</v>
      </c>
      <c r="AE41" s="32">
        <v>0.15784617585079139</v>
      </c>
      <c r="AF41" s="32">
        <v>0.61514718837769489</v>
      </c>
      <c r="AG41" s="32">
        <v>0.92421825218645304</v>
      </c>
      <c r="AH41" s="32">
        <v>1.0483340379256765</v>
      </c>
      <c r="AI41" s="32">
        <v>0.89786554146753395</v>
      </c>
      <c r="AJ41" s="32">
        <v>0.46457240807418815</v>
      </c>
      <c r="AK41" s="32">
        <v>0.21925096940909786</v>
      </c>
      <c r="AL41" s="32">
        <v>4.6544712698070471E-2</v>
      </c>
      <c r="AM41" s="26">
        <v>4.7768926468953234E-4</v>
      </c>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row>
    <row r="42" spans="1:131">
      <c r="A42" s="7" t="s">
        <v>1293</v>
      </c>
      <c r="B42" s="7"/>
      <c r="C42" s="32">
        <v>48.503075778542595</v>
      </c>
      <c r="D42" s="32">
        <v>19.733333333333334</v>
      </c>
      <c r="E42" s="32">
        <v>3.9466666666666672</v>
      </c>
      <c r="F42" s="32">
        <v>23.68</v>
      </c>
      <c r="G42" s="32">
        <v>72.387598001765824</v>
      </c>
      <c r="H42" s="32">
        <v>23.428744676542891</v>
      </c>
      <c r="I42" s="32">
        <v>4276.7761975987623</v>
      </c>
      <c r="J42" s="32">
        <v>25.60119516963185</v>
      </c>
      <c r="K42" s="32">
        <v>109.66482821351977</v>
      </c>
      <c r="L42" s="742">
        <v>0.32365688768912282</v>
      </c>
      <c r="M42" s="32">
        <v>0.46078544870321808</v>
      </c>
      <c r="N42" s="32">
        <v>1.2900973932756995E-4</v>
      </c>
      <c r="O42" s="32">
        <v>0</v>
      </c>
      <c r="P42" s="32">
        <v>1.6991515278692447E-3</v>
      </c>
      <c r="Q42" s="32">
        <v>9.3553831101983495E-2</v>
      </c>
      <c r="R42" s="32">
        <v>1.1269062477948077</v>
      </c>
      <c r="S42" s="32">
        <v>4.4636215954096761</v>
      </c>
      <c r="T42" s="32">
        <v>5.9157716564010121</v>
      </c>
      <c r="U42" s="32">
        <v>5.7271979992431215</v>
      </c>
      <c r="V42" s="32">
        <v>5.8091536532697594</v>
      </c>
      <c r="W42" s="32">
        <v>2.7309511028406215</v>
      </c>
      <c r="X42" s="32">
        <v>1.5703724459412165</v>
      </c>
      <c r="Y42" s="32">
        <v>0.44384037029600693</v>
      </c>
      <c r="Z42" s="32">
        <v>3.0413874039928106E-3</v>
      </c>
      <c r="AA42" s="32"/>
      <c r="AB42" s="32">
        <v>0</v>
      </c>
      <c r="AC42" s="32">
        <v>1.1620127395232738E-3</v>
      </c>
      <c r="AD42" s="32">
        <v>3.4496031375633382E-2</v>
      </c>
      <c r="AE42" s="32">
        <v>0.74268174605781967</v>
      </c>
      <c r="AF42" s="32">
        <v>2.8943278827278247</v>
      </c>
      <c r="AG42" s="32">
        <v>4.3485375655928502</v>
      </c>
      <c r="AH42" s="32">
        <v>4.9325145163761182</v>
      </c>
      <c r="AI42" s="32">
        <v>4.2245454757966163</v>
      </c>
      <c r="AJ42" s="32">
        <v>2.1858587662267661</v>
      </c>
      <c r="AK42" s="32">
        <v>1.031597325104294</v>
      </c>
      <c r="AL42" s="32">
        <v>0.21899744045138511</v>
      </c>
      <c r="AM42" s="26">
        <v>2.2475748636954966E-3</v>
      </c>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row>
    <row r="43" spans="1:131">
      <c r="A43" s="7" t="s">
        <v>1309</v>
      </c>
      <c r="B43" s="7"/>
      <c r="C43" s="32">
        <v>7.7081209822715397</v>
      </c>
      <c r="D43" s="32">
        <v>6.1749999999999998</v>
      </c>
      <c r="E43" s="32">
        <v>1.2350000000000001</v>
      </c>
      <c r="F43" s="32">
        <v>7.41</v>
      </c>
      <c r="G43" s="32">
        <v>12.713016647993882</v>
      </c>
      <c r="H43" s="32">
        <v>3.7233019871584156</v>
      </c>
      <c r="I43" s="32">
        <v>8421.1963135107562</v>
      </c>
      <c r="J43" s="32">
        <v>50.556435461134605</v>
      </c>
      <c r="K43" s="32">
        <v>121.2074872067093</v>
      </c>
      <c r="L43" s="742">
        <v>0.29287320942397677</v>
      </c>
      <c r="M43" s="32">
        <v>7.3228139215162302E-2</v>
      </c>
      <c r="N43" s="32">
        <v>2.0502260169408662E-5</v>
      </c>
      <c r="O43" s="32">
        <v>0</v>
      </c>
      <c r="P43" s="32">
        <v>2.7002958748075526E-4</v>
      </c>
      <c r="Q43" s="32">
        <v>1.4867598330910529E-2</v>
      </c>
      <c r="R43" s="32">
        <v>0.17908822387554268</v>
      </c>
      <c r="S43" s="32">
        <v>0.70935986479683644</v>
      </c>
      <c r="T43" s="32">
        <v>0.94013591713713096</v>
      </c>
      <c r="U43" s="32">
        <v>0.91016774418910817</v>
      </c>
      <c r="V43" s="32">
        <v>0.92319215730680126</v>
      </c>
      <c r="W43" s="32">
        <v>0.4340034350290829</v>
      </c>
      <c r="X43" s="32">
        <v>0.24956398344320188</v>
      </c>
      <c r="Y43" s="32">
        <v>7.0535223099631214E-2</v>
      </c>
      <c r="Z43" s="32">
        <v>4.8333804996145277E-4</v>
      </c>
      <c r="AA43" s="32"/>
      <c r="AB43" s="32">
        <v>0</v>
      </c>
      <c r="AC43" s="32">
        <v>1.8466735635657691E-4</v>
      </c>
      <c r="AD43" s="32">
        <v>5.4821179684701364E-3</v>
      </c>
      <c r="AE43" s="32">
        <v>0.11802716957737555</v>
      </c>
      <c r="AF43" s="32">
        <v>0.45996731391409229</v>
      </c>
      <c r="AG43" s="32">
        <v>0.69107068187974241</v>
      </c>
      <c r="AH43" s="32">
        <v>0.7838764455399273</v>
      </c>
      <c r="AI43" s="32">
        <v>0.67136582783382925</v>
      </c>
      <c r="AJ43" s="32">
        <v>0.34737722401696697</v>
      </c>
      <c r="AK43" s="32">
        <v>0.16394170594866414</v>
      </c>
      <c r="AL43" s="32">
        <v>3.4803128228702324E-2</v>
      </c>
      <c r="AM43" s="26">
        <v>3.5718516172414828E-4</v>
      </c>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row>
    <row r="44" spans="1:131">
      <c r="A44" s="7" t="s">
        <v>1554</v>
      </c>
      <c r="B44" s="7"/>
      <c r="C44" s="32">
        <v>2.8320162362181653</v>
      </c>
      <c r="D44" s="32">
        <v>2.0750000000000002</v>
      </c>
      <c r="E44" s="32">
        <v>0.41500000000000004</v>
      </c>
      <c r="F44" s="32">
        <v>2.4900000000000002</v>
      </c>
      <c r="G44" s="32">
        <v>5.1037127736287227</v>
      </c>
      <c r="H44" s="32">
        <v>1.3679665516703678</v>
      </c>
      <c r="I44" s="32">
        <v>7702.0744870897961</v>
      </c>
      <c r="J44" s="32">
        <v>46.226310262605999</v>
      </c>
      <c r="K44" s="32">
        <v>132.45419904259862</v>
      </c>
      <c r="L44" s="742">
        <v>0.26803360854058178</v>
      </c>
      <c r="M44" s="32">
        <v>2.6904517934054156E-2</v>
      </c>
      <c r="N44" s="32">
        <v>7.5326702593896704E-6</v>
      </c>
      <c r="O44" s="32">
        <v>0</v>
      </c>
      <c r="P44" s="32">
        <v>9.9210712670914938E-5</v>
      </c>
      <c r="Q44" s="32">
        <v>5.4624570584127655E-3</v>
      </c>
      <c r="R44" s="32">
        <v>6.5798235250524986E-2</v>
      </c>
      <c r="S44" s="32">
        <v>0.26062365381220914</v>
      </c>
      <c r="T44" s="32">
        <v>0.34541234987201674</v>
      </c>
      <c r="U44" s="32">
        <v>0.3344018386782</v>
      </c>
      <c r="V44" s="32">
        <v>0.33918709691446214</v>
      </c>
      <c r="W44" s="32">
        <v>0.15945582294358437</v>
      </c>
      <c r="X44" s="32">
        <v>9.1691510124449066E-2</v>
      </c>
      <c r="Y44" s="32">
        <v>2.5915122181250319E-2</v>
      </c>
      <c r="Z44" s="32">
        <v>1.7758169704667467E-4</v>
      </c>
      <c r="AA44" s="32"/>
      <c r="AB44" s="32">
        <v>0</v>
      </c>
      <c r="AC44" s="32">
        <v>6.7848046586730152E-5</v>
      </c>
      <c r="AD44" s="32">
        <v>2.0141675424242638E-3</v>
      </c>
      <c r="AE44" s="32">
        <v>4.3363987322822123E-2</v>
      </c>
      <c r="AF44" s="32">
        <v>0.16899512918004148</v>
      </c>
      <c r="AG44" s="32">
        <v>0.25390408323365937</v>
      </c>
      <c r="AH44" s="32">
        <v>0.28800155395379529</v>
      </c>
      <c r="AI44" s="32">
        <v>0.24666438542420827</v>
      </c>
      <c r="AJ44" s="32">
        <v>0.12762876202528564</v>
      </c>
      <c r="AK44" s="32">
        <v>6.0233301229672541E-2</v>
      </c>
      <c r="AL44" s="32">
        <v>1.2786906749590451E-2</v>
      </c>
      <c r="AM44" s="26">
        <v>1.3123226525187462E-4</v>
      </c>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row>
    <row r="45" spans="1:131">
      <c r="A45" s="7" t="s">
        <v>1548</v>
      </c>
      <c r="B45" s="7"/>
      <c r="C45" s="32">
        <v>26.980540557862223</v>
      </c>
      <c r="D45" s="32">
        <v>28.8</v>
      </c>
      <c r="E45" s="32">
        <v>5.7600000000000007</v>
      </c>
      <c r="F45" s="32">
        <v>34.56</v>
      </c>
      <c r="G45" s="32">
        <v>70.837073677352876</v>
      </c>
      <c r="H45" s="32">
        <v>13.032579600754101</v>
      </c>
      <c r="I45" s="32">
        <v>11220.88711865259</v>
      </c>
      <c r="J45" s="32">
        <v>67.414513269409795</v>
      </c>
      <c r="K45" s="32">
        <v>193.03695539222213</v>
      </c>
      <c r="L45" s="742">
        <v>0.18397964405072129</v>
      </c>
      <c r="M45" s="32">
        <v>0.25631860016411295</v>
      </c>
      <c r="N45" s="32">
        <v>7.176354176339872E-5</v>
      </c>
      <c r="O45" s="32">
        <v>0</v>
      </c>
      <c r="P45" s="32">
        <v>9.451777227684761E-4</v>
      </c>
      <c r="Q45" s="32">
        <v>5.204067770702319E-2</v>
      </c>
      <c r="R45" s="32">
        <v>0.62685797210796457</v>
      </c>
      <c r="S45" s="32">
        <v>2.4829543602506585</v>
      </c>
      <c r="T45" s="32">
        <v>3.2907339286138613</v>
      </c>
      <c r="U45" s="32">
        <v>3.1858370922086183</v>
      </c>
      <c r="V45" s="32">
        <v>3.2314261154183601</v>
      </c>
      <c r="W45" s="32">
        <v>1.5191312264020702</v>
      </c>
      <c r="X45" s="32">
        <v>0.8735424875345793</v>
      </c>
      <c r="Y45" s="32">
        <v>0.2468926541208275</v>
      </c>
      <c r="Z45" s="32">
        <v>1.6918159289580827E-3</v>
      </c>
      <c r="AA45" s="32"/>
      <c r="AB45" s="32">
        <v>0</v>
      </c>
      <c r="AC45" s="32">
        <v>6.4638646816146976E-4</v>
      </c>
      <c r="AD45" s="32">
        <v>1.9188918613431701E-2</v>
      </c>
      <c r="AE45" s="32">
        <v>0.41312751097656331</v>
      </c>
      <c r="AF45" s="32">
        <v>1.610011933763513</v>
      </c>
      <c r="AG45" s="32">
        <v>2.4189371967162847</v>
      </c>
      <c r="AH45" s="32">
        <v>2.743782859647109</v>
      </c>
      <c r="AI45" s="32">
        <v>2.3499647954014518</v>
      </c>
      <c r="AJ45" s="32">
        <v>1.2159156950213523</v>
      </c>
      <c r="AK45" s="32">
        <v>0.57384099920672926</v>
      </c>
      <c r="AL45" s="32">
        <v>0.1218205078610822</v>
      </c>
      <c r="AM45" s="26">
        <v>1.250246170854077E-3</v>
      </c>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row>
    <row r="46" spans="1:131">
      <c r="A46" s="7" t="s">
        <v>1327</v>
      </c>
      <c r="B46" s="7"/>
      <c r="C46" s="32">
        <v>4.1620494190903221</v>
      </c>
      <c r="D46" s="32">
        <v>4.9800000000000004</v>
      </c>
      <c r="E46" s="32">
        <v>0.99600000000000011</v>
      </c>
      <c r="F46" s="32">
        <v>5.9760000000000009</v>
      </c>
      <c r="G46" s="32">
        <v>12.248910656708935</v>
      </c>
      <c r="H46" s="32">
        <v>2.0104208157075107</v>
      </c>
      <c r="I46" s="32">
        <v>12577.880445120189</v>
      </c>
      <c r="J46" s="32">
        <v>75.585522382590099</v>
      </c>
      <c r="K46" s="32">
        <v>216.40006240395863</v>
      </c>
      <c r="L46" s="742">
        <v>0.16413058042891099</v>
      </c>
      <c r="M46" s="32">
        <v>3.9540003975354655E-2</v>
      </c>
      <c r="N46" s="32">
        <v>1.1070327025793422E-5</v>
      </c>
      <c r="O46" s="32">
        <v>0</v>
      </c>
      <c r="P46" s="32">
        <v>1.4580420965062184E-4</v>
      </c>
      <c r="Q46" s="32">
        <v>8.0278551852981973E-3</v>
      </c>
      <c r="R46" s="32">
        <v>9.6699836427251107E-2</v>
      </c>
      <c r="S46" s="32">
        <v>0.38302341387662153</v>
      </c>
      <c r="T46" s="32">
        <v>0.50763242517678231</v>
      </c>
      <c r="U46" s="32">
        <v>0.49145091776448435</v>
      </c>
      <c r="V46" s="32">
        <v>0.498483533258606</v>
      </c>
      <c r="W46" s="32">
        <v>0.23434294152888083</v>
      </c>
      <c r="X46" s="32">
        <v>0.13475367533859683</v>
      </c>
      <c r="Y46" s="32">
        <v>3.8085946627256055E-2</v>
      </c>
      <c r="Z46" s="32">
        <v>2.6098148364473177E-4</v>
      </c>
      <c r="AA46" s="32"/>
      <c r="AB46" s="32">
        <v>0</v>
      </c>
      <c r="AC46" s="32">
        <v>9.9712324834623443E-5</v>
      </c>
      <c r="AD46" s="32">
        <v>2.9601047983722427E-3</v>
      </c>
      <c r="AE46" s="32">
        <v>6.3729528079050302E-2</v>
      </c>
      <c r="AF46" s="32">
        <v>0.24836230464983164</v>
      </c>
      <c r="AG46" s="32">
        <v>0.37314805212363367</v>
      </c>
      <c r="AH46" s="32">
        <v>0.42325912012820943</v>
      </c>
      <c r="AI46" s="32">
        <v>0.36250828965445614</v>
      </c>
      <c r="AJ46" s="32">
        <v>0.18756856265623334</v>
      </c>
      <c r="AK46" s="32">
        <v>8.8521376815135847E-2</v>
      </c>
      <c r="AL46" s="32">
        <v>1.8792172561893201E-2</v>
      </c>
      <c r="AM46" s="26">
        <v>1.9286442159909833E-4</v>
      </c>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row>
    <row r="47" spans="1:131">
      <c r="A47" s="7" t="s">
        <v>1340</v>
      </c>
      <c r="B47" s="7"/>
      <c r="C47" s="32">
        <v>4.1620494190903221</v>
      </c>
      <c r="D47" s="32">
        <v>4.9800000000000004</v>
      </c>
      <c r="E47" s="32">
        <v>0.99600000000000011</v>
      </c>
      <c r="F47" s="32">
        <v>5.9760000000000009</v>
      </c>
      <c r="G47" s="32">
        <v>12.248910656708935</v>
      </c>
      <c r="H47" s="32">
        <v>2.0104208157075107</v>
      </c>
      <c r="I47" s="32">
        <v>12577.880445120189</v>
      </c>
      <c r="J47" s="32">
        <v>75.585522382590099</v>
      </c>
      <c r="K47" s="32">
        <v>216.40006240395863</v>
      </c>
      <c r="L47" s="742">
        <v>0.16413058042891099</v>
      </c>
      <c r="M47" s="32">
        <v>3.9540003975354655E-2</v>
      </c>
      <c r="N47" s="32">
        <v>1.1070327025793422E-5</v>
      </c>
      <c r="O47" s="32">
        <v>0</v>
      </c>
      <c r="P47" s="32">
        <v>1.4580420965062184E-4</v>
      </c>
      <c r="Q47" s="32">
        <v>8.0278551852981973E-3</v>
      </c>
      <c r="R47" s="32">
        <v>9.6699836427251107E-2</v>
      </c>
      <c r="S47" s="32">
        <v>0.38302341387662153</v>
      </c>
      <c r="T47" s="32">
        <v>0.50763242517678231</v>
      </c>
      <c r="U47" s="32">
        <v>0.49145091776448435</v>
      </c>
      <c r="V47" s="32">
        <v>0.498483533258606</v>
      </c>
      <c r="W47" s="32">
        <v>0.23434294152888083</v>
      </c>
      <c r="X47" s="32">
        <v>0.13475367533859683</v>
      </c>
      <c r="Y47" s="32">
        <v>3.8085946627256055E-2</v>
      </c>
      <c r="Z47" s="32">
        <v>2.6098148364473177E-4</v>
      </c>
      <c r="AA47" s="32"/>
      <c r="AB47" s="32">
        <v>0</v>
      </c>
      <c r="AC47" s="32">
        <v>9.9712324834623443E-5</v>
      </c>
      <c r="AD47" s="32">
        <v>2.9601047983722427E-3</v>
      </c>
      <c r="AE47" s="32">
        <v>6.3729528079050302E-2</v>
      </c>
      <c r="AF47" s="32">
        <v>0.24836230464983164</v>
      </c>
      <c r="AG47" s="32">
        <v>0.37314805212363367</v>
      </c>
      <c r="AH47" s="32">
        <v>0.42325912012820943</v>
      </c>
      <c r="AI47" s="32">
        <v>0.36250828965445614</v>
      </c>
      <c r="AJ47" s="32">
        <v>0.18756856265623334</v>
      </c>
      <c r="AK47" s="32">
        <v>8.8521376815135847E-2</v>
      </c>
      <c r="AL47" s="32">
        <v>1.8792172561893201E-2</v>
      </c>
      <c r="AM47" s="26">
        <v>1.9286442159909833E-4</v>
      </c>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row>
    <row r="48" spans="1:131">
      <c r="A48" s="7" t="s">
        <v>1552</v>
      </c>
      <c r="B48" s="7"/>
      <c r="C48" s="32">
        <v>1.7017687925467591</v>
      </c>
      <c r="D48" s="32">
        <v>3.9583333333333335</v>
      </c>
      <c r="E48" s="32">
        <v>0.79166666666666674</v>
      </c>
      <c r="F48" s="32">
        <v>4.75</v>
      </c>
      <c r="G48" s="32">
        <v>6.0526841362108934</v>
      </c>
      <c r="H48" s="32">
        <v>0.82201604535613804</v>
      </c>
      <c r="I48" s="32">
        <v>24451.030117745384</v>
      </c>
      <c r="J48" s="32">
        <v>147.07858891794004</v>
      </c>
      <c r="K48" s="32">
        <v>261.55732925333763</v>
      </c>
      <c r="L48" s="742">
        <v>0.1358101673335852</v>
      </c>
      <c r="M48" s="32">
        <v>1.6167022071818662E-2</v>
      </c>
      <c r="N48" s="32">
        <v>4.5264087853862627E-6</v>
      </c>
      <c r="O48" s="32">
        <v>0</v>
      </c>
      <c r="P48" s="32">
        <v>5.9616075836890153E-5</v>
      </c>
      <c r="Q48" s="32">
        <v>3.282410190220924E-3</v>
      </c>
      <c r="R48" s="32">
        <v>3.953839738698716E-2</v>
      </c>
      <c r="S48" s="32">
        <v>0.15660969558896304</v>
      </c>
      <c r="T48" s="32">
        <v>0.20755952951646792</v>
      </c>
      <c r="U48" s="32">
        <v>0.20094327354307501</v>
      </c>
      <c r="V48" s="32">
        <v>0.20381875251335901</v>
      </c>
      <c r="W48" s="32">
        <v>9.5817580353147844E-2</v>
      </c>
      <c r="X48" s="32">
        <v>5.5097759848878276E-2</v>
      </c>
      <c r="Y48" s="32">
        <v>1.5572490587829635E-2</v>
      </c>
      <c r="Z48" s="32">
        <v>1.0670948361690241E-4</v>
      </c>
      <c r="AA48" s="32"/>
      <c r="AB48" s="32">
        <v>0</v>
      </c>
      <c r="AC48" s="32">
        <v>4.0770136427869474E-5</v>
      </c>
      <c r="AD48" s="32">
        <v>1.2103205563663876E-3</v>
      </c>
      <c r="AE48" s="32">
        <v>2.6057576719587389E-2</v>
      </c>
      <c r="AF48" s="32">
        <v>0.10154978395005504</v>
      </c>
      <c r="AG48" s="32">
        <v>0.15257188134070795</v>
      </c>
      <c r="AH48" s="32">
        <v>0.17306117474030772</v>
      </c>
      <c r="AI48" s="32">
        <v>0.14822152075942635</v>
      </c>
      <c r="AJ48" s="32">
        <v>7.6692584409772543E-2</v>
      </c>
      <c r="AK48" s="32">
        <v>3.6194408419637565E-2</v>
      </c>
      <c r="AL48" s="32">
        <v>7.6836984835641419E-3</v>
      </c>
      <c r="AM48" s="26">
        <v>7.885794252334032E-5</v>
      </c>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row>
    <row r="49" spans="1:131">
      <c r="A49" s="7" t="s">
        <v>1313</v>
      </c>
      <c r="B49" s="7"/>
      <c r="C49" s="32">
        <v>3.206887426208211</v>
      </c>
      <c r="D49" s="32">
        <v>4.9800000000000004</v>
      </c>
      <c r="E49" s="32">
        <v>0.99600000000000011</v>
      </c>
      <c r="F49" s="32">
        <v>5.9760000000000009</v>
      </c>
      <c r="G49" s="32">
        <v>12.248910656708935</v>
      </c>
      <c r="H49" s="32">
        <v>1.5490429320007464</v>
      </c>
      <c r="I49" s="32">
        <v>16324.165161574691</v>
      </c>
      <c r="J49" s="32">
        <v>98.143427393369564</v>
      </c>
      <c r="K49" s="32">
        <v>280.8991642195852</v>
      </c>
      <c r="L49" s="742">
        <v>0.12646373015646983</v>
      </c>
      <c r="M49" s="32">
        <v>3.0465842380242986E-2</v>
      </c>
      <c r="N49" s="32">
        <v>8.5297623762452117E-6</v>
      </c>
      <c r="O49" s="32">
        <v>0</v>
      </c>
      <c r="P49" s="32">
        <v>1.1234313664612881E-4</v>
      </c>
      <c r="Q49" s="32">
        <v>6.1855171000780671E-3</v>
      </c>
      <c r="R49" s="32">
        <v>7.4507882614887458E-2</v>
      </c>
      <c r="S49" s="32">
        <v>0.29512214926384689</v>
      </c>
      <c r="T49" s="32">
        <v>0.39113424121494689</v>
      </c>
      <c r="U49" s="32">
        <v>0.37866627953732335</v>
      </c>
      <c r="V49" s="32">
        <v>0.38408495767651396</v>
      </c>
      <c r="W49" s="32">
        <v>0.18056283261861603</v>
      </c>
      <c r="X49" s="32">
        <v>0.10382862469065547</v>
      </c>
      <c r="Y49" s="32">
        <v>2.9345481289570895E-2</v>
      </c>
      <c r="Z49" s="32">
        <v>2.0108801076090525E-4</v>
      </c>
      <c r="AA49" s="32"/>
      <c r="AB49" s="32">
        <v>0</v>
      </c>
      <c r="AC49" s="32">
        <v>7.6829025451608478E-5</v>
      </c>
      <c r="AD49" s="32">
        <v>2.2807809091880777E-3</v>
      </c>
      <c r="AE49" s="32">
        <v>4.9104035463269045E-2</v>
      </c>
      <c r="AF49" s="32">
        <v>0.19136484739283047</v>
      </c>
      <c r="AG49" s="32">
        <v>0.28751311576951705</v>
      </c>
      <c r="AH49" s="32">
        <v>0.3261240349865363</v>
      </c>
      <c r="AI49" s="32">
        <v>0.27931510631683132</v>
      </c>
      <c r="AJ49" s="32">
        <v>0.14452285510480337</v>
      </c>
      <c r="AK49" s="32">
        <v>6.8206323778140995E-2</v>
      </c>
      <c r="AL49" s="32">
        <v>1.4479496957304732E-2</v>
      </c>
      <c r="AM49" s="26">
        <v>1.4860335049175097E-4</v>
      </c>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row>
    <row r="50" spans="1:131">
      <c r="A50" s="7" t="s">
        <v>1341</v>
      </c>
      <c r="B50" s="7"/>
      <c r="C50" s="32">
        <v>10.308621518278239</v>
      </c>
      <c r="D50" s="32">
        <v>9.0666666666666664</v>
      </c>
      <c r="E50" s="32">
        <v>1.8133333333333335</v>
      </c>
      <c r="F50" s="32">
        <v>10.879999999999999</v>
      </c>
      <c r="G50" s="32">
        <v>40.583635961646671</v>
      </c>
      <c r="H50" s="32">
        <v>4.9794380591777374</v>
      </c>
      <c r="I50" s="32">
        <v>9245.5426587354832</v>
      </c>
      <c r="J50" s="32">
        <v>55.520160313623002</v>
      </c>
      <c r="K50" s="32">
        <v>289.53029339717068</v>
      </c>
      <c r="L50" s="742">
        <v>0.12269571075109008</v>
      </c>
      <c r="M50" s="32">
        <v>9.7933228265760314E-2</v>
      </c>
      <c r="N50" s="32">
        <v>2.7419138962894343E-5</v>
      </c>
      <c r="O50" s="32">
        <v>0</v>
      </c>
      <c r="P50" s="32">
        <v>3.6112988139109213E-4</v>
      </c>
      <c r="Q50" s="32">
        <v>1.9883502663184165E-2</v>
      </c>
      <c r="R50" s="32">
        <v>0.23950749119788714</v>
      </c>
      <c r="S50" s="32">
        <v>0.94867768464794533</v>
      </c>
      <c r="T50" s="32">
        <v>1.2573110058594388</v>
      </c>
      <c r="U50" s="32">
        <v>1.2172324246817428</v>
      </c>
      <c r="V50" s="32">
        <v>1.2346509039241937</v>
      </c>
      <c r="W50" s="32">
        <v>0.58042383606037018</v>
      </c>
      <c r="X50" s="32">
        <v>0.33375976529518309</v>
      </c>
      <c r="Y50" s="32">
        <v>9.4331798931772376E-2</v>
      </c>
      <c r="Z50" s="32">
        <v>6.4640254530189611E-4</v>
      </c>
      <c r="AA50" s="32"/>
      <c r="AB50" s="32">
        <v>0</v>
      </c>
      <c r="AC50" s="32">
        <v>2.4696886411608513E-4</v>
      </c>
      <c r="AD50" s="32">
        <v>7.3316284715158877E-3</v>
      </c>
      <c r="AE50" s="32">
        <v>0.15784617585079139</v>
      </c>
      <c r="AF50" s="32">
        <v>0.61514718837769489</v>
      </c>
      <c r="AG50" s="32">
        <v>0.92421825218645304</v>
      </c>
      <c r="AH50" s="32">
        <v>1.0483340379256765</v>
      </c>
      <c r="AI50" s="32">
        <v>0.89786554146753395</v>
      </c>
      <c r="AJ50" s="32">
        <v>0.46457240807418815</v>
      </c>
      <c r="AK50" s="32">
        <v>0.21925096940909786</v>
      </c>
      <c r="AL50" s="32">
        <v>4.6544712698070471E-2</v>
      </c>
      <c r="AM50" s="26">
        <v>4.7768926468953234E-4</v>
      </c>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row>
    <row r="51" spans="1:131">
      <c r="A51" s="7" t="s">
        <v>1551</v>
      </c>
      <c r="B51" s="7"/>
      <c r="C51" s="32">
        <v>22.29338935784876</v>
      </c>
      <c r="D51" s="32">
        <v>24.253499999999999</v>
      </c>
      <c r="E51" s="32">
        <v>4.8506999999999998</v>
      </c>
      <c r="F51" s="32">
        <v>29.104199999999999</v>
      </c>
      <c r="G51" s="32">
        <v>88.968882169045301</v>
      </c>
      <c r="H51" s="32">
        <v>10.768515580837896</v>
      </c>
      <c r="I51" s="32">
        <v>11436.25080545411</v>
      </c>
      <c r="J51" s="32">
        <v>68.711305680382182</v>
      </c>
      <c r="K51" s="32">
        <v>293.50043344613579</v>
      </c>
      <c r="L51" s="742">
        <v>0.12103687624597981</v>
      </c>
      <c r="M51" s="32">
        <v>0.21179006183596191</v>
      </c>
      <c r="N51" s="32">
        <v>5.9296535397378663E-5</v>
      </c>
      <c r="O51" s="32">
        <v>0</v>
      </c>
      <c r="P51" s="32">
        <v>7.809782365499065E-4</v>
      </c>
      <c r="Q51" s="32">
        <v>4.2999994313713347E-2</v>
      </c>
      <c r="R51" s="32">
        <v>0.51795807479483758</v>
      </c>
      <c r="S51" s="32">
        <v>2.0516070903815162</v>
      </c>
      <c r="T51" s="32">
        <v>2.7190564468618201</v>
      </c>
      <c r="U51" s="32">
        <v>2.6323826453724282</v>
      </c>
      <c r="V51" s="32">
        <v>2.6700517885342987</v>
      </c>
      <c r="W51" s="32">
        <v>1.2552225869314098</v>
      </c>
      <c r="X51" s="32">
        <v>0.72178771783567042</v>
      </c>
      <c r="Y51" s="32">
        <v>0.20400162317372045</v>
      </c>
      <c r="Z51" s="32">
        <v>1.3979079160844488E-3</v>
      </c>
      <c r="AA51" s="32"/>
      <c r="AB51" s="32">
        <v>0</v>
      </c>
      <c r="AC51" s="32">
        <v>5.3409401414565756E-4</v>
      </c>
      <c r="AD51" s="32">
        <v>1.5855354457701771E-2</v>
      </c>
      <c r="AE51" s="32">
        <v>0.34135759574155872</v>
      </c>
      <c r="AF51" s="32">
        <v>1.330315188948791</v>
      </c>
      <c r="AG51" s="32">
        <v>1.9987112060608814</v>
      </c>
      <c r="AH51" s="32">
        <v>2.2671235764281255</v>
      </c>
      <c r="AI51" s="32">
        <v>1.9417209247075562</v>
      </c>
      <c r="AJ51" s="32">
        <v>1.0046826881506365</v>
      </c>
      <c r="AK51" s="32">
        <v>0.47415139060602368</v>
      </c>
      <c r="AL51" s="32">
        <v>0.10065743522423939</v>
      </c>
      <c r="AM51" s="26">
        <v>1.0330491570483889E-3</v>
      </c>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row>
    <row r="52" spans="1:131">
      <c r="A52" s="7" t="s">
        <v>1549</v>
      </c>
      <c r="B52" s="7"/>
      <c r="C52" s="32">
        <v>46.696102069221105</v>
      </c>
      <c r="D52" s="32">
        <v>160</v>
      </c>
      <c r="E52" s="32">
        <v>32</v>
      </c>
      <c r="F52" s="32">
        <v>192</v>
      </c>
      <c r="G52" s="32">
        <v>329.40609938121804</v>
      </c>
      <c r="H52" s="32">
        <v>22.555910840886511</v>
      </c>
      <c r="I52" s="32">
        <v>36018.423925550895</v>
      </c>
      <c r="J52" s="32">
        <v>216.73057494897145</v>
      </c>
      <c r="K52" s="32">
        <v>518.91323853032338</v>
      </c>
      <c r="L52" s="742">
        <v>6.8474478412079445E-2</v>
      </c>
      <c r="M52" s="32">
        <v>0.44361896641153331</v>
      </c>
      <c r="N52" s="32">
        <v>1.2420350377509255E-4</v>
      </c>
      <c r="O52" s="32">
        <v>0</v>
      </c>
      <c r="P52" s="32">
        <v>1.6358499312234614E-3</v>
      </c>
      <c r="Q52" s="32">
        <v>9.006849928551397E-2</v>
      </c>
      <c r="R52" s="32">
        <v>1.0849235502039842</v>
      </c>
      <c r="S52" s="32">
        <v>4.2973301439542793</v>
      </c>
      <c r="T52" s="32">
        <v>5.6953806052793663</v>
      </c>
      <c r="U52" s="32">
        <v>5.5138322271431752</v>
      </c>
      <c r="V52" s="32">
        <v>5.5927346374367239</v>
      </c>
      <c r="W52" s="32">
        <v>2.6292099912705664</v>
      </c>
      <c r="X52" s="32">
        <v>1.5118684917463365</v>
      </c>
      <c r="Y52" s="32">
        <v>0.42730517397315437</v>
      </c>
      <c r="Z52" s="32">
        <v>2.9280810416505731E-3</v>
      </c>
      <c r="AA52" s="32"/>
      <c r="AB52" s="32">
        <v>0</v>
      </c>
      <c r="AC52" s="32">
        <v>1.1187221556476818E-3</v>
      </c>
      <c r="AD52" s="32">
        <v>3.3210887685853722E-2</v>
      </c>
      <c r="AE52" s="32">
        <v>0.7150132659052032</v>
      </c>
      <c r="AF52" s="32">
        <v>2.7865001974460801</v>
      </c>
      <c r="AG52" s="32">
        <v>4.1865335497877467</v>
      </c>
      <c r="AH52" s="32">
        <v>4.7487545401504194</v>
      </c>
      <c r="AI52" s="32">
        <v>4.0671607638774887</v>
      </c>
      <c r="AJ52" s="32">
        <v>2.104424975493663</v>
      </c>
      <c r="AK52" s="32">
        <v>0.99316534496388242</v>
      </c>
      <c r="AL52" s="32">
        <v>0.21083872863873312</v>
      </c>
      <c r="AM52" s="26">
        <v>2.163841850412527E-3</v>
      </c>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row>
    <row r="53" spans="1:131">
      <c r="A53" s="7" t="s">
        <v>1553</v>
      </c>
      <c r="B53" s="7"/>
      <c r="C53" s="32">
        <v>1.7017687925467591</v>
      </c>
      <c r="D53" s="32">
        <v>6.1749999999999998</v>
      </c>
      <c r="E53" s="32">
        <v>1.2350000000000001</v>
      </c>
      <c r="F53" s="32">
        <v>7.41</v>
      </c>
      <c r="G53" s="32">
        <v>12.713016647993882</v>
      </c>
      <c r="H53" s="32">
        <v>0.82201604535613804</v>
      </c>
      <c r="I53" s="32">
        <v>38143.606983682796</v>
      </c>
      <c r="J53" s="32">
        <v>229.52716708872407</v>
      </c>
      <c r="K53" s="32">
        <v>549.53941361994794</v>
      </c>
      <c r="L53" s="742">
        <v>6.4659401314152487E-2</v>
      </c>
      <c r="M53" s="32">
        <v>1.6167022071818662E-2</v>
      </c>
      <c r="N53" s="32">
        <v>4.5264087853862627E-6</v>
      </c>
      <c r="O53" s="32">
        <v>0</v>
      </c>
      <c r="P53" s="32">
        <v>5.9616075836890153E-5</v>
      </c>
      <c r="Q53" s="32">
        <v>3.282410190220924E-3</v>
      </c>
      <c r="R53" s="32">
        <v>3.953839738698716E-2</v>
      </c>
      <c r="S53" s="32">
        <v>0.15660969558896304</v>
      </c>
      <c r="T53" s="32">
        <v>0.20755952951646792</v>
      </c>
      <c r="U53" s="32">
        <v>0.20094327354307501</v>
      </c>
      <c r="V53" s="32">
        <v>0.20381875251335901</v>
      </c>
      <c r="W53" s="32">
        <v>9.5817580353147844E-2</v>
      </c>
      <c r="X53" s="32">
        <v>5.5097759848878276E-2</v>
      </c>
      <c r="Y53" s="32">
        <v>1.5572490587829635E-2</v>
      </c>
      <c r="Z53" s="32">
        <v>1.0670948361690241E-4</v>
      </c>
      <c r="AA53" s="32"/>
      <c r="AB53" s="32">
        <v>0</v>
      </c>
      <c r="AC53" s="32">
        <v>4.0770136427869474E-5</v>
      </c>
      <c r="AD53" s="32">
        <v>1.2103205563663876E-3</v>
      </c>
      <c r="AE53" s="32">
        <v>2.6057576719587389E-2</v>
      </c>
      <c r="AF53" s="32">
        <v>0.10154978395005504</v>
      </c>
      <c r="AG53" s="32">
        <v>0.15257188134070795</v>
      </c>
      <c r="AH53" s="32">
        <v>0.17306117474030772</v>
      </c>
      <c r="AI53" s="32">
        <v>0.14822152075942635</v>
      </c>
      <c r="AJ53" s="32">
        <v>7.6692584409772543E-2</v>
      </c>
      <c r="AK53" s="32">
        <v>3.6194408419637565E-2</v>
      </c>
      <c r="AL53" s="32">
        <v>7.6836984835641419E-3</v>
      </c>
      <c r="AM53" s="26">
        <v>7.885794252334032E-5</v>
      </c>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row>
    <row r="54" spans="1:131">
      <c r="A54" s="7" t="s">
        <v>1343</v>
      </c>
      <c r="B54" s="7"/>
      <c r="C54" s="32">
        <v>9.0622322821728929</v>
      </c>
      <c r="D54" s="32">
        <v>19.733333333333334</v>
      </c>
      <c r="E54" s="32">
        <v>3.9466666666666672</v>
      </c>
      <c r="F54" s="32">
        <v>23.68</v>
      </c>
      <c r="G54" s="32">
        <v>72.387598001765824</v>
      </c>
      <c r="H54" s="32">
        <v>4.3773868549689068</v>
      </c>
      <c r="I54" s="32">
        <v>22890.254138383432</v>
      </c>
      <c r="J54" s="32">
        <v>137.68052151240818</v>
      </c>
      <c r="K54" s="32">
        <v>587.60771790177819</v>
      </c>
      <c r="L54" s="742">
        <v>6.0471503072420288E-2</v>
      </c>
      <c r="M54" s="32">
        <v>8.6092370460372866E-2</v>
      </c>
      <c r="N54" s="32">
        <v>2.4103960536173311E-5</v>
      </c>
      <c r="O54" s="32">
        <v>0</v>
      </c>
      <c r="P54" s="32">
        <v>3.1746658497422696E-4</v>
      </c>
      <c r="Q54" s="32">
        <v>1.7479438875264253E-2</v>
      </c>
      <c r="R54" s="32">
        <v>0.21054924896672783</v>
      </c>
      <c r="S54" s="32">
        <v>0.83397547615362955</v>
      </c>
      <c r="T54" s="32">
        <v>1.1052927266587365</v>
      </c>
      <c r="U54" s="32">
        <v>1.0700599449014268</v>
      </c>
      <c r="V54" s="32">
        <v>1.0853724000747409</v>
      </c>
      <c r="W54" s="32">
        <v>0.51024626475639934</v>
      </c>
      <c r="X54" s="32">
        <v>0.2934057200747468</v>
      </c>
      <c r="Y54" s="32">
        <v>8.292638079681186E-2</v>
      </c>
      <c r="Z54" s="32">
        <v>5.6824765589919099E-4</v>
      </c>
      <c r="AA54" s="32"/>
      <c r="AB54" s="32">
        <v>0</v>
      </c>
      <c r="AC54" s="32">
        <v>2.1710848624289839E-4</v>
      </c>
      <c r="AD54" s="32">
        <v>6.4451799008880721E-3</v>
      </c>
      <c r="AE54" s="32">
        <v>0.13876139577694915</v>
      </c>
      <c r="AF54" s="32">
        <v>0.54077130476852697</v>
      </c>
      <c r="AG54" s="32">
        <v>0.81247337152565946</v>
      </c>
      <c r="AH54" s="32">
        <v>0.92158263295881215</v>
      </c>
      <c r="AI54" s="32">
        <v>0.78930690010401394</v>
      </c>
      <c r="AJ54" s="32">
        <v>0.40840213857806645</v>
      </c>
      <c r="AK54" s="32">
        <v>0.19274189176058562</v>
      </c>
      <c r="AL54" s="32">
        <v>4.091710974440415E-2</v>
      </c>
      <c r="AM54" s="26">
        <v>4.1993306938675312E-4</v>
      </c>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row>
    <row r="55" spans="1:131">
      <c r="A55" s="7" t="s">
        <v>1555</v>
      </c>
      <c r="B55" s="7"/>
      <c r="C55" s="32">
        <v>0.70800405905454133</v>
      </c>
      <c r="D55" s="32">
        <v>4.9800000000000004</v>
      </c>
      <c r="E55" s="32">
        <v>0.99600000000000011</v>
      </c>
      <c r="F55" s="32">
        <v>5.9760000000000009</v>
      </c>
      <c r="G55" s="32">
        <v>12.248910656708935</v>
      </c>
      <c r="H55" s="32">
        <v>0.34199163791759196</v>
      </c>
      <c r="I55" s="32">
        <v>73939.915076062054</v>
      </c>
      <c r="J55" s="32">
        <v>445.07130716377389</v>
      </c>
      <c r="K55" s="32">
        <v>1272.8590394517028</v>
      </c>
      <c r="L55" s="742">
        <v>2.7920167556310601E-2</v>
      </c>
      <c r="M55" s="32">
        <v>6.7261294835135391E-3</v>
      </c>
      <c r="N55" s="32">
        <v>1.8831675648474176E-6</v>
      </c>
      <c r="O55" s="32">
        <v>0</v>
      </c>
      <c r="P55" s="32">
        <v>2.4802678167728734E-5</v>
      </c>
      <c r="Q55" s="32">
        <v>1.3656142646031914E-3</v>
      </c>
      <c r="R55" s="32">
        <v>1.6449558812631247E-2</v>
      </c>
      <c r="S55" s="32">
        <v>6.5155913453052286E-2</v>
      </c>
      <c r="T55" s="32">
        <v>8.6353087468004186E-2</v>
      </c>
      <c r="U55" s="32">
        <v>8.3600459669550001E-2</v>
      </c>
      <c r="V55" s="32">
        <v>8.4796774228615535E-2</v>
      </c>
      <c r="W55" s="32">
        <v>3.9863955735896094E-2</v>
      </c>
      <c r="X55" s="32">
        <v>2.2922877531112267E-2</v>
      </c>
      <c r="Y55" s="32">
        <v>6.4787805453125798E-3</v>
      </c>
      <c r="Z55" s="32">
        <v>4.4395424261668668E-5</v>
      </c>
      <c r="AA55" s="32"/>
      <c r="AB55" s="32">
        <v>0</v>
      </c>
      <c r="AC55" s="32">
        <v>1.6962011646682538E-5</v>
      </c>
      <c r="AD55" s="32">
        <v>5.0354188560606595E-4</v>
      </c>
      <c r="AE55" s="32">
        <v>1.0840996830705531E-2</v>
      </c>
      <c r="AF55" s="32">
        <v>4.2248782295010369E-2</v>
      </c>
      <c r="AG55" s="32">
        <v>6.3476020808414843E-2</v>
      </c>
      <c r="AH55" s="32">
        <v>7.2000388488448822E-2</v>
      </c>
      <c r="AI55" s="32">
        <v>6.1666096356052066E-2</v>
      </c>
      <c r="AJ55" s="32">
        <v>3.190719050632141E-2</v>
      </c>
      <c r="AK55" s="32">
        <v>1.5058325307418135E-2</v>
      </c>
      <c r="AL55" s="32">
        <v>3.1967266873976128E-3</v>
      </c>
      <c r="AM55" s="26">
        <v>3.2808066312968654E-5</v>
      </c>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row>
    <row r="56" spans="1:131">
      <c r="A56" s="7"/>
      <c r="B56" s="7"/>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7"/>
  <dimension ref="A1:EA284"/>
  <sheetViews>
    <sheetView topLeftCell="A24" workbookViewId="0">
      <selection activeCell="A62" sqref="A62:EA284"/>
    </sheetView>
  </sheetViews>
  <sheetFormatPr defaultRowHeight="12.75"/>
  <cols>
    <col min="1" max="1" width="107.28515625" bestFit="1" customWidth="1"/>
    <col min="2" max="2" width="18.7109375" customWidth="1"/>
    <col min="3" max="3" width="18" customWidth="1"/>
    <col min="15" max="15" width="11.140625" customWidth="1"/>
    <col min="16" max="16" width="14.42578125" customWidth="1"/>
  </cols>
  <sheetData>
    <row r="1" spans="1:20">
      <c r="A1" s="1" t="s">
        <v>0</v>
      </c>
      <c r="B1" s="2"/>
      <c r="C1" s="2"/>
      <c r="D1" s="2"/>
      <c r="E1" s="2"/>
      <c r="F1" s="2"/>
      <c r="G1" s="2"/>
      <c r="H1" s="3"/>
      <c r="I1" s="4"/>
      <c r="J1" s="4"/>
      <c r="K1" s="4"/>
      <c r="L1" s="4"/>
      <c r="M1" s="4"/>
      <c r="N1" s="5"/>
      <c r="O1" s="6"/>
      <c r="P1" s="5"/>
    </row>
    <row r="2" spans="1:20">
      <c r="A2" s="8" t="s">
        <v>1</v>
      </c>
      <c r="B2" s="3"/>
      <c r="C2" s="3"/>
      <c r="D2" s="3"/>
      <c r="E2" s="3"/>
      <c r="F2" s="3"/>
      <c r="G2" s="3"/>
      <c r="H2" s="3"/>
      <c r="I2" s="4"/>
      <c r="J2" s="4"/>
      <c r="K2" s="4"/>
      <c r="L2" s="4"/>
      <c r="M2" s="4"/>
      <c r="N2" s="5"/>
      <c r="O2" s="5"/>
      <c r="P2" s="5"/>
    </row>
    <row r="3" spans="1:20">
      <c r="A3" s="8" t="s">
        <v>2</v>
      </c>
      <c r="B3" s="7">
        <v>2012</v>
      </c>
      <c r="C3" s="8"/>
      <c r="D3" s="7"/>
      <c r="E3" s="7"/>
      <c r="F3" s="7"/>
      <c r="G3" s="7"/>
      <c r="H3" s="7"/>
      <c r="I3" s="7"/>
      <c r="J3" s="9"/>
      <c r="K3" s="10"/>
      <c r="L3" s="7"/>
      <c r="M3" s="7"/>
      <c r="N3" s="7"/>
      <c r="O3" s="7"/>
      <c r="P3" s="7"/>
    </row>
    <row r="4" spans="1:20">
      <c r="A4" s="7"/>
      <c r="B4" s="7"/>
      <c r="C4" s="7"/>
      <c r="D4" s="7"/>
      <c r="E4" s="7"/>
      <c r="F4" s="7"/>
      <c r="G4" s="7"/>
      <c r="H4" s="7"/>
      <c r="I4" s="7"/>
      <c r="J4" s="7"/>
      <c r="K4" s="7"/>
      <c r="L4" s="7"/>
      <c r="M4" s="7"/>
      <c r="N4" s="7"/>
      <c r="O4" s="7"/>
      <c r="P4" s="7"/>
    </row>
    <row r="5" spans="1:20">
      <c r="A5" s="11">
        <v>1</v>
      </c>
      <c r="B5" s="11">
        <v>2</v>
      </c>
      <c r="C5" s="11">
        <v>3</v>
      </c>
      <c r="D5" s="11">
        <v>4</v>
      </c>
      <c r="E5" s="11">
        <v>5</v>
      </c>
      <c r="F5" s="11">
        <v>6</v>
      </c>
      <c r="G5" s="11">
        <v>7</v>
      </c>
      <c r="H5" s="11">
        <v>8</v>
      </c>
      <c r="I5" s="11">
        <v>9</v>
      </c>
      <c r="J5" s="11">
        <v>10</v>
      </c>
      <c r="K5" s="11">
        <v>11</v>
      </c>
      <c r="L5" s="11">
        <v>12</v>
      </c>
      <c r="M5" s="11">
        <v>13</v>
      </c>
      <c r="N5" s="11">
        <v>14</v>
      </c>
      <c r="O5" s="11">
        <v>15</v>
      </c>
      <c r="P5" s="11">
        <v>16</v>
      </c>
    </row>
    <row r="6" spans="1:20">
      <c r="A6" s="12" t="s">
        <v>3</v>
      </c>
      <c r="B6" s="13"/>
      <c r="C6" s="13"/>
      <c r="D6" s="13"/>
      <c r="E6" s="13"/>
      <c r="F6" s="13"/>
      <c r="G6" s="14"/>
      <c r="H6" s="15"/>
      <c r="I6" s="824" t="s">
        <v>4</v>
      </c>
      <c r="J6" s="825"/>
      <c r="K6" s="825"/>
      <c r="L6" s="825"/>
      <c r="M6" s="825"/>
      <c r="N6" s="826"/>
      <c r="O6" s="827" t="s">
        <v>5</v>
      </c>
      <c r="P6" s="828"/>
      <c r="Q6" s="92" t="s">
        <v>121</v>
      </c>
      <c r="R6" s="829" t="s">
        <v>122</v>
      </c>
      <c r="S6" s="829"/>
      <c r="T6" s="829"/>
    </row>
    <row r="7" spans="1:20" ht="38.25">
      <c r="A7" s="21" t="s">
        <v>6</v>
      </c>
      <c r="B7" s="21" t="s">
        <v>7</v>
      </c>
      <c r="C7" s="21" t="s">
        <v>8</v>
      </c>
      <c r="D7" s="21" t="s">
        <v>9</v>
      </c>
      <c r="E7" s="21" t="s">
        <v>10</v>
      </c>
      <c r="F7" s="21" t="s">
        <v>11</v>
      </c>
      <c r="G7" s="21" t="s">
        <v>12</v>
      </c>
      <c r="H7" s="21" t="s">
        <v>13</v>
      </c>
      <c r="I7" s="21" t="s">
        <v>14</v>
      </c>
      <c r="J7" s="21" t="s">
        <v>15</v>
      </c>
      <c r="K7" s="21" t="s">
        <v>16</v>
      </c>
      <c r="L7" s="21" t="s">
        <v>17</v>
      </c>
      <c r="M7" s="21" t="s">
        <v>18</v>
      </c>
      <c r="N7" s="21" t="s">
        <v>19</v>
      </c>
      <c r="O7" s="22" t="s">
        <v>20</v>
      </c>
      <c r="P7" s="21" t="s">
        <v>12</v>
      </c>
      <c r="Q7" s="93" t="s">
        <v>123</v>
      </c>
      <c r="R7" s="94" t="s">
        <v>124</v>
      </c>
      <c r="S7" s="94" t="s">
        <v>125</v>
      </c>
      <c r="T7" s="94" t="s">
        <v>126</v>
      </c>
    </row>
    <row r="8" spans="1:20">
      <c r="A8" t="str">
        <f>CONCATENATE(Consolidate!$B6," - ",Consolidate!$A6)</f>
        <v>Wheel/hand line systems: Replace worn nozzle with new flow controlling type nozzle for impact sprinklers  - Idaho</v>
      </c>
      <c r="B8" t="str">
        <f>Consolidate!C6</f>
        <v xml:space="preserve">Wheel/hand line systems: Replace worn nozzle with new flow controlling type nozzle for impact sprinklers </v>
      </c>
      <c r="C8">
        <f>Consolidate!D6</f>
        <v>63.857991001034001</v>
      </c>
      <c r="D8">
        <f>Consolidate!E6</f>
        <v>4</v>
      </c>
      <c r="E8">
        <f>Consolidate!F6</f>
        <v>9.0666666666666664</v>
      </c>
      <c r="F8">
        <f>Consolidate!G6</f>
        <v>0</v>
      </c>
      <c r="G8" t="s">
        <v>1288</v>
      </c>
      <c r="H8">
        <f>Consolidate!I6</f>
        <v>0</v>
      </c>
      <c r="I8">
        <f>Consolidate!J6</f>
        <v>0</v>
      </c>
      <c r="J8">
        <f>Consolidate!K6</f>
        <v>0</v>
      </c>
      <c r="K8">
        <f>Consolidate!L6</f>
        <v>0</v>
      </c>
      <c r="L8">
        <f>Consolidate!M6</f>
        <v>0</v>
      </c>
      <c r="M8">
        <f>Consolidate!N6</f>
        <v>0</v>
      </c>
      <c r="N8">
        <f>Consolidate!O6</f>
        <v>0</v>
      </c>
      <c r="O8">
        <f>Consolidate!P6</f>
        <v>0</v>
      </c>
      <c r="Q8" t="s">
        <v>127</v>
      </c>
    </row>
    <row r="9" spans="1:20">
      <c r="A9" t="str">
        <f>CONCATENATE(Consolidate!$B7," - ",Consolidate!$A7)</f>
        <v>Wheel/hand line systems: Replace worn nozzle with new nozzle  - Idaho</v>
      </c>
      <c r="B9" t="str">
        <f>Consolidate!C7</f>
        <v xml:space="preserve">Wheel/hand line systems: Replace worn nozzle with new nozzle </v>
      </c>
      <c r="C9">
        <f>Consolidate!D7</f>
        <v>63.857991001034001</v>
      </c>
      <c r="D9">
        <f>Consolidate!E7</f>
        <v>4</v>
      </c>
      <c r="E9">
        <f>Consolidate!F7</f>
        <v>3.3866666666666667</v>
      </c>
      <c r="F9">
        <f>Consolidate!G7</f>
        <v>0</v>
      </c>
      <c r="G9" t="s">
        <v>1288</v>
      </c>
      <c r="H9">
        <f>Consolidate!I7</f>
        <v>0</v>
      </c>
      <c r="I9">
        <f>Consolidate!J7</f>
        <v>0</v>
      </c>
      <c r="J9">
        <f>Consolidate!K7</f>
        <v>0</v>
      </c>
      <c r="K9">
        <f>Consolidate!L7</f>
        <v>0</v>
      </c>
      <c r="L9">
        <f>Consolidate!M7</f>
        <v>0</v>
      </c>
      <c r="M9">
        <f>Consolidate!N7</f>
        <v>0</v>
      </c>
      <c r="N9">
        <f>Consolidate!O7</f>
        <v>0</v>
      </c>
      <c r="O9">
        <f>Consolidate!P7</f>
        <v>0</v>
      </c>
      <c r="Q9" t="s">
        <v>127</v>
      </c>
    </row>
    <row r="10" spans="1:20">
      <c r="A10" t="str">
        <f>CONCATENATE(Consolidate!$B8," - ",Consolidate!$A8)</f>
        <v>Wheel/hand line systems: Rebuild or replace leaking impact sprinkler with new or rebuilt impact sprinkler  - Idaho</v>
      </c>
      <c r="B10" t="str">
        <f>Consolidate!C8</f>
        <v xml:space="preserve">Wheel/hand line systems: Rebuild or replace leaking impact sprinkler with new or rebuilt impact sprinkler </v>
      </c>
      <c r="C10">
        <f>Consolidate!D8</f>
        <v>45.363213635305854</v>
      </c>
      <c r="D10">
        <f>Consolidate!E8</f>
        <v>5</v>
      </c>
      <c r="E10">
        <f>Consolidate!F8</f>
        <v>19.733333333333334</v>
      </c>
      <c r="F10">
        <f>Consolidate!G8</f>
        <v>0</v>
      </c>
      <c r="G10" t="s">
        <v>1288</v>
      </c>
      <c r="H10">
        <f>Consolidate!I8</f>
        <v>0</v>
      </c>
      <c r="I10">
        <f>Consolidate!J8</f>
        <v>0</v>
      </c>
      <c r="J10">
        <f>Consolidate!K8</f>
        <v>0</v>
      </c>
      <c r="K10">
        <f>Consolidate!L8</f>
        <v>0</v>
      </c>
      <c r="L10">
        <f>Consolidate!M8</f>
        <v>0</v>
      </c>
      <c r="M10">
        <f>Consolidate!N8</f>
        <v>0</v>
      </c>
      <c r="N10">
        <f>Consolidate!O8</f>
        <v>0</v>
      </c>
      <c r="O10">
        <f>Consolidate!P8</f>
        <v>0</v>
      </c>
      <c r="Q10" t="s">
        <v>127</v>
      </c>
    </row>
    <row r="11" spans="1:20">
      <c r="A11" t="str">
        <f>CONCATENATE(Consolidate!$B9," - ",Consolidate!$A9)</f>
        <v>Wheel/hand line systems: Replace leaking gasket with new gasket  - Idaho</v>
      </c>
      <c r="B11" t="str">
        <f>Consolidate!C9</f>
        <v xml:space="preserve">Wheel/hand line systems: Replace leaking gasket with new gasket </v>
      </c>
      <c r="C11">
        <f>Consolidate!D9</f>
        <v>271.43251637852666</v>
      </c>
      <c r="D11">
        <f>Consolidate!E9</f>
        <v>5</v>
      </c>
      <c r="E11">
        <f>Consolidate!F9</f>
        <v>6.2666666666666666</v>
      </c>
      <c r="F11">
        <f>Consolidate!G9</f>
        <v>0</v>
      </c>
      <c r="G11" t="s">
        <v>1288</v>
      </c>
      <c r="H11">
        <f>Consolidate!I9</f>
        <v>0</v>
      </c>
      <c r="I11">
        <f>Consolidate!J9</f>
        <v>0</v>
      </c>
      <c r="J11">
        <f>Consolidate!K9</f>
        <v>0</v>
      </c>
      <c r="K11">
        <f>Consolidate!L9</f>
        <v>0</v>
      </c>
      <c r="L11">
        <f>Consolidate!M9</f>
        <v>0</v>
      </c>
      <c r="M11">
        <f>Consolidate!N9</f>
        <v>0</v>
      </c>
      <c r="N11">
        <f>Consolidate!O9</f>
        <v>0</v>
      </c>
      <c r="O11">
        <f>Consolidate!P9</f>
        <v>0</v>
      </c>
      <c r="Q11" t="s">
        <v>127</v>
      </c>
    </row>
    <row r="12" spans="1:20">
      <c r="A12" t="str">
        <f>CONCATENATE(Consolidate!$B10," - ",Consolidate!$A10)</f>
        <v>Wheel/hand line systems: Replace leaking drain with new drain  - Idaho</v>
      </c>
      <c r="B12" t="str">
        <f>Consolidate!C10</f>
        <v xml:space="preserve">Wheel/hand line systems: Replace leaking drain with new drain </v>
      </c>
      <c r="C12">
        <f>Consolidate!D10</f>
        <v>281.32055891100703</v>
      </c>
      <c r="D12">
        <f>Consolidate!E10</f>
        <v>5</v>
      </c>
      <c r="E12">
        <f>Consolidate!F10</f>
        <v>21.866666666666667</v>
      </c>
      <c r="F12">
        <f>Consolidate!G10</f>
        <v>0</v>
      </c>
      <c r="G12" t="s">
        <v>1288</v>
      </c>
      <c r="H12">
        <f>Consolidate!I10</f>
        <v>0</v>
      </c>
      <c r="I12">
        <f>Consolidate!J10</f>
        <v>0</v>
      </c>
      <c r="J12">
        <f>Consolidate!K10</f>
        <v>0</v>
      </c>
      <c r="K12">
        <f>Consolidate!L10</f>
        <v>0</v>
      </c>
      <c r="L12">
        <f>Consolidate!M10</f>
        <v>0</v>
      </c>
      <c r="M12">
        <f>Consolidate!N10</f>
        <v>0</v>
      </c>
      <c r="N12">
        <f>Consolidate!O10</f>
        <v>0</v>
      </c>
      <c r="O12">
        <f>Consolidate!P10</f>
        <v>0</v>
      </c>
      <c r="Q12" t="s">
        <v>127</v>
      </c>
    </row>
    <row r="13" spans="1:20">
      <c r="A13" t="str">
        <f>CONCATENATE(Consolidate!$B11," - ",Consolidate!$A11)</f>
        <v>Wheel/hand line systems: Cut and pipe press repair of leaking hand-lines, wheel-lines, and portable main-lines  - Idaho</v>
      </c>
      <c r="B13" t="str">
        <f>Consolidate!C11</f>
        <v xml:space="preserve">Wheel/hand line systems: Cut and pipe press repair of leaking hand-lines, wheel-lines, and portable main-lines </v>
      </c>
      <c r="C13">
        <f>Consolidate!D11</f>
        <v>135.05767532907163</v>
      </c>
      <c r="D13">
        <f>Consolidate!E11</f>
        <v>8</v>
      </c>
      <c r="E13">
        <f>Consolidate!F11</f>
        <v>28.8</v>
      </c>
      <c r="F13">
        <f>Consolidate!G11</f>
        <v>0</v>
      </c>
      <c r="G13" t="s">
        <v>1288</v>
      </c>
      <c r="H13">
        <f>Consolidate!I11</f>
        <v>0</v>
      </c>
      <c r="I13">
        <f>Consolidate!J11</f>
        <v>0</v>
      </c>
      <c r="J13">
        <f>Consolidate!K11</f>
        <v>0</v>
      </c>
      <c r="K13">
        <f>Consolidate!L11</f>
        <v>0</v>
      </c>
      <c r="L13">
        <f>Consolidate!M11</f>
        <v>0</v>
      </c>
      <c r="M13">
        <f>Consolidate!N11</f>
        <v>0</v>
      </c>
      <c r="N13">
        <f>Consolidate!O11</f>
        <v>0</v>
      </c>
      <c r="O13">
        <f>Consolidate!P11</f>
        <v>0</v>
      </c>
      <c r="Q13" t="s">
        <v>127</v>
      </c>
    </row>
    <row r="14" spans="1:20">
      <c r="A14" t="str">
        <f>CONCATENATE(Consolidate!$B12," - ",Consolidate!$A12)</f>
        <v>Thunderbird wheel line systems: Replace leaking hub with new hub  - Idaho</v>
      </c>
      <c r="B14" t="str">
        <f>Consolidate!C12</f>
        <v xml:space="preserve">Thunderbird wheel line systems: Replace leaking hub with new hub </v>
      </c>
      <c r="C14">
        <f>Consolidate!D12</f>
        <v>233.7487263782885</v>
      </c>
      <c r="D14">
        <f>Consolidate!E12</f>
        <v>10</v>
      </c>
      <c r="E14">
        <f>Consolidate!F12</f>
        <v>160</v>
      </c>
      <c r="F14">
        <f>Consolidate!G12</f>
        <v>0</v>
      </c>
      <c r="G14" t="s">
        <v>1288</v>
      </c>
      <c r="H14">
        <f>Consolidate!I12</f>
        <v>0</v>
      </c>
      <c r="I14">
        <f>Consolidate!J12</f>
        <v>0</v>
      </c>
      <c r="J14">
        <f>Consolidate!K12</f>
        <v>0</v>
      </c>
      <c r="K14">
        <f>Consolidate!L12</f>
        <v>0</v>
      </c>
      <c r="L14">
        <f>Consolidate!M12</f>
        <v>0</v>
      </c>
      <c r="M14">
        <f>Consolidate!N12</f>
        <v>0</v>
      </c>
      <c r="N14">
        <f>Consolidate!O12</f>
        <v>0</v>
      </c>
      <c r="O14">
        <f>Consolidate!P12</f>
        <v>0</v>
      </c>
      <c r="Q14" t="s">
        <v>127</v>
      </c>
    </row>
    <row r="15" spans="1:20">
      <c r="A15" t="str">
        <f>CONCATENATE(Consolidate!$B13," - ",Consolidate!$A13)</f>
        <v>Wheel line systems: Rebuild or replace leaking or malfunctioning leveler with new or rebuilt leveler.  - Idaho</v>
      </c>
      <c r="B15" t="str">
        <f>Consolidate!C13</f>
        <v xml:space="preserve">Wheel line systems: Rebuild or replace leaking or malfunctioning leveler with new or rebuilt leveler. </v>
      </c>
      <c r="C15">
        <f>Consolidate!D13</f>
        <v>67.30829706270498</v>
      </c>
      <c r="D15">
        <f>Consolidate!E13</f>
        <v>5</v>
      </c>
      <c r="E15">
        <f>Consolidate!F13</f>
        <v>5.2</v>
      </c>
      <c r="F15">
        <f>Consolidate!G13</f>
        <v>0</v>
      </c>
      <c r="G15" t="s">
        <v>1288</v>
      </c>
      <c r="H15">
        <f>Consolidate!I13</f>
        <v>0</v>
      </c>
      <c r="I15">
        <f>Consolidate!J13</f>
        <v>0</v>
      </c>
      <c r="J15">
        <f>Consolidate!K13</f>
        <v>0</v>
      </c>
      <c r="K15">
        <f>Consolidate!L13</f>
        <v>0</v>
      </c>
      <c r="L15">
        <f>Consolidate!M13</f>
        <v>0</v>
      </c>
      <c r="M15">
        <f>Consolidate!N13</f>
        <v>0</v>
      </c>
      <c r="N15">
        <f>Consolidate!O13</f>
        <v>0</v>
      </c>
      <c r="O15">
        <f>Consolidate!P13</f>
        <v>0</v>
      </c>
      <c r="Q15" t="s">
        <v>127</v>
      </c>
    </row>
    <row r="16" spans="1:20">
      <c r="A16" t="str">
        <f>CONCATENATE(Consolidate!$B14," - ",Consolidate!$A14)</f>
        <v>Center pivot/linear move systems: Install new sprinkler package on an existing system.  - Idaho</v>
      </c>
      <c r="B16" t="str">
        <f>Consolidate!C14</f>
        <v xml:space="preserve">Center pivot/linear move systems: Install new sprinkler package on an existing system. </v>
      </c>
      <c r="C16">
        <f>Consolidate!D14</f>
        <v>94.440570504341878</v>
      </c>
      <c r="D16">
        <f>Consolidate!E14</f>
        <v>5</v>
      </c>
      <c r="E16">
        <f>Consolidate!F14</f>
        <v>24.253499999999999</v>
      </c>
      <c r="F16">
        <f>Consolidate!G14</f>
        <v>0</v>
      </c>
      <c r="G16" t="s">
        <v>1288</v>
      </c>
      <c r="H16">
        <f>Consolidate!I14</f>
        <v>0</v>
      </c>
      <c r="I16">
        <f>Consolidate!J14</f>
        <v>0</v>
      </c>
      <c r="J16">
        <f>Consolidate!K14</f>
        <v>0</v>
      </c>
      <c r="K16">
        <f>Consolidate!L14</f>
        <v>0</v>
      </c>
      <c r="L16">
        <f>Consolidate!M14</f>
        <v>0</v>
      </c>
      <c r="M16">
        <f>Consolidate!N14</f>
        <v>0</v>
      </c>
      <c r="N16">
        <f>Consolidate!O14</f>
        <v>0</v>
      </c>
      <c r="O16">
        <f>Consolidate!P14</f>
        <v>0</v>
      </c>
      <c r="Q16" t="s">
        <v>127</v>
      </c>
    </row>
    <row r="17" spans="1:38">
      <c r="A17" t="str">
        <f>CONCATENATE(Consolidate!$B15," - ",Consolidate!$A15)</f>
        <v>Center pivot/linear move systems: New gooseneck elbows  - Idaho</v>
      </c>
      <c r="B17" t="str">
        <f>Consolidate!C15</f>
        <v xml:space="preserve">Center pivot/linear move systems: New gooseneck elbows </v>
      </c>
      <c r="C17">
        <f>Consolidate!D15</f>
        <v>7.2091333020215753</v>
      </c>
      <c r="D17">
        <f>Consolidate!E15</f>
        <v>15</v>
      </c>
      <c r="E17">
        <f>Consolidate!F15</f>
        <v>3.9583333333333335</v>
      </c>
      <c r="F17">
        <f>Consolidate!G15</f>
        <v>0</v>
      </c>
      <c r="G17" t="s">
        <v>1288</v>
      </c>
      <c r="H17">
        <f>Consolidate!I15</f>
        <v>0</v>
      </c>
      <c r="I17">
        <f>Consolidate!J15</f>
        <v>0</v>
      </c>
      <c r="J17">
        <f>Consolidate!K15</f>
        <v>0</v>
      </c>
      <c r="K17">
        <f>Consolidate!L15</f>
        <v>0</v>
      </c>
      <c r="L17">
        <f>Consolidate!M15</f>
        <v>0</v>
      </c>
      <c r="M17">
        <f>Consolidate!N15</f>
        <v>0</v>
      </c>
      <c r="N17">
        <f>Consolidate!O15</f>
        <v>0</v>
      </c>
      <c r="O17">
        <f>Consolidate!P15</f>
        <v>0</v>
      </c>
      <c r="Q17" t="s">
        <v>127</v>
      </c>
    </row>
    <row r="18" spans="1:38">
      <c r="A18" t="str">
        <f>CONCATENATE(Consolidate!$B16," - ",Consolidate!$A16)</f>
        <v>Center pivot/linear move systems: New drop tubes (3 feet minimum)  - Idaho</v>
      </c>
      <c r="B18" t="str">
        <f>Consolidate!C16</f>
        <v xml:space="preserve">Center pivot/linear move systems: New drop tubes (3 feet minimum) </v>
      </c>
      <c r="C18">
        <f>Consolidate!D16</f>
        <v>7.2091333020215753</v>
      </c>
      <c r="D18">
        <f>Consolidate!E16</f>
        <v>10</v>
      </c>
      <c r="E18">
        <f>Consolidate!F16</f>
        <v>6.1749999999999998</v>
      </c>
      <c r="F18">
        <f>Consolidate!G16</f>
        <v>0</v>
      </c>
      <c r="G18" t="s">
        <v>1288</v>
      </c>
      <c r="H18">
        <f>Consolidate!I16</f>
        <v>0</v>
      </c>
      <c r="I18">
        <f>Consolidate!J16</f>
        <v>0</v>
      </c>
      <c r="J18">
        <f>Consolidate!K16</f>
        <v>0</v>
      </c>
      <c r="K18">
        <f>Consolidate!L16</f>
        <v>0</v>
      </c>
      <c r="L18">
        <f>Consolidate!M16</f>
        <v>0</v>
      </c>
      <c r="M18">
        <f>Consolidate!N16</f>
        <v>0</v>
      </c>
      <c r="N18">
        <f>Consolidate!O16</f>
        <v>0</v>
      </c>
      <c r="O18">
        <f>Consolidate!P16</f>
        <v>0</v>
      </c>
      <c r="Q18" t="s">
        <v>127</v>
      </c>
    </row>
    <row r="19" spans="1:38">
      <c r="A19" t="str">
        <f>CONCATENATE(Consolidate!$B17," - ",Consolidate!$A17)</f>
        <v>Center pivot/linear move systems: Replace leaking pivot boot gasket with new pivot boot gasket  - Idaho</v>
      </c>
      <c r="B19" t="str">
        <f>Consolidate!C17</f>
        <v xml:space="preserve">Center pivot/linear move systems: Replace leaking pivot boot gasket with new pivot boot gasket </v>
      </c>
      <c r="C19">
        <f>Consolidate!D17</f>
        <v>11.997154166772754</v>
      </c>
      <c r="D19">
        <f>Consolidate!E17</f>
        <v>8</v>
      </c>
      <c r="E19">
        <f>Consolidate!F17</f>
        <v>2.0750000000000002</v>
      </c>
      <c r="F19">
        <f>Consolidate!G17</f>
        <v>0</v>
      </c>
      <c r="G19" t="s">
        <v>1288</v>
      </c>
      <c r="H19">
        <f>Consolidate!I17</f>
        <v>0</v>
      </c>
      <c r="I19">
        <f>Consolidate!J17</f>
        <v>0</v>
      </c>
      <c r="J19">
        <f>Consolidate!K17</f>
        <v>0</v>
      </c>
      <c r="K19">
        <f>Consolidate!L17</f>
        <v>0</v>
      </c>
      <c r="L19">
        <f>Consolidate!M17</f>
        <v>0</v>
      </c>
      <c r="M19">
        <f>Consolidate!N17</f>
        <v>0</v>
      </c>
      <c r="N19">
        <f>Consolidate!O17</f>
        <v>0</v>
      </c>
      <c r="O19">
        <f>Consolidate!P17</f>
        <v>0</v>
      </c>
      <c r="Q19" t="s">
        <v>127</v>
      </c>
    </row>
    <row r="20" spans="1:38">
      <c r="A20" t="str">
        <f>CONCATENATE(Consolidate!$B18," - ",Consolidate!$A18)</f>
        <v>Center pivot/linear move systems: Replace leaking tower gasket with new tower gasket  - Idaho</v>
      </c>
      <c r="B20" t="str">
        <f>Consolidate!C18</f>
        <v xml:space="preserve">Center pivot/linear move systems: Replace leaking tower gasket with new tower gasket </v>
      </c>
      <c r="C20">
        <f>Consolidate!D18</f>
        <v>2.999288541693188</v>
      </c>
      <c r="D20">
        <f>Consolidate!E18</f>
        <v>8</v>
      </c>
      <c r="E20">
        <f>Consolidate!F18</f>
        <v>4.9800000000000004</v>
      </c>
      <c r="F20">
        <f>Consolidate!G18</f>
        <v>0</v>
      </c>
      <c r="G20" t="s">
        <v>1288</v>
      </c>
      <c r="H20">
        <f>Consolidate!I18</f>
        <v>0</v>
      </c>
      <c r="I20">
        <f>Consolidate!J18</f>
        <v>0</v>
      </c>
      <c r="J20">
        <f>Consolidate!K18</f>
        <v>0</v>
      </c>
      <c r="K20">
        <f>Consolidate!L18</f>
        <v>0</v>
      </c>
      <c r="L20">
        <f>Consolidate!M18</f>
        <v>0</v>
      </c>
      <c r="M20">
        <f>Consolidate!N18</f>
        <v>0</v>
      </c>
      <c r="N20">
        <f>Consolidate!O18</f>
        <v>0</v>
      </c>
      <c r="O20">
        <f>Consolidate!P18</f>
        <v>0</v>
      </c>
      <c r="Q20" t="s">
        <v>127</v>
      </c>
    </row>
    <row r="21" spans="1:38">
      <c r="A21" t="str">
        <f>CONCATENATE(Consolidate!$B19," - ",Consolidate!$A19)</f>
        <v>Wheel/hand line systems: Replace worn nozzle with new flow controlling type nozzle for impact sprinklers  - Washington</v>
      </c>
      <c r="B21" t="str">
        <f>Consolidate!C19</f>
        <v xml:space="preserve">Wheel/hand line systems: Replace worn nozzle with new flow controlling type nozzle for impact sprinklers </v>
      </c>
      <c r="C21">
        <f>Consolidate!D19</f>
        <v>70.900188627558663</v>
      </c>
      <c r="D21">
        <f>Consolidate!E19</f>
        <v>4</v>
      </c>
      <c r="E21">
        <f>Consolidate!F19</f>
        <v>9.0666666666666664</v>
      </c>
      <c r="F21">
        <f>Consolidate!G19</f>
        <v>0</v>
      </c>
      <c r="G21" t="s">
        <v>1288</v>
      </c>
      <c r="H21">
        <f>Consolidate!I19</f>
        <v>0</v>
      </c>
      <c r="I21">
        <f>Consolidate!J19</f>
        <v>0</v>
      </c>
      <c r="J21">
        <f>Consolidate!K19</f>
        <v>0</v>
      </c>
      <c r="K21">
        <f>Consolidate!L19</f>
        <v>0</v>
      </c>
      <c r="L21">
        <f>Consolidate!M19</f>
        <v>0</v>
      </c>
      <c r="M21">
        <f>Consolidate!N19</f>
        <v>0</v>
      </c>
      <c r="N21">
        <f>Consolidate!O19</f>
        <v>0</v>
      </c>
      <c r="O21">
        <f>Consolidate!P19</f>
        <v>0</v>
      </c>
      <c r="Q21" t="s">
        <v>127</v>
      </c>
    </row>
    <row r="22" spans="1:38">
      <c r="A22" t="str">
        <f>CONCATENATE(Consolidate!$B20," - ",Consolidate!$A20)</f>
        <v>Wheel/hand line systems: Replace worn nozzle with new nozzle  - Washington</v>
      </c>
      <c r="B22" t="str">
        <f>Consolidate!C20</f>
        <v xml:space="preserve">Wheel/hand line systems: Replace worn nozzle with new nozzle </v>
      </c>
      <c r="C22">
        <f>Consolidate!D20</f>
        <v>70.900188627558663</v>
      </c>
      <c r="D22">
        <f>Consolidate!E20</f>
        <v>4</v>
      </c>
      <c r="E22">
        <f>Consolidate!F20</f>
        <v>3.3866666666666667</v>
      </c>
      <c r="F22">
        <f>Consolidate!G20</f>
        <v>0</v>
      </c>
      <c r="G22" t="s">
        <v>1288</v>
      </c>
      <c r="H22">
        <f>Consolidate!I20</f>
        <v>0</v>
      </c>
      <c r="I22">
        <f>Consolidate!J20</f>
        <v>0</v>
      </c>
      <c r="J22">
        <f>Consolidate!K20</f>
        <v>0</v>
      </c>
      <c r="K22">
        <f>Consolidate!L20</f>
        <v>0</v>
      </c>
      <c r="L22">
        <f>Consolidate!M20</f>
        <v>0</v>
      </c>
      <c r="M22">
        <f>Consolidate!N20</f>
        <v>0</v>
      </c>
      <c r="N22">
        <f>Consolidate!O20</f>
        <v>0</v>
      </c>
      <c r="O22">
        <f>Consolidate!P20</f>
        <v>0</v>
      </c>
      <c r="Q22" t="s">
        <v>127</v>
      </c>
    </row>
    <row r="23" spans="1:38">
      <c r="A23" t="str">
        <f>CONCATENATE(Consolidate!$B21," - ",Consolidate!$A21)</f>
        <v>Wheel/hand line systems: Rebuild or replace leaking impact sprinkler with new or rebuilt impact sprinkler  - Washington</v>
      </c>
      <c r="B23" t="str">
        <f>Consolidate!C21</f>
        <v xml:space="preserve">Wheel/hand line systems: Rebuild or replace leaking impact sprinkler with new or rebuilt impact sprinkler </v>
      </c>
      <c r="C23">
        <f>Consolidate!D21</f>
        <v>62.327826960526821</v>
      </c>
      <c r="D23">
        <f>Consolidate!E21</f>
        <v>5</v>
      </c>
      <c r="E23">
        <f>Consolidate!F21</f>
        <v>19.733333333333334</v>
      </c>
      <c r="F23">
        <f>Consolidate!G21</f>
        <v>0</v>
      </c>
      <c r="G23" t="s">
        <v>1288</v>
      </c>
      <c r="H23">
        <f>Consolidate!I21</f>
        <v>0</v>
      </c>
      <c r="I23">
        <f>Consolidate!J21</f>
        <v>0</v>
      </c>
      <c r="J23">
        <f>Consolidate!K21</f>
        <v>0</v>
      </c>
      <c r="K23">
        <f>Consolidate!L21</f>
        <v>0</v>
      </c>
      <c r="L23">
        <f>Consolidate!M21</f>
        <v>0</v>
      </c>
      <c r="M23">
        <f>Consolidate!N21</f>
        <v>0</v>
      </c>
      <c r="N23">
        <f>Consolidate!O21</f>
        <v>0</v>
      </c>
      <c r="O23">
        <f>Consolidate!P21</f>
        <v>0</v>
      </c>
      <c r="Q23" t="s">
        <v>127</v>
      </c>
    </row>
    <row r="24" spans="1:38">
      <c r="A24" t="str">
        <f>CONCATENATE(Consolidate!$B22," - ",Consolidate!$A22)</f>
        <v>Wheel/hand line systems: Replace leaking gasket with new gasket  - Washington</v>
      </c>
      <c r="B24" t="str">
        <f>Consolidate!C22</f>
        <v xml:space="preserve">Wheel/hand line systems: Replace leaking gasket with new gasket </v>
      </c>
      <c r="C24">
        <f>Consolidate!D22</f>
        <v>372.94092628248404</v>
      </c>
      <c r="D24">
        <f>Consolidate!E22</f>
        <v>5</v>
      </c>
      <c r="E24">
        <f>Consolidate!F22</f>
        <v>6.2666666666666666</v>
      </c>
      <c r="F24">
        <f>Consolidate!G22</f>
        <v>0</v>
      </c>
      <c r="G24" t="s">
        <v>1288</v>
      </c>
      <c r="H24">
        <f>Consolidate!I22</f>
        <v>0</v>
      </c>
      <c r="I24">
        <f>Consolidate!J22</f>
        <v>0</v>
      </c>
      <c r="J24">
        <f>Consolidate!K22</f>
        <v>0</v>
      </c>
      <c r="K24">
        <f>Consolidate!L22</f>
        <v>0</v>
      </c>
      <c r="L24">
        <f>Consolidate!M22</f>
        <v>0</v>
      </c>
      <c r="M24">
        <f>Consolidate!N22</f>
        <v>0</v>
      </c>
      <c r="N24">
        <f>Consolidate!O22</f>
        <v>0</v>
      </c>
      <c r="O24">
        <f>Consolidate!P22</f>
        <v>0</v>
      </c>
      <c r="Q24" t="s">
        <v>127</v>
      </c>
    </row>
    <row r="25" spans="1:38">
      <c r="A25" t="str">
        <f>CONCATENATE(Consolidate!$B23," - ",Consolidate!$A23)</f>
        <v>Wheel/hand line systems: Replace leaking drain with new drain  - Washington</v>
      </c>
      <c r="B25" t="str">
        <f>Consolidate!C23</f>
        <v xml:space="preserve">Wheel/hand line systems: Replace leaking drain with new drain </v>
      </c>
      <c r="C25">
        <f>Consolidate!D23</f>
        <v>386.52682892371809</v>
      </c>
      <c r="D25">
        <f>Consolidate!E23</f>
        <v>5</v>
      </c>
      <c r="E25">
        <f>Consolidate!F23</f>
        <v>21.866666666666667</v>
      </c>
      <c r="F25">
        <f>Consolidate!G23</f>
        <v>0</v>
      </c>
      <c r="G25" t="s">
        <v>1288</v>
      </c>
      <c r="H25">
        <f>Consolidate!I23</f>
        <v>0</v>
      </c>
      <c r="I25">
        <f>Consolidate!J23</f>
        <v>0</v>
      </c>
      <c r="J25">
        <f>Consolidate!K23</f>
        <v>0</v>
      </c>
      <c r="K25">
        <f>Consolidate!L23</f>
        <v>0</v>
      </c>
      <c r="L25">
        <f>Consolidate!M23</f>
        <v>0</v>
      </c>
      <c r="M25">
        <f>Consolidate!N23</f>
        <v>0</v>
      </c>
      <c r="N25">
        <f>Consolidate!O23</f>
        <v>0</v>
      </c>
      <c r="O25">
        <f>Consolidate!P23</f>
        <v>0</v>
      </c>
      <c r="Q25" t="s">
        <v>127</v>
      </c>
    </row>
    <row r="26" spans="1:38">
      <c r="A26" t="str">
        <f>CONCATENATE(Consolidate!$B24," - ",Consolidate!$A24)</f>
        <v>Wheel/hand line systems: Cut and pipe press repair of leaking hand-lines, wheel-lines, and portable main-lines  - Washington</v>
      </c>
      <c r="B26" t="str">
        <f>Consolidate!C24</f>
        <v xml:space="preserve">Wheel/hand line systems: Cut and pipe press repair of leaking hand-lines, wheel-lines, and portable main-lines </v>
      </c>
      <c r="C26">
        <f>Consolidate!D24</f>
        <v>185.56558812777402</v>
      </c>
      <c r="D26">
        <f>Consolidate!E24</f>
        <v>8</v>
      </c>
      <c r="E26">
        <f>Consolidate!F24</f>
        <v>28.8</v>
      </c>
      <c r="F26">
        <f>Consolidate!G24</f>
        <v>0</v>
      </c>
      <c r="G26" t="s">
        <v>1288</v>
      </c>
      <c r="H26">
        <f>Consolidate!I24</f>
        <v>0</v>
      </c>
      <c r="I26">
        <f>Consolidate!J24</f>
        <v>0</v>
      </c>
      <c r="J26">
        <f>Consolidate!K24</f>
        <v>0</v>
      </c>
      <c r="K26">
        <f>Consolidate!L24</f>
        <v>0</v>
      </c>
      <c r="L26">
        <f>Consolidate!M24</f>
        <v>0</v>
      </c>
      <c r="M26">
        <f>Consolidate!N24</f>
        <v>0</v>
      </c>
      <c r="N26">
        <f>Consolidate!O24</f>
        <v>0</v>
      </c>
      <c r="O26">
        <f>Consolidate!P24</f>
        <v>0</v>
      </c>
      <c r="Q26" t="s">
        <v>127</v>
      </c>
    </row>
    <row r="27" spans="1:38">
      <c r="A27" t="str">
        <f>CONCATENATE(Consolidate!$B25," - ",Consolidate!$A25)</f>
        <v>Thunderbird wheel line systems: Replace leaking hub with new hub  - Washington</v>
      </c>
      <c r="B27" t="str">
        <f>Consolidate!C25</f>
        <v xml:space="preserve">Thunderbird wheel line systems: Replace leaking hub with new hub </v>
      </c>
      <c r="C27">
        <f>Consolidate!D25</f>
        <v>321.16441941429207</v>
      </c>
      <c r="D27">
        <f>Consolidate!E25</f>
        <v>10</v>
      </c>
      <c r="E27">
        <f>Consolidate!F25</f>
        <v>160</v>
      </c>
      <c r="F27">
        <f>Consolidate!G25</f>
        <v>0</v>
      </c>
      <c r="G27" t="s">
        <v>1288</v>
      </c>
      <c r="H27">
        <f>Consolidate!I25</f>
        <v>0</v>
      </c>
      <c r="I27">
        <f>Consolidate!J25</f>
        <v>0</v>
      </c>
      <c r="J27">
        <f>Consolidate!K25</f>
        <v>0</v>
      </c>
      <c r="K27">
        <f>Consolidate!L25</f>
        <v>0</v>
      </c>
      <c r="L27">
        <f>Consolidate!M25</f>
        <v>0</v>
      </c>
      <c r="M27">
        <f>Consolidate!N25</f>
        <v>0</v>
      </c>
      <c r="N27">
        <f>Consolidate!O25</f>
        <v>0</v>
      </c>
      <c r="O27">
        <f>Consolidate!P25</f>
        <v>0</v>
      </c>
      <c r="Q27" t="s">
        <v>127</v>
      </c>
    </row>
    <row r="28" spans="1:38">
      <c r="A28" t="str">
        <f>CONCATENATE(Consolidate!$B26," - ",Consolidate!$A26)</f>
        <v>Wheel line systems: Rebuild or replace leaking or malfunctioning leveler with new or rebuilt leveler.  - Washington</v>
      </c>
      <c r="B28" t="str">
        <f>Consolidate!C26</f>
        <v xml:space="preserve">Wheel line systems: Rebuild or replace leaking or malfunctioning leveler with new or rebuilt leveler. </v>
      </c>
      <c r="C28">
        <f>Consolidate!D26</f>
        <v>92.479777249884535</v>
      </c>
      <c r="D28">
        <f>Consolidate!E26</f>
        <v>5</v>
      </c>
      <c r="E28">
        <f>Consolidate!F26</f>
        <v>5.2</v>
      </c>
      <c r="F28">
        <f>Consolidate!G26</f>
        <v>0</v>
      </c>
      <c r="G28" t="s">
        <v>1288</v>
      </c>
      <c r="H28">
        <f>Consolidate!I26</f>
        <v>0</v>
      </c>
      <c r="I28">
        <f>Consolidate!J26</f>
        <v>0</v>
      </c>
      <c r="J28">
        <f>Consolidate!K26</f>
        <v>0</v>
      </c>
      <c r="K28">
        <f>Consolidate!L26</f>
        <v>0</v>
      </c>
      <c r="L28">
        <f>Consolidate!M26</f>
        <v>0</v>
      </c>
      <c r="M28">
        <f>Consolidate!N26</f>
        <v>0</v>
      </c>
      <c r="N28">
        <f>Consolidate!O26</f>
        <v>0</v>
      </c>
      <c r="O28">
        <f>Consolidate!P26</f>
        <v>0</v>
      </c>
      <c r="Q28" t="s">
        <v>127</v>
      </c>
    </row>
    <row r="29" spans="1:38">
      <c r="A29" t="str">
        <f>CONCATENATE(Consolidate!$B27," - ",Consolidate!$A27)</f>
        <v>Center pivot/linear move systems: Install new sprinkler package on an existing system.  - Washington</v>
      </c>
      <c r="B29" t="str">
        <f>Consolidate!C27</f>
        <v xml:space="preserve">Center pivot/linear move systems: Install new sprinkler package on an existing system. </v>
      </c>
      <c r="C29">
        <f>Consolidate!D27</f>
        <v>122.56941681015363</v>
      </c>
      <c r="D29">
        <f>Consolidate!E27</f>
        <v>5</v>
      </c>
      <c r="E29">
        <f>Consolidate!F27</f>
        <v>24.253499999999999</v>
      </c>
      <c r="F29">
        <f>Consolidate!G27</f>
        <v>0</v>
      </c>
      <c r="G29" t="s">
        <v>1288</v>
      </c>
      <c r="H29">
        <f>Consolidate!I27</f>
        <v>0</v>
      </c>
      <c r="I29">
        <f>Consolidate!J27</f>
        <v>0</v>
      </c>
      <c r="J29">
        <f>Consolidate!K27</f>
        <v>0</v>
      </c>
      <c r="K29">
        <f>Consolidate!L27</f>
        <v>0</v>
      </c>
      <c r="L29">
        <f>Consolidate!M27</f>
        <v>0</v>
      </c>
      <c r="M29">
        <f>Consolidate!N27</f>
        <v>0</v>
      </c>
      <c r="N29">
        <f>Consolidate!O27</f>
        <v>0</v>
      </c>
      <c r="O29">
        <f>Consolidate!P27</f>
        <v>0</v>
      </c>
      <c r="Q29" t="s">
        <v>127</v>
      </c>
    </row>
    <row r="30" spans="1:38">
      <c r="A30" t="str">
        <f>CONCATENATE(Consolidate!$B28," - ",Consolidate!$A28)</f>
        <v>Center pivot/linear move systems: New gooseneck elbows  - Washington</v>
      </c>
      <c r="B30" t="str">
        <f>Consolidate!C28</f>
        <v xml:space="preserve">Center pivot/linear move systems: New gooseneck elbows </v>
      </c>
      <c r="C30">
        <f>Consolidate!D28</f>
        <v>9.3563524639531614</v>
      </c>
      <c r="D30">
        <f>Consolidate!E28</f>
        <v>15</v>
      </c>
      <c r="E30">
        <f>Consolidate!F28</f>
        <v>3.9583333333333335</v>
      </c>
      <c r="F30">
        <f>Consolidate!G28</f>
        <v>0</v>
      </c>
      <c r="G30" t="s">
        <v>1288</v>
      </c>
      <c r="H30">
        <f>Consolidate!I28</f>
        <v>0</v>
      </c>
      <c r="I30">
        <f>Consolidate!J28</f>
        <v>0</v>
      </c>
      <c r="J30">
        <f>Consolidate!K28</f>
        <v>0</v>
      </c>
      <c r="K30">
        <f>Consolidate!L28</f>
        <v>0</v>
      </c>
      <c r="L30">
        <f>Consolidate!M28</f>
        <v>0</v>
      </c>
      <c r="M30">
        <f>Consolidate!N28</f>
        <v>0</v>
      </c>
      <c r="N30">
        <f>Consolidate!O28</f>
        <v>0</v>
      </c>
      <c r="O30">
        <f>Consolidate!P28</f>
        <v>0</v>
      </c>
      <c r="Q30" t="s">
        <v>127</v>
      </c>
    </row>
    <row r="31" spans="1:38">
      <c r="A31" t="str">
        <f>CONCATENATE(Consolidate!$B29," - ",Consolidate!$A29)</f>
        <v>Center pivot/linear move systems: New drop tubes (3 feet minimum)  - Washington</v>
      </c>
      <c r="B31" t="str">
        <f>Consolidate!C29</f>
        <v xml:space="preserve">Center pivot/linear move systems: New drop tubes (3 feet minimum) </v>
      </c>
      <c r="C31">
        <f>Consolidate!D29</f>
        <v>9.3563524639531614</v>
      </c>
      <c r="D31">
        <f>Consolidate!E29</f>
        <v>10</v>
      </c>
      <c r="E31">
        <f>Consolidate!F29</f>
        <v>6.1749999999999998</v>
      </c>
      <c r="F31">
        <f>Consolidate!G29</f>
        <v>0</v>
      </c>
      <c r="G31" t="s">
        <v>1288</v>
      </c>
      <c r="H31">
        <f>Consolidate!I29</f>
        <v>0</v>
      </c>
      <c r="I31">
        <f>Consolidate!J29</f>
        <v>0</v>
      </c>
      <c r="J31">
        <f>Consolidate!K29</f>
        <v>0</v>
      </c>
      <c r="K31">
        <f>Consolidate!L29</f>
        <v>0</v>
      </c>
      <c r="L31">
        <f>Consolidate!M29</f>
        <v>0</v>
      </c>
      <c r="M31">
        <f>Consolidate!N29</f>
        <v>0</v>
      </c>
      <c r="N31">
        <f>Consolidate!O29</f>
        <v>0</v>
      </c>
      <c r="O31">
        <f>Consolidate!P29</f>
        <v>0</v>
      </c>
      <c r="Q31" t="s">
        <v>127</v>
      </c>
      <c r="W31" s="32"/>
      <c r="X31" s="32"/>
      <c r="Y31" s="32"/>
      <c r="Z31" s="32"/>
      <c r="AA31" s="32"/>
      <c r="AB31" s="32"/>
      <c r="AC31" s="32"/>
      <c r="AD31" s="32"/>
      <c r="AE31" s="32"/>
      <c r="AF31" s="32"/>
      <c r="AG31" s="32"/>
      <c r="AH31" s="32"/>
      <c r="AI31" s="32"/>
      <c r="AJ31" s="32"/>
      <c r="AK31" s="32"/>
      <c r="AL31" s="32"/>
    </row>
    <row r="32" spans="1:38">
      <c r="A32" t="str">
        <f>CONCATENATE(Consolidate!$B30," - ",Consolidate!$A30)</f>
        <v>Center pivot/linear move systems: Replace leaking pivot boot gasket with new pivot boot gasket  - Washington</v>
      </c>
      <c r="B32" t="str">
        <f>Consolidate!C30</f>
        <v xml:space="preserve">Center pivot/linear move systems: Replace leaking pivot boot gasket with new pivot boot gasket </v>
      </c>
      <c r="C32">
        <f>Consolidate!D30</f>
        <v>15.570471268333081</v>
      </c>
      <c r="D32">
        <f>Consolidate!E30</f>
        <v>8</v>
      </c>
      <c r="E32">
        <f>Consolidate!F30</f>
        <v>2.0750000000000002</v>
      </c>
      <c r="F32">
        <f>Consolidate!G30</f>
        <v>0</v>
      </c>
      <c r="G32" t="s">
        <v>1288</v>
      </c>
      <c r="H32">
        <f>Consolidate!I30</f>
        <v>0</v>
      </c>
      <c r="I32">
        <f>Consolidate!J30</f>
        <v>0</v>
      </c>
      <c r="J32">
        <f>Consolidate!K30</f>
        <v>0</v>
      </c>
      <c r="K32">
        <f>Consolidate!L30</f>
        <v>0</v>
      </c>
      <c r="L32">
        <f>Consolidate!M30</f>
        <v>0</v>
      </c>
      <c r="M32">
        <f>Consolidate!N30</f>
        <v>0</v>
      </c>
      <c r="N32">
        <f>Consolidate!O30</f>
        <v>0</v>
      </c>
      <c r="O32">
        <f>Consolidate!P30</f>
        <v>0</v>
      </c>
      <c r="Q32" t="s">
        <v>127</v>
      </c>
      <c r="W32" s="32"/>
      <c r="X32" s="32"/>
      <c r="Y32" s="32"/>
      <c r="Z32" s="32"/>
      <c r="AA32" s="32"/>
      <c r="AB32" s="32"/>
      <c r="AC32" s="32"/>
      <c r="AD32" s="32"/>
      <c r="AE32" s="32"/>
      <c r="AF32" s="32"/>
      <c r="AG32" s="32"/>
      <c r="AH32" s="32"/>
      <c r="AI32" s="32"/>
      <c r="AJ32" s="32"/>
      <c r="AK32" s="32"/>
      <c r="AL32" s="32"/>
    </row>
    <row r="33" spans="1:38">
      <c r="A33" t="str">
        <f>CONCATENATE(Consolidate!$B31," - ",Consolidate!$A31)</f>
        <v>Center pivot/linear move systems: Replace leaking tower gasket with new tower gasket  - Washington</v>
      </c>
      <c r="B33" t="str">
        <f>Consolidate!C31</f>
        <v xml:space="preserve">Center pivot/linear move systems: Replace leaking tower gasket with new tower gasket </v>
      </c>
      <c r="C33">
        <f>Consolidate!D31</f>
        <v>3.8926178170832704</v>
      </c>
      <c r="D33">
        <f>Consolidate!E31</f>
        <v>8</v>
      </c>
      <c r="E33">
        <f>Consolidate!F31</f>
        <v>4.9800000000000004</v>
      </c>
      <c r="F33">
        <f>Consolidate!G31</f>
        <v>0</v>
      </c>
      <c r="G33" t="s">
        <v>1288</v>
      </c>
      <c r="H33">
        <f>Consolidate!I31</f>
        <v>0</v>
      </c>
      <c r="I33">
        <f>Consolidate!J31</f>
        <v>0</v>
      </c>
      <c r="J33">
        <f>Consolidate!K31</f>
        <v>0</v>
      </c>
      <c r="K33">
        <f>Consolidate!L31</f>
        <v>0</v>
      </c>
      <c r="L33">
        <f>Consolidate!M31</f>
        <v>0</v>
      </c>
      <c r="M33">
        <f>Consolidate!N31</f>
        <v>0</v>
      </c>
      <c r="N33">
        <f>Consolidate!O31</f>
        <v>0</v>
      </c>
      <c r="O33">
        <f>Consolidate!P31</f>
        <v>0</v>
      </c>
      <c r="Q33" t="s">
        <v>127</v>
      </c>
      <c r="W33" s="32"/>
      <c r="X33" s="32"/>
      <c r="Y33" s="32"/>
      <c r="Z33" s="32"/>
      <c r="AA33" s="32"/>
      <c r="AB33" s="32"/>
      <c r="AC33" s="32"/>
      <c r="AD33" s="32"/>
      <c r="AE33" s="32"/>
      <c r="AF33" s="32"/>
      <c r="AG33" s="32"/>
      <c r="AH33" s="32"/>
      <c r="AI33" s="32"/>
      <c r="AJ33" s="32"/>
      <c r="AK33" s="32"/>
      <c r="AL33" s="32"/>
    </row>
    <row r="34" spans="1:38">
      <c r="A34" t="str">
        <f>CONCATENATE(Consolidate!$B32," - ",Consolidate!$A32)</f>
        <v>Wheel/hand line systems: Replace worn nozzle with new flow controlling type nozzle for impact sprinklers  - Oregon</v>
      </c>
      <c r="B34" t="str">
        <f>Consolidate!C32</f>
        <v xml:space="preserve">Wheel/hand line systems: Replace worn nozzle with new flow controlling type nozzle for impact sprinklers </v>
      </c>
      <c r="C34">
        <f>Consolidate!D32</f>
        <v>70.900188627558663</v>
      </c>
      <c r="D34">
        <f>Consolidate!E32</f>
        <v>4</v>
      </c>
      <c r="E34">
        <f>Consolidate!F32</f>
        <v>9.0666666666666664</v>
      </c>
      <c r="F34">
        <f>Consolidate!G32</f>
        <v>0</v>
      </c>
      <c r="G34" t="s">
        <v>1288</v>
      </c>
      <c r="H34">
        <f>Consolidate!I32</f>
        <v>0</v>
      </c>
      <c r="I34">
        <f>Consolidate!J32</f>
        <v>0</v>
      </c>
      <c r="J34">
        <f>Consolidate!K32</f>
        <v>0</v>
      </c>
      <c r="K34">
        <f>Consolidate!L32</f>
        <v>0</v>
      </c>
      <c r="L34">
        <f>Consolidate!M32</f>
        <v>0</v>
      </c>
      <c r="M34">
        <f>Consolidate!N32</f>
        <v>0</v>
      </c>
      <c r="N34">
        <f>Consolidate!O32</f>
        <v>0</v>
      </c>
      <c r="O34">
        <f>Consolidate!P32</f>
        <v>0</v>
      </c>
      <c r="Q34" t="s">
        <v>127</v>
      </c>
      <c r="W34" s="32"/>
      <c r="X34" s="32"/>
      <c r="Y34" s="32"/>
      <c r="Z34" s="32"/>
      <c r="AA34" s="32"/>
      <c r="AB34" s="32"/>
      <c r="AC34" s="32"/>
      <c r="AD34" s="32"/>
      <c r="AE34" s="32"/>
      <c r="AF34" s="32"/>
      <c r="AG34" s="32"/>
      <c r="AH34" s="32"/>
      <c r="AI34" s="32"/>
      <c r="AJ34" s="32"/>
      <c r="AK34" s="32"/>
      <c r="AL34" s="32"/>
    </row>
    <row r="35" spans="1:38">
      <c r="A35" t="str">
        <f>CONCATENATE(Consolidate!$B33," - ",Consolidate!$A33)</f>
        <v>Wheel/hand line systems: Replace worn nozzle with new nozzle  - Oregon</v>
      </c>
      <c r="B35" t="str">
        <f>Consolidate!C33</f>
        <v xml:space="preserve">Wheel/hand line systems: Replace worn nozzle with new nozzle </v>
      </c>
      <c r="C35">
        <f>Consolidate!D33</f>
        <v>70.900188627558663</v>
      </c>
      <c r="D35">
        <f>Consolidate!E33</f>
        <v>4</v>
      </c>
      <c r="E35">
        <f>Consolidate!F33</f>
        <v>3.3866666666666667</v>
      </c>
      <c r="F35">
        <f>Consolidate!G33</f>
        <v>0</v>
      </c>
      <c r="G35" t="s">
        <v>1288</v>
      </c>
      <c r="H35">
        <f>Consolidate!I33</f>
        <v>0</v>
      </c>
      <c r="I35">
        <f>Consolidate!J33</f>
        <v>0</v>
      </c>
      <c r="J35">
        <f>Consolidate!K33</f>
        <v>0</v>
      </c>
      <c r="K35">
        <f>Consolidate!L33</f>
        <v>0</v>
      </c>
      <c r="L35">
        <f>Consolidate!M33</f>
        <v>0</v>
      </c>
      <c r="M35">
        <f>Consolidate!N33</f>
        <v>0</v>
      </c>
      <c r="N35">
        <f>Consolidate!O33</f>
        <v>0</v>
      </c>
      <c r="O35">
        <f>Consolidate!P33</f>
        <v>0</v>
      </c>
      <c r="Q35" t="s">
        <v>127</v>
      </c>
      <c r="W35" s="32"/>
      <c r="X35" s="32"/>
      <c r="Y35" s="32"/>
      <c r="Z35" s="32"/>
      <c r="AA35" s="32"/>
      <c r="AB35" s="32"/>
      <c r="AC35" s="32"/>
      <c r="AD35" s="32"/>
      <c r="AE35" s="32"/>
      <c r="AF35" s="32"/>
      <c r="AG35" s="32"/>
      <c r="AH35" s="32"/>
      <c r="AI35" s="32"/>
      <c r="AJ35" s="32"/>
      <c r="AK35" s="32"/>
      <c r="AL35" s="32"/>
    </row>
    <row r="36" spans="1:38">
      <c r="A36" t="str">
        <f>CONCATENATE(Consolidate!$B34," - ",Consolidate!$A34)</f>
        <v>Wheel/hand line systems: Rebuild or replace leaking impact sprinkler with new or rebuilt impact sprinkler  - Oregon</v>
      </c>
      <c r="B36" t="str">
        <f>Consolidate!C34</f>
        <v xml:space="preserve">Wheel/hand line systems: Rebuild or replace leaking impact sprinkler with new or rebuilt impact sprinkler </v>
      </c>
      <c r="C36">
        <f>Consolidate!D34</f>
        <v>62.327826960526821</v>
      </c>
      <c r="D36">
        <f>Consolidate!E34</f>
        <v>5</v>
      </c>
      <c r="E36">
        <f>Consolidate!F34</f>
        <v>19.733333333333334</v>
      </c>
      <c r="F36">
        <f>Consolidate!G34</f>
        <v>0</v>
      </c>
      <c r="G36" t="s">
        <v>1288</v>
      </c>
      <c r="H36">
        <f>Consolidate!I34</f>
        <v>0</v>
      </c>
      <c r="I36">
        <f>Consolidate!J34</f>
        <v>0</v>
      </c>
      <c r="J36">
        <f>Consolidate!K34</f>
        <v>0</v>
      </c>
      <c r="K36">
        <f>Consolidate!L34</f>
        <v>0</v>
      </c>
      <c r="L36">
        <f>Consolidate!M34</f>
        <v>0</v>
      </c>
      <c r="M36">
        <f>Consolidate!N34</f>
        <v>0</v>
      </c>
      <c r="N36">
        <f>Consolidate!O34</f>
        <v>0</v>
      </c>
      <c r="O36">
        <f>Consolidate!P34</f>
        <v>0</v>
      </c>
      <c r="Q36" t="s">
        <v>127</v>
      </c>
      <c r="R36" s="32"/>
      <c r="S36" s="32"/>
      <c r="T36" s="32"/>
      <c r="U36" s="32"/>
      <c r="V36" s="32"/>
      <c r="W36" s="32"/>
      <c r="X36" s="32"/>
      <c r="Y36" s="32"/>
      <c r="Z36" s="32"/>
      <c r="AA36" s="32"/>
      <c r="AB36" s="32"/>
      <c r="AC36" s="32"/>
      <c r="AD36" s="32"/>
      <c r="AE36" s="32"/>
      <c r="AF36" s="32"/>
      <c r="AG36" s="32"/>
      <c r="AH36" s="32"/>
      <c r="AI36" s="32"/>
      <c r="AJ36" s="32"/>
      <c r="AK36" s="32"/>
      <c r="AL36" s="32"/>
    </row>
    <row r="37" spans="1:38">
      <c r="A37" t="str">
        <f>CONCATENATE(Consolidate!$B35," - ",Consolidate!$A35)</f>
        <v>Wheel/hand line systems: Replace leaking gasket with new gasket  - Oregon</v>
      </c>
      <c r="B37" t="str">
        <f>Consolidate!C35</f>
        <v xml:space="preserve">Wheel/hand line systems: Replace leaking gasket with new gasket </v>
      </c>
      <c r="C37">
        <f>Consolidate!D35</f>
        <v>372.94092628248404</v>
      </c>
      <c r="D37">
        <f>Consolidate!E35</f>
        <v>5</v>
      </c>
      <c r="E37">
        <f>Consolidate!F35</f>
        <v>6.2666666666666666</v>
      </c>
      <c r="F37">
        <f>Consolidate!G35</f>
        <v>0</v>
      </c>
      <c r="G37" t="s">
        <v>1288</v>
      </c>
      <c r="H37">
        <f>Consolidate!I35</f>
        <v>0</v>
      </c>
      <c r="I37">
        <f>Consolidate!J35</f>
        <v>0</v>
      </c>
      <c r="J37">
        <f>Consolidate!K35</f>
        <v>0</v>
      </c>
      <c r="K37">
        <f>Consolidate!L35</f>
        <v>0</v>
      </c>
      <c r="L37">
        <f>Consolidate!M35</f>
        <v>0</v>
      </c>
      <c r="M37">
        <f>Consolidate!N35</f>
        <v>0</v>
      </c>
      <c r="N37">
        <f>Consolidate!O35</f>
        <v>0</v>
      </c>
      <c r="O37">
        <f>Consolidate!P35</f>
        <v>0</v>
      </c>
      <c r="Q37" t="s">
        <v>127</v>
      </c>
      <c r="R37" s="32"/>
      <c r="S37" s="32"/>
      <c r="T37" s="32"/>
      <c r="U37" s="32"/>
      <c r="V37" s="32"/>
      <c r="W37" s="32"/>
      <c r="X37" s="32"/>
      <c r="Y37" s="32"/>
      <c r="Z37" s="32"/>
      <c r="AA37" s="32"/>
      <c r="AB37" s="32"/>
      <c r="AC37" s="32"/>
      <c r="AD37" s="32"/>
      <c r="AE37" s="32"/>
      <c r="AF37" s="32"/>
      <c r="AG37" s="32"/>
      <c r="AH37" s="32"/>
      <c r="AI37" s="32"/>
      <c r="AJ37" s="32"/>
      <c r="AK37" s="32"/>
      <c r="AL37" s="32"/>
    </row>
    <row r="38" spans="1:38">
      <c r="A38" t="str">
        <f>CONCATENATE(Consolidate!$B36," - ",Consolidate!$A36)</f>
        <v>Wheel/hand line systems: Replace leaking drain with new drain  - Oregon</v>
      </c>
      <c r="B38" t="str">
        <f>Consolidate!C36</f>
        <v xml:space="preserve">Wheel/hand line systems: Replace leaking drain with new drain </v>
      </c>
      <c r="C38">
        <f>Consolidate!D36</f>
        <v>386.52682892371809</v>
      </c>
      <c r="D38">
        <f>Consolidate!E36</f>
        <v>5</v>
      </c>
      <c r="E38">
        <f>Consolidate!F36</f>
        <v>21.866666666666667</v>
      </c>
      <c r="F38">
        <f>Consolidate!G36</f>
        <v>0</v>
      </c>
      <c r="G38" t="s">
        <v>1288</v>
      </c>
      <c r="H38">
        <f>Consolidate!I36</f>
        <v>0</v>
      </c>
      <c r="I38">
        <f>Consolidate!J36</f>
        <v>0</v>
      </c>
      <c r="J38">
        <f>Consolidate!K36</f>
        <v>0</v>
      </c>
      <c r="K38">
        <f>Consolidate!L36</f>
        <v>0</v>
      </c>
      <c r="L38">
        <f>Consolidate!M36</f>
        <v>0</v>
      </c>
      <c r="M38">
        <f>Consolidate!N36</f>
        <v>0</v>
      </c>
      <c r="N38">
        <f>Consolidate!O36</f>
        <v>0</v>
      </c>
      <c r="O38">
        <f>Consolidate!P36</f>
        <v>0</v>
      </c>
      <c r="Q38" t="s">
        <v>127</v>
      </c>
      <c r="R38" s="32"/>
      <c r="S38" s="32"/>
      <c r="T38" s="32"/>
      <c r="U38" s="32"/>
      <c r="V38" s="32"/>
      <c r="W38" s="32"/>
      <c r="X38" s="32"/>
      <c r="Y38" s="32"/>
      <c r="Z38" s="32"/>
      <c r="AA38" s="32"/>
      <c r="AB38" s="32"/>
      <c r="AC38" s="32"/>
      <c r="AD38" s="32"/>
      <c r="AE38" s="32"/>
      <c r="AF38" s="32"/>
      <c r="AG38" s="32"/>
      <c r="AH38" s="32"/>
      <c r="AI38" s="32"/>
      <c r="AJ38" s="32"/>
      <c r="AK38" s="32"/>
      <c r="AL38" s="32"/>
    </row>
    <row r="39" spans="1:38">
      <c r="A39" t="str">
        <f>CONCATENATE(Consolidate!$B37," - ",Consolidate!$A37)</f>
        <v>Wheel/hand line systems: Cut and pipe press repair of leaking hand-lines, wheel-lines, and portable main-lines  - Oregon</v>
      </c>
      <c r="B39" t="str">
        <f>Consolidate!C37</f>
        <v xml:space="preserve">Wheel/hand line systems: Cut and pipe press repair of leaking hand-lines, wheel-lines, and portable main-lines </v>
      </c>
      <c r="C39">
        <f>Consolidate!D37</f>
        <v>185.56558812777402</v>
      </c>
      <c r="D39">
        <f>Consolidate!E37</f>
        <v>8</v>
      </c>
      <c r="E39">
        <f>Consolidate!F37</f>
        <v>28.8</v>
      </c>
      <c r="F39">
        <f>Consolidate!G37</f>
        <v>0</v>
      </c>
      <c r="G39" t="s">
        <v>1288</v>
      </c>
      <c r="H39">
        <f>Consolidate!I37</f>
        <v>0</v>
      </c>
      <c r="I39">
        <f>Consolidate!J37</f>
        <v>0</v>
      </c>
      <c r="J39">
        <f>Consolidate!K37</f>
        <v>0</v>
      </c>
      <c r="K39">
        <f>Consolidate!L37</f>
        <v>0</v>
      </c>
      <c r="L39">
        <f>Consolidate!M37</f>
        <v>0</v>
      </c>
      <c r="M39">
        <f>Consolidate!N37</f>
        <v>0</v>
      </c>
      <c r="N39">
        <f>Consolidate!O37</f>
        <v>0</v>
      </c>
      <c r="O39">
        <f>Consolidate!P37</f>
        <v>0</v>
      </c>
      <c r="Q39" t="s">
        <v>127</v>
      </c>
    </row>
    <row r="40" spans="1:38">
      <c r="A40" t="str">
        <f>CONCATENATE(Consolidate!$B38," - ",Consolidate!$A38)</f>
        <v>Thunderbird wheel line systems: Replace leaking hub with new hub  - Oregon</v>
      </c>
      <c r="B40" t="str">
        <f>Consolidate!C38</f>
        <v xml:space="preserve">Thunderbird wheel line systems: Replace leaking hub with new hub </v>
      </c>
      <c r="C40">
        <f>Consolidate!D38</f>
        <v>321.16441941429207</v>
      </c>
      <c r="D40">
        <f>Consolidate!E38</f>
        <v>10</v>
      </c>
      <c r="E40">
        <f>Consolidate!F38</f>
        <v>160</v>
      </c>
      <c r="F40">
        <f>Consolidate!G38</f>
        <v>0</v>
      </c>
      <c r="G40" t="s">
        <v>1288</v>
      </c>
      <c r="H40">
        <f>Consolidate!I38</f>
        <v>0</v>
      </c>
      <c r="I40">
        <f>Consolidate!J38</f>
        <v>0</v>
      </c>
      <c r="J40">
        <f>Consolidate!K38</f>
        <v>0</v>
      </c>
      <c r="K40">
        <f>Consolidate!L38</f>
        <v>0</v>
      </c>
      <c r="L40">
        <f>Consolidate!M38</f>
        <v>0</v>
      </c>
      <c r="M40">
        <f>Consolidate!N38</f>
        <v>0</v>
      </c>
      <c r="N40">
        <f>Consolidate!O38</f>
        <v>0</v>
      </c>
      <c r="O40">
        <f>Consolidate!P38</f>
        <v>0</v>
      </c>
      <c r="Q40" t="s">
        <v>127</v>
      </c>
    </row>
    <row r="41" spans="1:38">
      <c r="A41" t="str">
        <f>CONCATENATE(Consolidate!$B39," - ",Consolidate!$A39)</f>
        <v>Wheel line systems: Rebuild or replace leaking or malfunctioning leveler with new or rebuilt leveler.  - Oregon</v>
      </c>
      <c r="B41" t="str">
        <f>Consolidate!C39</f>
        <v xml:space="preserve">Wheel line systems: Rebuild or replace leaking or malfunctioning leveler with new or rebuilt leveler. </v>
      </c>
      <c r="C41">
        <f>Consolidate!D39</f>
        <v>92.479777249884535</v>
      </c>
      <c r="D41">
        <f>Consolidate!E39</f>
        <v>5</v>
      </c>
      <c r="E41">
        <f>Consolidate!F39</f>
        <v>5.2</v>
      </c>
      <c r="F41">
        <f>Consolidate!G39</f>
        <v>0</v>
      </c>
      <c r="G41" t="s">
        <v>1288</v>
      </c>
      <c r="H41">
        <f>Consolidate!I39</f>
        <v>0</v>
      </c>
      <c r="I41">
        <f>Consolidate!J39</f>
        <v>0</v>
      </c>
      <c r="J41">
        <f>Consolidate!K39</f>
        <v>0</v>
      </c>
      <c r="K41">
        <f>Consolidate!L39</f>
        <v>0</v>
      </c>
      <c r="L41">
        <f>Consolidate!M39</f>
        <v>0</v>
      </c>
      <c r="M41">
        <f>Consolidate!N39</f>
        <v>0</v>
      </c>
      <c r="N41">
        <f>Consolidate!O39</f>
        <v>0</v>
      </c>
      <c r="O41">
        <f>Consolidate!P39</f>
        <v>0</v>
      </c>
      <c r="Q41" t="s">
        <v>127</v>
      </c>
    </row>
    <row r="42" spans="1:38">
      <c r="A42" t="str">
        <f>CONCATENATE(Consolidate!$B40," - ",Consolidate!$A40)</f>
        <v>Center pivot/linear move systems: Install new sprinkler package on an existing system.  - Oregon</v>
      </c>
      <c r="B42" t="str">
        <f>Consolidate!C40</f>
        <v xml:space="preserve">Center pivot/linear move systems: Install new sprinkler package on an existing system. </v>
      </c>
      <c r="C42">
        <f>Consolidate!D40</f>
        <v>122.56941681015363</v>
      </c>
      <c r="D42">
        <f>Consolidate!E40</f>
        <v>5</v>
      </c>
      <c r="E42">
        <f>Consolidate!F40</f>
        <v>24.253499999999999</v>
      </c>
      <c r="F42">
        <f>Consolidate!G40</f>
        <v>0</v>
      </c>
      <c r="G42" t="s">
        <v>1288</v>
      </c>
      <c r="H42">
        <f>Consolidate!I40</f>
        <v>0</v>
      </c>
      <c r="I42">
        <f>Consolidate!J40</f>
        <v>0</v>
      </c>
      <c r="J42">
        <f>Consolidate!K40</f>
        <v>0</v>
      </c>
      <c r="K42">
        <f>Consolidate!L40</f>
        <v>0</v>
      </c>
      <c r="L42">
        <f>Consolidate!M40</f>
        <v>0</v>
      </c>
      <c r="M42">
        <f>Consolidate!N40</f>
        <v>0</v>
      </c>
      <c r="N42">
        <f>Consolidate!O40</f>
        <v>0</v>
      </c>
      <c r="O42">
        <f>Consolidate!P40</f>
        <v>0</v>
      </c>
      <c r="Q42" t="s">
        <v>127</v>
      </c>
    </row>
    <row r="43" spans="1:38">
      <c r="A43" t="str">
        <f>CONCATENATE(Consolidate!$B41," - ",Consolidate!$A41)</f>
        <v>Center pivot/linear move systems: New gooseneck elbows  - Oregon</v>
      </c>
      <c r="B43" t="str">
        <f>Consolidate!C41</f>
        <v xml:space="preserve">Center pivot/linear move systems: New gooseneck elbows </v>
      </c>
      <c r="C43">
        <f>Consolidate!D41</f>
        <v>9.3563524639531614</v>
      </c>
      <c r="D43">
        <f>Consolidate!E41</f>
        <v>15</v>
      </c>
      <c r="E43">
        <f>Consolidate!F41</f>
        <v>3.9583333333333335</v>
      </c>
      <c r="F43">
        <f>Consolidate!G41</f>
        <v>0</v>
      </c>
      <c r="G43" t="s">
        <v>1288</v>
      </c>
      <c r="H43">
        <f>Consolidate!I41</f>
        <v>0</v>
      </c>
      <c r="I43">
        <f>Consolidate!J41</f>
        <v>0</v>
      </c>
      <c r="J43">
        <f>Consolidate!K41</f>
        <v>0</v>
      </c>
      <c r="K43">
        <f>Consolidate!L41</f>
        <v>0</v>
      </c>
      <c r="L43">
        <f>Consolidate!M41</f>
        <v>0</v>
      </c>
      <c r="M43">
        <f>Consolidate!N41</f>
        <v>0</v>
      </c>
      <c r="N43">
        <f>Consolidate!O41</f>
        <v>0</v>
      </c>
      <c r="O43">
        <f>Consolidate!P41</f>
        <v>0</v>
      </c>
      <c r="Q43" t="s">
        <v>127</v>
      </c>
    </row>
    <row r="44" spans="1:38">
      <c r="A44" t="str">
        <f>CONCATENATE(Consolidate!$B42," - ",Consolidate!$A42)</f>
        <v>Center pivot/linear move systems: New drop tubes (3 feet minimum)  - Oregon</v>
      </c>
      <c r="B44" t="str">
        <f>Consolidate!C42</f>
        <v xml:space="preserve">Center pivot/linear move systems: New drop tubes (3 feet minimum) </v>
      </c>
      <c r="C44">
        <f>Consolidate!D42</f>
        <v>9.3563524639531614</v>
      </c>
      <c r="D44">
        <f>Consolidate!E42</f>
        <v>10</v>
      </c>
      <c r="E44">
        <f>Consolidate!F42</f>
        <v>6.1749999999999998</v>
      </c>
      <c r="F44">
        <f>Consolidate!G42</f>
        <v>0</v>
      </c>
      <c r="G44" t="s">
        <v>1288</v>
      </c>
      <c r="H44">
        <f>Consolidate!I42</f>
        <v>0</v>
      </c>
      <c r="I44">
        <f>Consolidate!J42</f>
        <v>0</v>
      </c>
      <c r="J44">
        <f>Consolidate!K42</f>
        <v>0</v>
      </c>
      <c r="K44">
        <f>Consolidate!L42</f>
        <v>0</v>
      </c>
      <c r="L44">
        <f>Consolidate!M42</f>
        <v>0</v>
      </c>
      <c r="M44">
        <f>Consolidate!N42</f>
        <v>0</v>
      </c>
      <c r="N44">
        <f>Consolidate!O42</f>
        <v>0</v>
      </c>
      <c r="O44">
        <f>Consolidate!P42</f>
        <v>0</v>
      </c>
      <c r="Q44" t="s">
        <v>127</v>
      </c>
    </row>
    <row r="45" spans="1:38">
      <c r="A45" t="str">
        <f>CONCATENATE(Consolidate!$B43," - ",Consolidate!$A43)</f>
        <v>Center pivot/linear move systems: Replace leaking pivot boot gasket with new pivot boot gasket  - Oregon</v>
      </c>
      <c r="B45" t="str">
        <f>Consolidate!C43</f>
        <v xml:space="preserve">Center pivot/linear move systems: Replace leaking pivot boot gasket with new pivot boot gasket </v>
      </c>
      <c r="C45">
        <f>Consolidate!D43</f>
        <v>15.570471268333081</v>
      </c>
      <c r="D45">
        <f>Consolidate!E43</f>
        <v>8</v>
      </c>
      <c r="E45">
        <f>Consolidate!F43</f>
        <v>2.0750000000000002</v>
      </c>
      <c r="F45">
        <f>Consolidate!G43</f>
        <v>0</v>
      </c>
      <c r="G45" t="s">
        <v>1288</v>
      </c>
      <c r="H45">
        <f>Consolidate!I43</f>
        <v>0</v>
      </c>
      <c r="I45">
        <f>Consolidate!J43</f>
        <v>0</v>
      </c>
      <c r="J45">
        <f>Consolidate!K43</f>
        <v>0</v>
      </c>
      <c r="K45">
        <f>Consolidate!L43</f>
        <v>0</v>
      </c>
      <c r="L45">
        <f>Consolidate!M43</f>
        <v>0</v>
      </c>
      <c r="M45">
        <f>Consolidate!N43</f>
        <v>0</v>
      </c>
      <c r="N45">
        <f>Consolidate!O43</f>
        <v>0</v>
      </c>
      <c r="O45">
        <f>Consolidate!P43</f>
        <v>0</v>
      </c>
      <c r="Q45" t="s">
        <v>127</v>
      </c>
    </row>
    <row r="46" spans="1:38">
      <c r="A46" t="str">
        <f>CONCATENATE(Consolidate!$B44," - ",Consolidate!$A44)</f>
        <v>Center pivot/linear move systems: Replace leaking tower gasket with new tower gasket  - Oregon</v>
      </c>
      <c r="B46" t="str">
        <f>Consolidate!C44</f>
        <v xml:space="preserve">Center pivot/linear move systems: Replace leaking tower gasket with new tower gasket </v>
      </c>
      <c r="C46">
        <f>Consolidate!D44</f>
        <v>3.8926178170832704</v>
      </c>
      <c r="D46">
        <f>Consolidate!E44</f>
        <v>8</v>
      </c>
      <c r="E46">
        <f>Consolidate!F44</f>
        <v>4.9800000000000004</v>
      </c>
      <c r="F46">
        <f>Consolidate!G44</f>
        <v>0</v>
      </c>
      <c r="G46" t="s">
        <v>1288</v>
      </c>
      <c r="H46">
        <f>Consolidate!I44</f>
        <v>0</v>
      </c>
      <c r="I46">
        <f>Consolidate!J44</f>
        <v>0</v>
      </c>
      <c r="J46">
        <f>Consolidate!K44</f>
        <v>0</v>
      </c>
      <c r="K46">
        <f>Consolidate!L44</f>
        <v>0</v>
      </c>
      <c r="L46">
        <f>Consolidate!M44</f>
        <v>0</v>
      </c>
      <c r="M46">
        <f>Consolidate!N44</f>
        <v>0</v>
      </c>
      <c r="N46">
        <f>Consolidate!O44</f>
        <v>0</v>
      </c>
      <c r="O46">
        <f>Consolidate!P44</f>
        <v>0</v>
      </c>
      <c r="Q46" t="s">
        <v>127</v>
      </c>
    </row>
    <row r="47" spans="1:38">
      <c r="A47" t="str">
        <f>CONCATENATE(Consolidate!$B45," - ",Consolidate!$A45)</f>
        <v>Wheel/hand line systems: Replace worn nozzle with new flow controlling type nozzle for impact sprinklers  - Montana</v>
      </c>
      <c r="B47" t="str">
        <f>Consolidate!C45</f>
        <v xml:space="preserve">Wheel/hand line systems: Replace worn nozzle with new flow controlling type nozzle for impact sprinklers </v>
      </c>
      <c r="C47">
        <f>Consolidate!D45</f>
        <v>9.6412896030408817</v>
      </c>
      <c r="D47">
        <f>Consolidate!E45</f>
        <v>4</v>
      </c>
      <c r="E47">
        <f>Consolidate!F45</f>
        <v>9.0666666666666664</v>
      </c>
      <c r="F47">
        <f>Consolidate!G45</f>
        <v>0</v>
      </c>
      <c r="G47" t="s">
        <v>1288</v>
      </c>
      <c r="H47">
        <f>Consolidate!I45</f>
        <v>0</v>
      </c>
      <c r="I47">
        <f>Consolidate!J45</f>
        <v>0</v>
      </c>
      <c r="J47">
        <f>Consolidate!K45</f>
        <v>0</v>
      </c>
      <c r="K47">
        <f>Consolidate!L45</f>
        <v>0</v>
      </c>
      <c r="L47">
        <f>Consolidate!M45</f>
        <v>0</v>
      </c>
      <c r="M47">
        <f>Consolidate!N45</f>
        <v>0</v>
      </c>
      <c r="N47">
        <f>Consolidate!O45</f>
        <v>0</v>
      </c>
      <c r="O47">
        <f>Consolidate!P45</f>
        <v>0</v>
      </c>
      <c r="Q47" t="s">
        <v>127</v>
      </c>
    </row>
    <row r="48" spans="1:38">
      <c r="A48" t="str">
        <f>CONCATENATE(Consolidate!$B46," - ",Consolidate!$A46)</f>
        <v>Wheel/hand line systems: Replace worn nozzle with new nozzle  - Montana</v>
      </c>
      <c r="B48" t="str">
        <f>Consolidate!C46</f>
        <v xml:space="preserve">Wheel/hand line systems: Replace worn nozzle with new nozzle </v>
      </c>
      <c r="C48">
        <f>Consolidate!D46</f>
        <v>9.6412896030408817</v>
      </c>
      <c r="D48">
        <f>Consolidate!E46</f>
        <v>4</v>
      </c>
      <c r="E48">
        <f>Consolidate!F46</f>
        <v>3.3866666666666667</v>
      </c>
      <c r="F48">
        <f>Consolidate!G46</f>
        <v>0</v>
      </c>
      <c r="G48" t="s">
        <v>1288</v>
      </c>
      <c r="H48">
        <f>Consolidate!I46</f>
        <v>0</v>
      </c>
      <c r="I48">
        <f>Consolidate!J46</f>
        <v>0</v>
      </c>
      <c r="J48">
        <f>Consolidate!K46</f>
        <v>0</v>
      </c>
      <c r="K48">
        <f>Consolidate!L46</f>
        <v>0</v>
      </c>
      <c r="L48">
        <f>Consolidate!M46</f>
        <v>0</v>
      </c>
      <c r="M48">
        <f>Consolidate!N46</f>
        <v>0</v>
      </c>
      <c r="N48">
        <f>Consolidate!O46</f>
        <v>0</v>
      </c>
      <c r="O48">
        <f>Consolidate!P46</f>
        <v>0</v>
      </c>
      <c r="Q48" t="s">
        <v>127</v>
      </c>
    </row>
    <row r="49" spans="1:131">
      <c r="A49" t="str">
        <f>CONCATENATE(Consolidate!$B47," - ",Consolidate!$A47)</f>
        <v>Wheel/hand line systems: Rebuild or replace leaking impact sprinkler with new or rebuilt impact sprinkler  - Montana</v>
      </c>
      <c r="B49" t="str">
        <f>Consolidate!C47</f>
        <v xml:space="preserve">Wheel/hand line systems: Rebuild or replace leaking impact sprinkler with new or rebuilt impact sprinkler </v>
      </c>
      <c r="C49">
        <f>Consolidate!D47</f>
        <v>8.4755857732807609</v>
      </c>
      <c r="D49">
        <f>Consolidate!E47</f>
        <v>5</v>
      </c>
      <c r="E49">
        <f>Consolidate!F47</f>
        <v>19.733333333333334</v>
      </c>
      <c r="F49">
        <f>Consolidate!G47</f>
        <v>0</v>
      </c>
      <c r="G49" t="s">
        <v>1288</v>
      </c>
      <c r="H49">
        <f>Consolidate!I47</f>
        <v>0</v>
      </c>
      <c r="I49">
        <f>Consolidate!J47</f>
        <v>0</v>
      </c>
      <c r="J49">
        <f>Consolidate!K47</f>
        <v>0</v>
      </c>
      <c r="K49">
        <f>Consolidate!L47</f>
        <v>0</v>
      </c>
      <c r="L49">
        <f>Consolidate!M47</f>
        <v>0</v>
      </c>
      <c r="M49">
        <f>Consolidate!N47</f>
        <v>0</v>
      </c>
      <c r="N49">
        <f>Consolidate!O47</f>
        <v>0</v>
      </c>
      <c r="O49">
        <f>Consolidate!P47</f>
        <v>0</v>
      </c>
      <c r="Q49" t="s">
        <v>127</v>
      </c>
    </row>
    <row r="50" spans="1:131">
      <c r="A50" t="str">
        <f>CONCATENATE(Consolidate!$B48," - ",Consolidate!$A48)</f>
        <v>Wheel/hand line systems: Replace leaking gasket with new gasket  - Montana</v>
      </c>
      <c r="B50" t="str">
        <f>Consolidate!C48</f>
        <v xml:space="preserve">Wheel/hand line systems: Replace leaking gasket with new gasket </v>
      </c>
      <c r="C50">
        <f>Consolidate!D48</f>
        <v>50.713990254719022</v>
      </c>
      <c r="D50">
        <f>Consolidate!E48</f>
        <v>5</v>
      </c>
      <c r="E50">
        <f>Consolidate!F48</f>
        <v>6.2666666666666666</v>
      </c>
      <c r="F50">
        <f>Consolidate!G48</f>
        <v>0</v>
      </c>
      <c r="G50" t="s">
        <v>1288</v>
      </c>
      <c r="H50">
        <f>Consolidate!I48</f>
        <v>0</v>
      </c>
      <c r="I50">
        <f>Consolidate!J48</f>
        <v>0</v>
      </c>
      <c r="J50">
        <f>Consolidate!K48</f>
        <v>0</v>
      </c>
      <c r="K50">
        <f>Consolidate!L48</f>
        <v>0</v>
      </c>
      <c r="L50">
        <f>Consolidate!M48</f>
        <v>0</v>
      </c>
      <c r="M50">
        <f>Consolidate!N48</f>
        <v>0</v>
      </c>
      <c r="N50">
        <f>Consolidate!O48</f>
        <v>0</v>
      </c>
      <c r="O50">
        <f>Consolidate!P48</f>
        <v>0</v>
      </c>
      <c r="Q50" t="s">
        <v>127</v>
      </c>
    </row>
    <row r="51" spans="1:131">
      <c r="A51" t="str">
        <f>CONCATENATE(Consolidate!$B49," - ",Consolidate!$A49)</f>
        <v>Wheel/hand line systems: Replace leaking drain with new drain  - Montana</v>
      </c>
      <c r="B51" t="str">
        <f>Consolidate!C49</f>
        <v xml:space="preserve">Wheel/hand line systems: Replace leaking drain with new drain </v>
      </c>
      <c r="C51">
        <f>Consolidate!D49</f>
        <v>52.561455323830856</v>
      </c>
      <c r="D51">
        <f>Consolidate!E49</f>
        <v>5</v>
      </c>
      <c r="E51">
        <f>Consolidate!F49</f>
        <v>21.866666666666667</v>
      </c>
      <c r="F51">
        <f>Consolidate!G49</f>
        <v>0</v>
      </c>
      <c r="G51" t="s">
        <v>1288</v>
      </c>
      <c r="H51">
        <f>Consolidate!I49</f>
        <v>0</v>
      </c>
      <c r="I51">
        <f>Consolidate!J49</f>
        <v>0</v>
      </c>
      <c r="J51">
        <f>Consolidate!K49</f>
        <v>0</v>
      </c>
      <c r="K51">
        <f>Consolidate!L49</f>
        <v>0</v>
      </c>
      <c r="L51">
        <f>Consolidate!M49</f>
        <v>0</v>
      </c>
      <c r="M51">
        <f>Consolidate!N49</f>
        <v>0</v>
      </c>
      <c r="N51">
        <f>Consolidate!O49</f>
        <v>0</v>
      </c>
      <c r="O51">
        <f>Consolidate!P49</f>
        <v>0</v>
      </c>
      <c r="Q51" t="s">
        <v>127</v>
      </c>
    </row>
    <row r="52" spans="1:131">
      <c r="A52" t="str">
        <f>CONCATENATE(Consolidate!$B50," - ",Consolidate!$A50)</f>
        <v>Wheel/hand line systems: Cut and pipe press repair of leaking hand-lines, wheel-lines, and portable main-lines  - Montana</v>
      </c>
      <c r="B52" t="str">
        <f>Consolidate!C50</f>
        <v xml:space="preserve">Wheel/hand line systems: Cut and pipe press repair of leaking hand-lines, wheel-lines, and portable main-lines </v>
      </c>
      <c r="C52">
        <f>Consolidate!D50</f>
        <v>25.233946624551866</v>
      </c>
      <c r="D52">
        <f>Consolidate!E50</f>
        <v>8</v>
      </c>
      <c r="E52">
        <f>Consolidate!F50</f>
        <v>28.8</v>
      </c>
      <c r="F52">
        <f>Consolidate!G50</f>
        <v>0</v>
      </c>
      <c r="G52" t="s">
        <v>1288</v>
      </c>
      <c r="H52">
        <f>Consolidate!I50</f>
        <v>0</v>
      </c>
      <c r="I52">
        <f>Consolidate!J50</f>
        <v>0</v>
      </c>
      <c r="J52">
        <f>Consolidate!K50</f>
        <v>0</v>
      </c>
      <c r="K52">
        <f>Consolidate!L50</f>
        <v>0</v>
      </c>
      <c r="L52">
        <f>Consolidate!M50</f>
        <v>0</v>
      </c>
      <c r="M52">
        <f>Consolidate!N50</f>
        <v>0</v>
      </c>
      <c r="N52">
        <f>Consolidate!O50</f>
        <v>0</v>
      </c>
      <c r="O52">
        <f>Consolidate!P50</f>
        <v>0</v>
      </c>
      <c r="Q52" t="s">
        <v>127</v>
      </c>
    </row>
    <row r="53" spans="1:131">
      <c r="A53" t="str">
        <f>CONCATENATE(Consolidate!$B51," - ",Consolidate!$A51)</f>
        <v>Thunderbird wheel line systems: Replace leaking hub with new hub  - Montana</v>
      </c>
      <c r="B53" t="str">
        <f>Consolidate!C51</f>
        <v xml:space="preserve">Thunderbird wheel line systems: Replace leaking hub with new hub </v>
      </c>
      <c r="C53">
        <f>Consolidate!D51</f>
        <v>43.673214947725825</v>
      </c>
      <c r="D53">
        <f>Consolidate!E51</f>
        <v>10</v>
      </c>
      <c r="E53">
        <f>Consolidate!F51</f>
        <v>160</v>
      </c>
      <c r="F53">
        <f>Consolidate!G51</f>
        <v>0</v>
      </c>
      <c r="G53" t="s">
        <v>1288</v>
      </c>
      <c r="H53">
        <f>Consolidate!I51</f>
        <v>0</v>
      </c>
      <c r="I53">
        <f>Consolidate!J51</f>
        <v>0</v>
      </c>
      <c r="J53">
        <f>Consolidate!K51</f>
        <v>0</v>
      </c>
      <c r="K53">
        <f>Consolidate!L51</f>
        <v>0</v>
      </c>
      <c r="L53">
        <f>Consolidate!M51</f>
        <v>0</v>
      </c>
      <c r="M53">
        <f>Consolidate!N51</f>
        <v>0</v>
      </c>
      <c r="N53">
        <f>Consolidate!O51</f>
        <v>0</v>
      </c>
      <c r="O53">
        <f>Consolidate!P51</f>
        <v>0</v>
      </c>
      <c r="Q53" t="s">
        <v>127</v>
      </c>
    </row>
    <row r="54" spans="1:131">
      <c r="A54" t="str">
        <f>CONCATENATE(Consolidate!$B52," - ",Consolidate!$A52)</f>
        <v>Wheel line systems: Rebuild or replace leaking or malfunctioning leveler with new or rebuilt leveler.  - Montana</v>
      </c>
      <c r="B54" t="str">
        <f>Consolidate!C52</f>
        <v xml:space="preserve">Wheel line systems: Rebuild or replace leaking or malfunctioning leveler with new or rebuilt leveler. </v>
      </c>
      <c r="C54">
        <f>Consolidate!D52</f>
        <v>12.575767880880889</v>
      </c>
      <c r="D54">
        <f>Consolidate!E52</f>
        <v>5</v>
      </c>
      <c r="E54">
        <f>Consolidate!F52</f>
        <v>5.2</v>
      </c>
      <c r="F54">
        <f>Consolidate!G52</f>
        <v>0</v>
      </c>
      <c r="G54" t="s">
        <v>1288</v>
      </c>
      <c r="H54">
        <f>Consolidate!I52</f>
        <v>0</v>
      </c>
      <c r="I54">
        <f>Consolidate!J52</f>
        <v>0</v>
      </c>
      <c r="J54">
        <f>Consolidate!K52</f>
        <v>0</v>
      </c>
      <c r="K54">
        <f>Consolidate!L52</f>
        <v>0</v>
      </c>
      <c r="L54">
        <f>Consolidate!M52</f>
        <v>0</v>
      </c>
      <c r="M54">
        <f>Consolidate!N52</f>
        <v>0</v>
      </c>
      <c r="N54">
        <f>Consolidate!O52</f>
        <v>0</v>
      </c>
      <c r="O54">
        <f>Consolidate!P52</f>
        <v>0</v>
      </c>
      <c r="Q54" t="s">
        <v>127</v>
      </c>
    </row>
    <row r="55" spans="1:131">
      <c r="A55" t="str">
        <f>CONCATENATE(Consolidate!$B53," - ",Consolidate!$A53)</f>
        <v>Center pivot/linear move systems: Install new sprinkler package on an existing system.  - Montana</v>
      </c>
      <c r="B55" t="str">
        <f>Consolidate!C53</f>
        <v xml:space="preserve">Center pivot/linear move systems: Install new sprinkler package on an existing system. </v>
      </c>
      <c r="C55">
        <f>Consolidate!D53</f>
        <v>20.850219658493057</v>
      </c>
      <c r="D55">
        <f>Consolidate!E53</f>
        <v>5</v>
      </c>
      <c r="E55">
        <f>Consolidate!F53</f>
        <v>24.253499999999999</v>
      </c>
      <c r="F55">
        <f>Consolidate!G53</f>
        <v>0</v>
      </c>
      <c r="G55" t="s">
        <v>1288</v>
      </c>
      <c r="H55">
        <f>Consolidate!I53</f>
        <v>0</v>
      </c>
      <c r="I55">
        <f>Consolidate!J53</f>
        <v>0</v>
      </c>
      <c r="J55">
        <f>Consolidate!K53</f>
        <v>0</v>
      </c>
      <c r="K55">
        <f>Consolidate!L53</f>
        <v>0</v>
      </c>
      <c r="L55">
        <f>Consolidate!M53</f>
        <v>0</v>
      </c>
      <c r="M55">
        <f>Consolidate!N53</f>
        <v>0</v>
      </c>
      <c r="N55">
        <f>Consolidate!O53</f>
        <v>0</v>
      </c>
      <c r="O55">
        <f>Consolidate!P53</f>
        <v>0</v>
      </c>
      <c r="Q55" t="s">
        <v>127</v>
      </c>
    </row>
    <row r="56" spans="1:131">
      <c r="A56" t="str">
        <f>CONCATENATE(Consolidate!$B54," - ",Consolidate!$A54)</f>
        <v>Center pivot/linear move systems: New gooseneck elbows  - Montana</v>
      </c>
      <c r="B56" t="str">
        <f>Consolidate!C54</f>
        <v xml:space="preserve">Center pivot/linear move systems: New gooseneck elbows </v>
      </c>
      <c r="C56">
        <f>Consolidate!D54</f>
        <v>1.591604244783726</v>
      </c>
      <c r="D56">
        <f>Consolidate!E54</f>
        <v>15</v>
      </c>
      <c r="E56">
        <f>Consolidate!F54</f>
        <v>3.9583333333333335</v>
      </c>
      <c r="F56">
        <f>Consolidate!G54</f>
        <v>0</v>
      </c>
      <c r="G56" t="s">
        <v>1288</v>
      </c>
      <c r="H56">
        <f>Consolidate!I54</f>
        <v>0</v>
      </c>
      <c r="I56">
        <f>Consolidate!J54</f>
        <v>0</v>
      </c>
      <c r="J56">
        <f>Consolidate!K54</f>
        <v>0</v>
      </c>
      <c r="K56">
        <f>Consolidate!L54</f>
        <v>0</v>
      </c>
      <c r="L56">
        <f>Consolidate!M54</f>
        <v>0</v>
      </c>
      <c r="M56">
        <f>Consolidate!N54</f>
        <v>0</v>
      </c>
      <c r="N56">
        <f>Consolidate!O54</f>
        <v>0</v>
      </c>
      <c r="O56">
        <f>Consolidate!P54</f>
        <v>0</v>
      </c>
      <c r="Q56" t="s">
        <v>127</v>
      </c>
    </row>
    <row r="57" spans="1:131">
      <c r="A57" t="str">
        <f>CONCATENATE(Consolidate!$B55," - ",Consolidate!$A55)</f>
        <v>Center pivot/linear move systems: New drop tubes (3 feet minimum)  - Montana</v>
      </c>
      <c r="B57" t="str">
        <f>Consolidate!C55</f>
        <v xml:space="preserve">Center pivot/linear move systems: New drop tubes (3 feet minimum) </v>
      </c>
      <c r="C57">
        <f>Consolidate!D55</f>
        <v>1.591604244783726</v>
      </c>
      <c r="D57">
        <f>Consolidate!E55</f>
        <v>10</v>
      </c>
      <c r="E57">
        <f>Consolidate!F55</f>
        <v>6.1749999999999998</v>
      </c>
      <c r="F57">
        <f>Consolidate!G55</f>
        <v>0</v>
      </c>
      <c r="G57" t="s">
        <v>1288</v>
      </c>
      <c r="H57">
        <f>Consolidate!I55</f>
        <v>0</v>
      </c>
      <c r="I57">
        <f>Consolidate!J55</f>
        <v>0</v>
      </c>
      <c r="J57">
        <f>Consolidate!K55</f>
        <v>0</v>
      </c>
      <c r="K57">
        <f>Consolidate!L55</f>
        <v>0</v>
      </c>
      <c r="L57">
        <f>Consolidate!M55</f>
        <v>0</v>
      </c>
      <c r="M57">
        <f>Consolidate!N55</f>
        <v>0</v>
      </c>
      <c r="N57">
        <f>Consolidate!O55</f>
        <v>0</v>
      </c>
      <c r="O57">
        <f>Consolidate!P55</f>
        <v>0</v>
      </c>
      <c r="Q57" t="s">
        <v>127</v>
      </c>
    </row>
    <row r="58" spans="1:131">
      <c r="A58" t="str">
        <f>CONCATENATE(Consolidate!$B56," - ",Consolidate!$A56)</f>
        <v>Center pivot/linear move systems: Replace leaking pivot boot gasket with new pivot boot gasket  - Montana</v>
      </c>
      <c r="B58" t="str">
        <f>Consolidate!C56</f>
        <v xml:space="preserve">Center pivot/linear move systems: Replace leaking pivot boot gasket with new pivot boot gasket </v>
      </c>
      <c r="C58">
        <f>Consolidate!D56</f>
        <v>2.6486847582365765</v>
      </c>
      <c r="D58">
        <f>Consolidate!E56</f>
        <v>8</v>
      </c>
      <c r="E58">
        <f>Consolidate!F56</f>
        <v>2.0750000000000002</v>
      </c>
      <c r="F58">
        <f>Consolidate!G56</f>
        <v>0</v>
      </c>
      <c r="G58" t="s">
        <v>1288</v>
      </c>
      <c r="H58">
        <f>Consolidate!I56</f>
        <v>0</v>
      </c>
      <c r="I58">
        <f>Consolidate!J56</f>
        <v>0</v>
      </c>
      <c r="J58">
        <f>Consolidate!K56</f>
        <v>0</v>
      </c>
      <c r="K58">
        <f>Consolidate!L56</f>
        <v>0</v>
      </c>
      <c r="L58">
        <f>Consolidate!M56</f>
        <v>0</v>
      </c>
      <c r="M58">
        <f>Consolidate!N56</f>
        <v>0</v>
      </c>
      <c r="N58">
        <f>Consolidate!O56</f>
        <v>0</v>
      </c>
      <c r="O58">
        <f>Consolidate!P56</f>
        <v>0</v>
      </c>
      <c r="Q58" t="s">
        <v>127</v>
      </c>
    </row>
    <row r="59" spans="1:131">
      <c r="A59" t="str">
        <f>CONCATENATE(Consolidate!$B57," - ",Consolidate!$A57)</f>
        <v>Center pivot/linear move systems: Replace leaking tower gasket with new tower gasket  - Montana</v>
      </c>
      <c r="B59" t="str">
        <f>Consolidate!C57</f>
        <v xml:space="preserve">Center pivot/linear move systems: Replace leaking tower gasket with new tower gasket </v>
      </c>
      <c r="C59">
        <f>Consolidate!D57</f>
        <v>0.66217118955914411</v>
      </c>
      <c r="D59">
        <f>Consolidate!E57</f>
        <v>8</v>
      </c>
      <c r="E59">
        <f>Consolidate!F57</f>
        <v>4.9800000000000004</v>
      </c>
      <c r="F59">
        <f>Consolidate!G57</f>
        <v>0</v>
      </c>
      <c r="G59" t="s">
        <v>1288</v>
      </c>
      <c r="H59">
        <f>Consolidate!I57</f>
        <v>0</v>
      </c>
      <c r="I59">
        <f>Consolidate!J57</f>
        <v>0</v>
      </c>
      <c r="J59">
        <f>Consolidate!K57</f>
        <v>0</v>
      </c>
      <c r="K59">
        <f>Consolidate!L57</f>
        <v>0</v>
      </c>
      <c r="L59">
        <f>Consolidate!M57</f>
        <v>0</v>
      </c>
      <c r="M59">
        <f>Consolidate!N57</f>
        <v>0</v>
      </c>
      <c r="N59">
        <f>Consolidate!O57</f>
        <v>0</v>
      </c>
      <c r="O59">
        <f>Consolidate!P57</f>
        <v>0</v>
      </c>
      <c r="Q59" t="s">
        <v>127</v>
      </c>
    </row>
    <row r="62" spans="1:13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row>
    <row r="63" spans="1:131">
      <c r="A63" s="723" t="s">
        <v>1344</v>
      </c>
      <c r="B63" s="724"/>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row>
    <row r="64" spans="1:131">
      <c r="A64" s="7" t="s">
        <v>1345</v>
      </c>
      <c r="B64" s="7" t="s">
        <v>1346</v>
      </c>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row>
    <row r="65" spans="1:131">
      <c r="A65" s="7" t="s">
        <v>1347</v>
      </c>
      <c r="B65" s="7" t="s">
        <v>1779</v>
      </c>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row>
    <row r="66" spans="1:13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row>
    <row r="67" spans="1:131" ht="13.5" thickBot="1">
      <c r="A67" s="24" t="s">
        <v>1348</v>
      </c>
      <c r="B67" s="725"/>
      <c r="C67" s="725"/>
      <c r="D67" s="725"/>
      <c r="E67" s="725"/>
      <c r="F67" s="725"/>
      <c r="G67" s="725"/>
      <c r="H67" s="725"/>
      <c r="I67" s="725"/>
      <c r="J67" s="725"/>
      <c r="K67" s="725"/>
      <c r="L67" s="725"/>
      <c r="M67" s="725"/>
      <c r="N67" s="725"/>
      <c r="O67" s="725"/>
      <c r="P67" s="725"/>
      <c r="Q67" s="725"/>
      <c r="R67" s="725"/>
      <c r="S67" s="725"/>
      <c r="T67" s="725"/>
      <c r="U67" s="725"/>
      <c r="V67" s="725"/>
      <c r="W67" s="725"/>
      <c r="X67" s="725"/>
      <c r="Y67" s="725"/>
      <c r="Z67" s="725"/>
      <c r="AA67" s="725"/>
      <c r="AB67" s="725"/>
      <c r="AC67" s="725"/>
      <c r="AD67" s="725"/>
      <c r="AE67" s="725"/>
      <c r="AF67" s="725"/>
      <c r="AG67" s="725"/>
      <c r="AH67" s="725"/>
      <c r="AI67" s="25"/>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row>
    <row r="68" spans="1:131">
      <c r="A68" s="7"/>
      <c r="B68" s="726" t="s">
        <v>1349</v>
      </c>
      <c r="C68" s="727"/>
      <c r="D68" s="727" t="s">
        <v>1349</v>
      </c>
      <c r="E68" s="728"/>
      <c r="F68" s="7"/>
      <c r="G68" s="726" t="s">
        <v>1350</v>
      </c>
      <c r="H68" s="727"/>
      <c r="I68" s="727"/>
      <c r="J68" s="727"/>
      <c r="K68" s="727"/>
      <c r="L68" s="727"/>
      <c r="M68" s="727"/>
      <c r="N68" s="727"/>
      <c r="O68" s="728"/>
      <c r="P68" s="7"/>
      <c r="Q68" s="726" t="s">
        <v>1351</v>
      </c>
      <c r="R68" s="727"/>
      <c r="S68" s="727"/>
      <c r="T68" s="727"/>
      <c r="U68" s="728"/>
      <c r="V68" s="7"/>
      <c r="W68" s="726" t="s">
        <v>1352</v>
      </c>
      <c r="X68" s="728"/>
      <c r="Y68" s="7"/>
      <c r="Z68" s="726" t="s">
        <v>1353</v>
      </c>
      <c r="AA68" s="727"/>
      <c r="AB68" s="728"/>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row>
    <row r="69" spans="1:131">
      <c r="A69" s="7"/>
      <c r="B69" s="729" t="s">
        <v>1354</v>
      </c>
      <c r="C69" s="730" t="s">
        <v>1355</v>
      </c>
      <c r="D69" s="730" t="s">
        <v>1354</v>
      </c>
      <c r="E69" s="731" t="s">
        <v>1355</v>
      </c>
      <c r="F69" s="7"/>
      <c r="G69" s="729" t="s">
        <v>1356</v>
      </c>
      <c r="H69" s="730" t="s">
        <v>1780</v>
      </c>
      <c r="I69" s="730"/>
      <c r="J69" s="730"/>
      <c r="K69" s="730" t="s">
        <v>1357</v>
      </c>
      <c r="L69" s="730"/>
      <c r="M69" s="730"/>
      <c r="N69" s="730"/>
      <c r="O69" s="731"/>
      <c r="P69" s="7"/>
      <c r="Q69" s="729"/>
      <c r="R69" s="730" t="s">
        <v>1358</v>
      </c>
      <c r="S69" s="730" t="s">
        <v>1359</v>
      </c>
      <c r="T69" s="730" t="s">
        <v>1360</v>
      </c>
      <c r="U69" s="731" t="s">
        <v>1361</v>
      </c>
      <c r="V69" s="7"/>
      <c r="W69" s="729" t="s">
        <v>1362</v>
      </c>
      <c r="X69" s="731">
        <v>20</v>
      </c>
      <c r="Y69" s="7"/>
      <c r="Z69" s="729"/>
      <c r="AA69" s="730" t="s">
        <v>1355</v>
      </c>
      <c r="AB69" s="731" t="s">
        <v>1363</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row>
    <row r="70" spans="1:131">
      <c r="A70" s="7"/>
      <c r="B70" s="729" t="s">
        <v>1364</v>
      </c>
      <c r="C70" s="730" t="s">
        <v>1365</v>
      </c>
      <c r="D70" s="730" t="s">
        <v>1364</v>
      </c>
      <c r="E70" s="731" t="s">
        <v>1365</v>
      </c>
      <c r="F70" s="7"/>
      <c r="G70" s="729" t="s">
        <v>1366</v>
      </c>
      <c r="H70" s="730" t="s">
        <v>1367</v>
      </c>
      <c r="I70" s="730"/>
      <c r="J70" s="730"/>
      <c r="K70" s="730" t="s">
        <v>1368</v>
      </c>
      <c r="L70" s="730"/>
      <c r="M70" s="730"/>
      <c r="N70" s="730"/>
      <c r="O70" s="731"/>
      <c r="P70" s="7"/>
      <c r="Q70" s="729" t="s">
        <v>1369</v>
      </c>
      <c r="R70" s="730">
        <v>6.7943795888335753E-2</v>
      </c>
      <c r="S70" s="730">
        <v>4.387844424080023E-2</v>
      </c>
      <c r="T70" s="730">
        <v>5.3289007766645871E-2</v>
      </c>
      <c r="U70" s="731">
        <v>5.447903102274565E-2</v>
      </c>
      <c r="V70" s="7"/>
      <c r="W70" s="729" t="s">
        <v>1370</v>
      </c>
      <c r="X70" s="731">
        <v>2016</v>
      </c>
      <c r="Y70" s="7"/>
      <c r="Z70" s="729" t="s">
        <v>1371</v>
      </c>
      <c r="AA70" s="730">
        <v>4.03890184699085E-3</v>
      </c>
      <c r="AB70" s="731">
        <v>0.01</v>
      </c>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row>
    <row r="71" spans="1:131">
      <c r="A71" s="7"/>
      <c r="B71" s="729" t="s">
        <v>1372</v>
      </c>
      <c r="C71" s="730" t="s">
        <v>1373</v>
      </c>
      <c r="D71" s="730" t="s">
        <v>1372</v>
      </c>
      <c r="E71" s="731" t="s">
        <v>1373</v>
      </c>
      <c r="F71" s="7"/>
      <c r="G71" s="729" t="s">
        <v>1374</v>
      </c>
      <c r="H71" s="730" t="s">
        <v>1375</v>
      </c>
      <c r="I71" s="730"/>
      <c r="J71" s="730"/>
      <c r="K71" s="730" t="s">
        <v>1376</v>
      </c>
      <c r="L71" s="730"/>
      <c r="M71" s="730"/>
      <c r="N71" s="730"/>
      <c r="O71" s="731"/>
      <c r="P71" s="7"/>
      <c r="Q71" s="729" t="s">
        <v>1377</v>
      </c>
      <c r="R71" s="730">
        <v>12</v>
      </c>
      <c r="S71" s="730">
        <v>12</v>
      </c>
      <c r="T71" s="730">
        <v>1</v>
      </c>
      <c r="U71" s="731">
        <v>1</v>
      </c>
      <c r="V71" s="7"/>
      <c r="W71" s="729" t="s">
        <v>1378</v>
      </c>
      <c r="X71" s="731">
        <v>2016</v>
      </c>
      <c r="Y71" s="7"/>
      <c r="Z71" s="729" t="s">
        <v>1379</v>
      </c>
      <c r="AA71" s="730">
        <v>26</v>
      </c>
      <c r="AB71" s="731">
        <v>0</v>
      </c>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row>
    <row r="72" spans="1:131" ht="13.5" thickBot="1">
      <c r="A72" s="7"/>
      <c r="B72" s="732" t="s">
        <v>1380</v>
      </c>
      <c r="C72" s="733" t="s">
        <v>1373</v>
      </c>
      <c r="D72" s="733" t="s">
        <v>1380</v>
      </c>
      <c r="E72" s="734" t="s">
        <v>1373</v>
      </c>
      <c r="F72" s="7"/>
      <c r="G72" s="729" t="s">
        <v>1381</v>
      </c>
      <c r="H72" s="730" t="s">
        <v>1382</v>
      </c>
      <c r="I72" s="730"/>
      <c r="J72" s="730"/>
      <c r="K72" s="730" t="s">
        <v>1368</v>
      </c>
      <c r="L72" s="730"/>
      <c r="M72" s="730"/>
      <c r="N72" s="730"/>
      <c r="O72" s="731"/>
      <c r="P72" s="7"/>
      <c r="Q72" s="729"/>
      <c r="R72" s="730" t="s">
        <v>1358</v>
      </c>
      <c r="S72" s="730" t="s">
        <v>1359</v>
      </c>
      <c r="T72" s="730" t="s">
        <v>1360</v>
      </c>
      <c r="U72" s="731" t="s">
        <v>1361</v>
      </c>
      <c r="V72" s="7"/>
      <c r="W72" s="729" t="s">
        <v>1383</v>
      </c>
      <c r="X72" s="731">
        <v>2012</v>
      </c>
      <c r="Y72" s="7"/>
      <c r="Z72" s="729" t="s">
        <v>1384</v>
      </c>
      <c r="AA72" s="730">
        <v>0.9</v>
      </c>
      <c r="AB72" s="731" t="s">
        <v>1385</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row>
    <row r="73" spans="1:131">
      <c r="A73" s="7"/>
      <c r="B73" s="7"/>
      <c r="C73" s="7"/>
      <c r="D73" s="7"/>
      <c r="E73" s="7"/>
      <c r="F73" s="7"/>
      <c r="G73" s="729" t="s">
        <v>1386</v>
      </c>
      <c r="H73" s="730" t="s">
        <v>1375</v>
      </c>
      <c r="I73" s="730"/>
      <c r="J73" s="730"/>
      <c r="K73" s="730"/>
      <c r="L73" s="730"/>
      <c r="M73" s="730"/>
      <c r="N73" s="730"/>
      <c r="O73" s="731"/>
      <c r="P73" s="7"/>
      <c r="Q73" s="729" t="s">
        <v>1387</v>
      </c>
      <c r="R73" s="730">
        <v>0.35</v>
      </c>
      <c r="S73" s="730">
        <v>0.19500000000000001</v>
      </c>
      <c r="T73" s="730">
        <v>0.45499999999999996</v>
      </c>
      <c r="U73" s="731">
        <v>0</v>
      </c>
      <c r="V73" s="7"/>
      <c r="W73" s="729" t="s">
        <v>1388</v>
      </c>
      <c r="X73" s="731">
        <v>0.04</v>
      </c>
      <c r="Y73" s="7"/>
      <c r="Z73" s="729" t="s">
        <v>1389</v>
      </c>
      <c r="AA73" s="730">
        <v>4.7399348199455904E-2</v>
      </c>
      <c r="AB73" s="731">
        <v>0</v>
      </c>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row>
    <row r="74" spans="1:131">
      <c r="A74" s="7"/>
      <c r="B74" s="7" t="s">
        <v>1390</v>
      </c>
      <c r="C74" s="7" t="s">
        <v>1355</v>
      </c>
      <c r="D74" s="7"/>
      <c r="E74" s="7"/>
      <c r="F74" s="7"/>
      <c r="G74" s="729" t="s">
        <v>1391</v>
      </c>
      <c r="H74" s="730" t="s">
        <v>1392</v>
      </c>
      <c r="I74" s="730"/>
      <c r="J74" s="730"/>
      <c r="K74" s="730" t="s">
        <v>1393</v>
      </c>
      <c r="L74" s="730"/>
      <c r="M74" s="730"/>
      <c r="N74" s="730"/>
      <c r="O74" s="731"/>
      <c r="P74" s="7"/>
      <c r="Q74" s="729" t="s">
        <v>1394</v>
      </c>
      <c r="R74" s="730">
        <v>1</v>
      </c>
      <c r="S74" s="730">
        <v>0</v>
      </c>
      <c r="T74" s="730">
        <v>0</v>
      </c>
      <c r="U74" s="731">
        <v>0</v>
      </c>
      <c r="V74" s="7"/>
      <c r="W74" s="729" t="s">
        <v>1395</v>
      </c>
      <c r="X74" s="731">
        <v>0</v>
      </c>
      <c r="Y74" s="7"/>
      <c r="Z74" s="729" t="s">
        <v>1396</v>
      </c>
      <c r="AA74" s="730">
        <v>31</v>
      </c>
      <c r="AB74" s="731">
        <v>0</v>
      </c>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row>
    <row r="75" spans="1:131">
      <c r="A75" s="7"/>
      <c r="B75" s="7" t="s">
        <v>1397</v>
      </c>
      <c r="C75" s="7" t="s">
        <v>1398</v>
      </c>
      <c r="D75" s="7"/>
      <c r="E75" s="7"/>
      <c r="F75" s="7"/>
      <c r="G75" s="729" t="s">
        <v>1399</v>
      </c>
      <c r="H75" s="730" t="s">
        <v>1393</v>
      </c>
      <c r="I75" s="730"/>
      <c r="J75" s="730"/>
      <c r="K75" s="730" t="s">
        <v>1400</v>
      </c>
      <c r="L75" s="730"/>
      <c r="M75" s="730"/>
      <c r="N75" s="730"/>
      <c r="O75" s="731"/>
      <c r="P75" s="7"/>
      <c r="Q75" s="729" t="s">
        <v>1401</v>
      </c>
      <c r="R75" s="730">
        <v>1</v>
      </c>
      <c r="S75" s="730">
        <v>0</v>
      </c>
      <c r="T75" s="730">
        <v>0</v>
      </c>
      <c r="U75" s="731">
        <v>0</v>
      </c>
      <c r="V75" s="7"/>
      <c r="W75" s="729" t="s">
        <v>1402</v>
      </c>
      <c r="X75" s="731">
        <v>0.2</v>
      </c>
      <c r="Y75" s="7"/>
      <c r="Z75" s="729" t="s">
        <v>1403</v>
      </c>
      <c r="AA75" s="730">
        <v>0.7</v>
      </c>
      <c r="AB75" s="731" t="s">
        <v>1385</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row>
    <row r="76" spans="1:131">
      <c r="A76" s="7"/>
      <c r="B76" s="7" t="s">
        <v>1404</v>
      </c>
      <c r="C76" s="7" t="s">
        <v>1405</v>
      </c>
      <c r="D76" s="7"/>
      <c r="E76" s="7"/>
      <c r="F76" s="7"/>
      <c r="G76" s="729" t="s">
        <v>1406</v>
      </c>
      <c r="H76" s="730" t="s">
        <v>1400</v>
      </c>
      <c r="I76" s="730"/>
      <c r="J76" s="730"/>
      <c r="K76" s="730" t="s">
        <v>1407</v>
      </c>
      <c r="L76" s="730"/>
      <c r="M76" s="730"/>
      <c r="N76" s="730"/>
      <c r="O76" s="731"/>
      <c r="P76" s="7"/>
      <c r="Q76" s="729" t="s">
        <v>1408</v>
      </c>
      <c r="R76" s="730"/>
      <c r="S76" s="730">
        <v>0.3</v>
      </c>
      <c r="T76" s="730">
        <v>0.7</v>
      </c>
      <c r="U76" s="731">
        <v>0</v>
      </c>
      <c r="V76" s="7"/>
      <c r="W76" s="729" t="s">
        <v>1409</v>
      </c>
      <c r="X76" s="731">
        <v>0</v>
      </c>
      <c r="Y76" s="7"/>
      <c r="Z76" s="729" t="s">
        <v>1410</v>
      </c>
      <c r="AA76" s="730">
        <v>0</v>
      </c>
      <c r="AB76" s="731">
        <v>0</v>
      </c>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row>
    <row r="77" spans="1:131" ht="13.5" thickBot="1">
      <c r="A77" s="7"/>
      <c r="B77" s="7" t="s">
        <v>1411</v>
      </c>
      <c r="C77" s="7" t="s">
        <v>1412</v>
      </c>
      <c r="D77" s="7"/>
      <c r="E77" s="7"/>
      <c r="F77" s="7"/>
      <c r="G77" s="732" t="s">
        <v>1413</v>
      </c>
      <c r="H77" s="733" t="s">
        <v>1407</v>
      </c>
      <c r="I77" s="733"/>
      <c r="J77" s="733"/>
      <c r="K77" s="733"/>
      <c r="L77" s="733"/>
      <c r="M77" s="733"/>
      <c r="N77" s="733"/>
      <c r="O77" s="734"/>
      <c r="P77" s="7"/>
      <c r="Q77" s="732" t="s">
        <v>1414</v>
      </c>
      <c r="R77" s="733"/>
      <c r="S77" s="733">
        <v>20</v>
      </c>
      <c r="T77" s="733"/>
      <c r="U77" s="734"/>
      <c r="V77" s="7"/>
      <c r="W77" s="732" t="s">
        <v>1415</v>
      </c>
      <c r="X77" s="734">
        <v>2018</v>
      </c>
      <c r="Y77" s="7"/>
      <c r="Z77" s="732" t="s">
        <v>1416</v>
      </c>
      <c r="AA77" s="733">
        <v>0</v>
      </c>
      <c r="AB77" s="734">
        <v>0</v>
      </c>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row>
    <row r="78" spans="1:13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row>
    <row r="79" spans="1:13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row>
    <row r="80" spans="1:13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row>
    <row r="81" spans="1:13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row>
    <row r="82" spans="1:13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row>
    <row r="83" spans="1:13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row>
    <row r="84" spans="1:13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row>
    <row r="85" spans="1:131" ht="13.5" thickBot="1">
      <c r="A85" s="24" t="s">
        <v>1417</v>
      </c>
      <c r="B85" s="25"/>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row>
    <row r="86" spans="1:131" ht="26.25" thickBot="1">
      <c r="A86" s="735" t="s">
        <v>1418</v>
      </c>
      <c r="B86" s="736"/>
      <c r="C86" s="737" t="s">
        <v>1419</v>
      </c>
      <c r="D86" s="738"/>
      <c r="E86" s="738"/>
      <c r="F86" s="738"/>
      <c r="G86" s="738"/>
      <c r="H86" s="738"/>
      <c r="I86" s="738"/>
      <c r="J86" s="738"/>
      <c r="K86" s="739"/>
      <c r="L86" s="737" t="s">
        <v>1420</v>
      </c>
      <c r="M86" s="738"/>
      <c r="N86" s="738"/>
      <c r="O86" s="738"/>
      <c r="P86" s="738"/>
      <c r="Q86" s="739"/>
      <c r="R86" s="737" t="s">
        <v>1421</v>
      </c>
      <c r="S86" s="738"/>
      <c r="T86" s="738"/>
      <c r="U86" s="739"/>
      <c r="V86" s="737" t="s">
        <v>1422</v>
      </c>
      <c r="W86" s="738"/>
      <c r="X86" s="738"/>
      <c r="Y86" s="739"/>
      <c r="Z86" s="737" t="s">
        <v>1423</v>
      </c>
      <c r="AA86" s="738"/>
      <c r="AB86" s="738"/>
      <c r="AC86" s="739"/>
      <c r="AD86" s="737" t="s">
        <v>1424</v>
      </c>
      <c r="AE86" s="738"/>
      <c r="AF86" s="738"/>
      <c r="AG86" s="739"/>
      <c r="AH86" s="737" t="s">
        <v>1425</v>
      </c>
      <c r="AI86" s="738"/>
      <c r="AJ86" s="738"/>
      <c r="AK86" s="738"/>
      <c r="AL86" s="739"/>
      <c r="AM86" s="737" t="s">
        <v>1426</v>
      </c>
      <c r="AN86" s="738"/>
      <c r="AO86" s="738"/>
      <c r="AP86" s="738"/>
      <c r="AQ86" s="738"/>
      <c r="AR86" s="738"/>
      <c r="AS86" s="739"/>
      <c r="AT86" s="737" t="s">
        <v>1427</v>
      </c>
      <c r="AU86" s="738"/>
      <c r="AV86" s="738"/>
      <c r="AW86" s="738"/>
      <c r="AX86" s="738"/>
      <c r="AY86" s="738"/>
      <c r="AZ86" s="739"/>
      <c r="BA86" s="737" t="s">
        <v>1428</v>
      </c>
      <c r="BB86" s="738"/>
      <c r="BC86" s="738"/>
      <c r="BD86" s="738"/>
      <c r="BE86" s="738"/>
      <c r="BF86" s="739"/>
      <c r="BG86" s="737" t="s">
        <v>1429</v>
      </c>
      <c r="BH86" s="739"/>
      <c r="BI86" s="737" t="s">
        <v>1430</v>
      </c>
      <c r="BJ86" s="738"/>
      <c r="BK86" s="738"/>
      <c r="BL86" s="738"/>
      <c r="BM86" s="739"/>
      <c r="BN86" s="737" t="s">
        <v>1431</v>
      </c>
      <c r="BO86" s="738"/>
      <c r="BP86" s="738"/>
      <c r="BQ86" s="738"/>
      <c r="BR86" s="738"/>
      <c r="BS86" s="738"/>
      <c r="BT86" s="738"/>
      <c r="BU86" s="738"/>
      <c r="BV86" s="738"/>
      <c r="BW86" s="738"/>
      <c r="BX86" s="738"/>
      <c r="BY86" s="738"/>
      <c r="BZ86" s="738"/>
      <c r="CA86" s="738"/>
      <c r="CB86" s="738"/>
      <c r="CC86" s="739"/>
      <c r="CD86" s="737" t="s">
        <v>1432</v>
      </c>
      <c r="CE86" s="739"/>
      <c r="CF86" s="737" t="s">
        <v>1433</v>
      </c>
      <c r="CG86" s="738"/>
      <c r="CH86" s="738"/>
      <c r="CI86" s="738"/>
      <c r="CJ86" s="738"/>
      <c r="CK86" s="739"/>
      <c r="CL86" s="740"/>
      <c r="CM86" s="737" t="s">
        <v>5</v>
      </c>
      <c r="CN86" s="738"/>
      <c r="CO86" s="738"/>
      <c r="CP86" s="739"/>
      <c r="CQ86" s="737" t="s">
        <v>1434</v>
      </c>
      <c r="CR86" s="738"/>
      <c r="CS86" s="738"/>
      <c r="CT86" s="738"/>
      <c r="CU86" s="739"/>
      <c r="CV86" s="737" t="s">
        <v>1435</v>
      </c>
      <c r="CW86" s="739"/>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row>
    <row r="87" spans="1:131" ht="216.75">
      <c r="A87" s="27" t="s">
        <v>1436</v>
      </c>
      <c r="B87" s="28" t="s">
        <v>1437</v>
      </c>
      <c r="C87" s="29" t="s">
        <v>118</v>
      </c>
      <c r="D87" s="29" t="s">
        <v>1438</v>
      </c>
      <c r="E87" s="29" t="s">
        <v>1439</v>
      </c>
      <c r="F87" s="29" t="s">
        <v>1440</v>
      </c>
      <c r="G87" s="29" t="s">
        <v>1441</v>
      </c>
      <c r="H87" s="29" t="s">
        <v>1442</v>
      </c>
      <c r="I87" s="29" t="s">
        <v>1443</v>
      </c>
      <c r="J87" s="29" t="s">
        <v>1444</v>
      </c>
      <c r="K87" s="29" t="s">
        <v>1445</v>
      </c>
      <c r="L87" s="29" t="s">
        <v>1446</v>
      </c>
      <c r="M87" s="29" t="s">
        <v>1447</v>
      </c>
      <c r="N87" s="29" t="s">
        <v>1448</v>
      </c>
      <c r="O87" s="29" t="s">
        <v>1449</v>
      </c>
      <c r="P87" s="29" t="s">
        <v>1450</v>
      </c>
      <c r="Q87" s="29" t="s">
        <v>1451</v>
      </c>
      <c r="R87" s="29" t="s">
        <v>1452</v>
      </c>
      <c r="S87" s="29" t="s">
        <v>1453</v>
      </c>
      <c r="T87" s="29" t="s">
        <v>1454</v>
      </c>
      <c r="U87" s="29" t="s">
        <v>1358</v>
      </c>
      <c r="V87" s="29" t="s">
        <v>1452</v>
      </c>
      <c r="W87" s="29" t="s">
        <v>1453</v>
      </c>
      <c r="X87" s="29" t="s">
        <v>1454</v>
      </c>
      <c r="Y87" s="29" t="s">
        <v>1358</v>
      </c>
      <c r="Z87" s="29" t="s">
        <v>1452</v>
      </c>
      <c r="AA87" s="29" t="s">
        <v>1453</v>
      </c>
      <c r="AB87" s="29" t="s">
        <v>1454</v>
      </c>
      <c r="AC87" s="29" t="s">
        <v>1358</v>
      </c>
      <c r="AD87" s="29" t="s">
        <v>1452</v>
      </c>
      <c r="AE87" s="29" t="s">
        <v>1453</v>
      </c>
      <c r="AF87" s="29" t="s">
        <v>1454</v>
      </c>
      <c r="AG87" s="29" t="s">
        <v>1358</v>
      </c>
      <c r="AH87" s="29" t="s">
        <v>1452</v>
      </c>
      <c r="AI87" s="29" t="s">
        <v>1453</v>
      </c>
      <c r="AJ87" s="29" t="s">
        <v>1454</v>
      </c>
      <c r="AK87" s="29" t="s">
        <v>1358</v>
      </c>
      <c r="AL87" s="29" t="s">
        <v>129</v>
      </c>
      <c r="AM87" s="29" t="s">
        <v>1455</v>
      </c>
      <c r="AN87" s="29" t="s">
        <v>1456</v>
      </c>
      <c r="AO87" s="29" t="s">
        <v>1457</v>
      </c>
      <c r="AP87" s="29" t="s">
        <v>1458</v>
      </c>
      <c r="AQ87" s="29" t="s">
        <v>1459</v>
      </c>
      <c r="AR87" s="29" t="s">
        <v>1460</v>
      </c>
      <c r="AS87" s="29" t="s">
        <v>1461</v>
      </c>
      <c r="AT87" s="29" t="s">
        <v>1462</v>
      </c>
      <c r="AU87" s="29" t="s">
        <v>1463</v>
      </c>
      <c r="AV87" s="29" t="s">
        <v>1464</v>
      </c>
      <c r="AW87" s="29" t="s">
        <v>1465</v>
      </c>
      <c r="AX87" s="29" t="s">
        <v>1466</v>
      </c>
      <c r="AY87" s="29" t="s">
        <v>1467</v>
      </c>
      <c r="AZ87" s="29" t="s">
        <v>1468</v>
      </c>
      <c r="BA87" s="29" t="s">
        <v>1469</v>
      </c>
      <c r="BB87" s="29" t="s">
        <v>1470</v>
      </c>
      <c r="BC87" s="29" t="s">
        <v>1471</v>
      </c>
      <c r="BD87" s="29" t="s">
        <v>1472</v>
      </c>
      <c r="BE87" s="29" t="s">
        <v>1473</v>
      </c>
      <c r="BF87" s="29" t="s">
        <v>1474</v>
      </c>
      <c r="BG87" s="29" t="s">
        <v>1475</v>
      </c>
      <c r="BH87" s="29" t="s">
        <v>1476</v>
      </c>
      <c r="BI87" s="29" t="s">
        <v>1477</v>
      </c>
      <c r="BJ87" s="29" t="s">
        <v>1478</v>
      </c>
      <c r="BK87" s="29" t="s">
        <v>1479</v>
      </c>
      <c r="BL87" s="29" t="s">
        <v>1480</v>
      </c>
      <c r="BM87" s="29" t="s">
        <v>1481</v>
      </c>
      <c r="BN87" s="29" t="s">
        <v>1482</v>
      </c>
      <c r="BO87" s="29" t="s">
        <v>1483</v>
      </c>
      <c r="BP87" s="29" t="s">
        <v>1484</v>
      </c>
      <c r="BQ87" s="29" t="s">
        <v>1485</v>
      </c>
      <c r="BR87" s="29" t="s">
        <v>1486</v>
      </c>
      <c r="BS87" s="29" t="s">
        <v>1487</v>
      </c>
      <c r="BT87" s="29" t="s">
        <v>1488</v>
      </c>
      <c r="BU87" s="29" t="s">
        <v>1489</v>
      </c>
      <c r="BV87" s="29" t="s">
        <v>1490</v>
      </c>
      <c r="BW87" s="29" t="s">
        <v>1491</v>
      </c>
      <c r="BX87" s="29" t="s">
        <v>1492</v>
      </c>
      <c r="BY87" s="29" t="s">
        <v>1493</v>
      </c>
      <c r="BZ87" s="29" t="s">
        <v>1494</v>
      </c>
      <c r="CA87" s="29" t="s">
        <v>1495</v>
      </c>
      <c r="CB87" s="29" t="s">
        <v>1496</v>
      </c>
      <c r="CC87" s="29" t="s">
        <v>1497</v>
      </c>
      <c r="CD87" s="29" t="s">
        <v>1498</v>
      </c>
      <c r="CE87" s="29" t="s">
        <v>21</v>
      </c>
      <c r="CF87" s="29" t="s">
        <v>1499</v>
      </c>
      <c r="CG87" s="29" t="s">
        <v>1500</v>
      </c>
      <c r="CH87" s="29" t="s">
        <v>1501</v>
      </c>
      <c r="CI87" s="29" t="s">
        <v>1502</v>
      </c>
      <c r="CJ87" s="29" t="s">
        <v>1503</v>
      </c>
      <c r="CK87" s="29" t="s">
        <v>1504</v>
      </c>
      <c r="CL87" s="29"/>
      <c r="CM87" s="29" t="s">
        <v>1505</v>
      </c>
      <c r="CN87" s="29" t="s">
        <v>1506</v>
      </c>
      <c r="CO87" s="29" t="s">
        <v>1507</v>
      </c>
      <c r="CP87" s="29" t="s">
        <v>1508</v>
      </c>
      <c r="CQ87" s="29" t="s">
        <v>1509</v>
      </c>
      <c r="CR87" s="29" t="s">
        <v>1510</v>
      </c>
      <c r="CS87" s="29" t="s">
        <v>1511</v>
      </c>
      <c r="CT87" s="29" t="s">
        <v>1512</v>
      </c>
      <c r="CU87" s="29" t="s">
        <v>1513</v>
      </c>
      <c r="CV87" s="29" t="s">
        <v>1514</v>
      </c>
      <c r="CW87" s="741" t="s">
        <v>1515</v>
      </c>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row>
    <row r="88" spans="1:131">
      <c r="A88" s="7" t="s">
        <v>1289</v>
      </c>
      <c r="B88" s="7" t="s">
        <v>1290</v>
      </c>
      <c r="C88" s="26">
        <v>4</v>
      </c>
      <c r="D88" s="26">
        <v>63.857991001034001</v>
      </c>
      <c r="E88" s="26">
        <v>0</v>
      </c>
      <c r="F88" s="26">
        <v>9.0666666666666664</v>
      </c>
      <c r="G88" s="26">
        <v>0</v>
      </c>
      <c r="H88" s="26">
        <v>0</v>
      </c>
      <c r="I88" s="26" t="s">
        <v>1288</v>
      </c>
      <c r="J88" s="26"/>
      <c r="K88" s="26"/>
      <c r="L88" s="26">
        <v>68.27798844872909</v>
      </c>
      <c r="M88" s="26">
        <v>1.8160756509132974E-4</v>
      </c>
      <c r="N88" s="26">
        <v>1.8029680312724682E-4</v>
      </c>
      <c r="O88" s="26">
        <v>0</v>
      </c>
      <c r="P88" s="26">
        <v>0</v>
      </c>
      <c r="Q88" s="26">
        <v>0</v>
      </c>
      <c r="R88" s="26">
        <v>1.8080144504196949</v>
      </c>
      <c r="S88" s="26">
        <v>4.178046397474362</v>
      </c>
      <c r="T88" s="26">
        <v>0</v>
      </c>
      <c r="U88" s="26">
        <v>32.784241780419279</v>
      </c>
      <c r="V88" s="26" t="s">
        <v>1516</v>
      </c>
      <c r="W88" s="26" t="s">
        <v>1516</v>
      </c>
      <c r="X88" s="26" t="s">
        <v>1516</v>
      </c>
      <c r="Y88" s="26" t="s">
        <v>1516</v>
      </c>
      <c r="Z88" s="26">
        <v>0</v>
      </c>
      <c r="AA88" s="26">
        <v>0</v>
      </c>
      <c r="AB88" s="26">
        <v>0</v>
      </c>
      <c r="AC88" s="26">
        <v>0</v>
      </c>
      <c r="AD88" s="26">
        <v>0</v>
      </c>
      <c r="AE88" s="26">
        <v>0</v>
      </c>
      <c r="AF88" s="26">
        <v>0</v>
      </c>
      <c r="AG88" s="26">
        <v>0</v>
      </c>
      <c r="AH88" s="26">
        <v>1.8080144504196949</v>
      </c>
      <c r="AI88" s="26">
        <v>4.178046397474362</v>
      </c>
      <c r="AJ88" s="26">
        <v>0</v>
      </c>
      <c r="AK88" s="26">
        <v>32.784241780419279</v>
      </c>
      <c r="AL88" s="26">
        <v>38.770302628313338</v>
      </c>
      <c r="AM88" s="26">
        <v>32.840614856714176</v>
      </c>
      <c r="AN88" s="26">
        <v>6.4170757983959437E-2</v>
      </c>
      <c r="AO88" s="26">
        <v>0</v>
      </c>
      <c r="AP88" s="26">
        <v>0</v>
      </c>
      <c r="AQ88" s="26">
        <v>32.904785614698135</v>
      </c>
      <c r="AR88" s="26">
        <v>1.8080144504196949</v>
      </c>
      <c r="AS88" s="30">
        <v>18.199404107118689</v>
      </c>
      <c r="AT88" s="26">
        <v>32.840614856714176</v>
      </c>
      <c r="AU88" s="26">
        <v>7.5959064197063914E-2</v>
      </c>
      <c r="AV88" s="26">
        <v>0</v>
      </c>
      <c r="AW88" s="26">
        <v>0</v>
      </c>
      <c r="AX88" s="26">
        <v>32.91657392091124</v>
      </c>
      <c r="AY88" s="26">
        <v>4.178046397474362</v>
      </c>
      <c r="AZ88" s="30">
        <v>7.8784605984292995</v>
      </c>
      <c r="BA88" s="26">
        <v>32.840614856714176</v>
      </c>
      <c r="BB88" s="26">
        <v>0.14012982218102335</v>
      </c>
      <c r="BC88" s="26">
        <v>0</v>
      </c>
      <c r="BD88" s="26">
        <v>0</v>
      </c>
      <c r="BE88" s="26">
        <v>32.980744678895199</v>
      </c>
      <c r="BF88" s="26">
        <v>5.9860608478940573</v>
      </c>
      <c r="BG88" s="26">
        <v>6.3000367606818157</v>
      </c>
      <c r="BH88" s="30">
        <v>5.5095906167572757</v>
      </c>
      <c r="BI88" s="26">
        <v>1.9484590993953248</v>
      </c>
      <c r="BJ88" s="26">
        <v>4.5025926197465189</v>
      </c>
      <c r="BK88" s="26">
        <v>0</v>
      </c>
      <c r="BL88" s="26">
        <v>35.330886984341383</v>
      </c>
      <c r="BM88" s="26">
        <v>41.78193870348322</v>
      </c>
      <c r="BN88" s="26">
        <v>32.840614856714176</v>
      </c>
      <c r="BO88" s="26">
        <v>0</v>
      </c>
      <c r="BP88" s="26">
        <v>0.14012982218102335</v>
      </c>
      <c r="BQ88" s="26">
        <v>0</v>
      </c>
      <c r="BR88" s="26">
        <v>0</v>
      </c>
      <c r="BS88" s="26">
        <v>0</v>
      </c>
      <c r="BT88" s="26">
        <v>0</v>
      </c>
      <c r="BU88" s="26">
        <v>0</v>
      </c>
      <c r="BV88" s="26">
        <v>0</v>
      </c>
      <c r="BW88" s="26">
        <v>0</v>
      </c>
      <c r="BX88" s="26">
        <v>38.770302628313338</v>
      </c>
      <c r="BY88" s="26"/>
      <c r="BZ88" s="26">
        <v>0</v>
      </c>
      <c r="CA88" s="26">
        <v>0</v>
      </c>
      <c r="CB88" s="26">
        <v>32.980744678895199</v>
      </c>
      <c r="CC88" s="26">
        <v>38.770302628313338</v>
      </c>
      <c r="CD88" s="742">
        <v>0.85067029254525039</v>
      </c>
      <c r="CE88" s="26">
        <v>41.630923745023196</v>
      </c>
      <c r="CF88" s="26">
        <v>0.64864965858142765</v>
      </c>
      <c r="CG88" s="26">
        <v>0</v>
      </c>
      <c r="CH88" s="26">
        <v>0.64864965858142765</v>
      </c>
      <c r="CI88" s="26">
        <v>3.2432044513146317E-2</v>
      </c>
      <c r="CJ88" s="26">
        <v>0</v>
      </c>
      <c r="CK88" s="26">
        <v>3.2432044513146317E-2</v>
      </c>
      <c r="CL88" s="26"/>
      <c r="CM88" s="26">
        <v>0</v>
      </c>
      <c r="CN88" s="26"/>
      <c r="CO88" s="26">
        <v>0</v>
      </c>
      <c r="CP88" s="26">
        <v>0</v>
      </c>
      <c r="CQ88" s="26">
        <v>0</v>
      </c>
      <c r="CR88" s="26">
        <v>0</v>
      </c>
      <c r="CS88" s="26">
        <v>0</v>
      </c>
      <c r="CT88" s="26">
        <v>0</v>
      </c>
      <c r="CU88" s="26">
        <v>0</v>
      </c>
      <c r="CV88" s="26">
        <v>9999</v>
      </c>
      <c r="CW88" s="30">
        <v>9999</v>
      </c>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row>
    <row r="89" spans="1:131">
      <c r="A89" s="7" t="s">
        <v>1291</v>
      </c>
      <c r="B89" s="7" t="s">
        <v>1292</v>
      </c>
      <c r="C89" s="26">
        <v>4</v>
      </c>
      <c r="D89" s="26">
        <v>63.857991001034001</v>
      </c>
      <c r="E89" s="26">
        <v>0</v>
      </c>
      <c r="F89" s="26">
        <v>3.3866666666666667</v>
      </c>
      <c r="G89" s="26">
        <v>0</v>
      </c>
      <c r="H89" s="26">
        <v>0</v>
      </c>
      <c r="I89" s="26" t="s">
        <v>1288</v>
      </c>
      <c r="J89" s="26"/>
      <c r="K89" s="26"/>
      <c r="L89" s="26">
        <v>68.27798844872909</v>
      </c>
      <c r="M89" s="26">
        <v>1.8160756509132974E-4</v>
      </c>
      <c r="N89" s="26">
        <v>1.8029680312724682E-4</v>
      </c>
      <c r="O89" s="26">
        <v>0</v>
      </c>
      <c r="P89" s="26">
        <v>0</v>
      </c>
      <c r="Q89" s="26">
        <v>0</v>
      </c>
      <c r="R89" s="26">
        <v>0.67534657412735666</v>
      </c>
      <c r="S89" s="26">
        <v>1.560623213174247</v>
      </c>
      <c r="T89" s="26">
        <v>0</v>
      </c>
      <c r="U89" s="26">
        <v>12.245878547391911</v>
      </c>
      <c r="V89" s="26" t="s">
        <v>1516</v>
      </c>
      <c r="W89" s="26" t="s">
        <v>1516</v>
      </c>
      <c r="X89" s="26" t="s">
        <v>1516</v>
      </c>
      <c r="Y89" s="26" t="s">
        <v>1516</v>
      </c>
      <c r="Z89" s="26">
        <v>0</v>
      </c>
      <c r="AA89" s="26">
        <v>0</v>
      </c>
      <c r="AB89" s="26">
        <v>0</v>
      </c>
      <c r="AC89" s="26">
        <v>0</v>
      </c>
      <c r="AD89" s="26">
        <v>0</v>
      </c>
      <c r="AE89" s="26">
        <v>0</v>
      </c>
      <c r="AF89" s="26">
        <v>0</v>
      </c>
      <c r="AG89" s="26">
        <v>0</v>
      </c>
      <c r="AH89" s="26">
        <v>0.67534657412735666</v>
      </c>
      <c r="AI89" s="26">
        <v>1.560623213174247</v>
      </c>
      <c r="AJ89" s="26">
        <v>0</v>
      </c>
      <c r="AK89" s="26">
        <v>12.245878547391911</v>
      </c>
      <c r="AL89" s="26">
        <v>14.481848334693515</v>
      </c>
      <c r="AM89" s="26">
        <v>32.840614856714176</v>
      </c>
      <c r="AN89" s="26">
        <v>6.4170757983959437E-2</v>
      </c>
      <c r="AO89" s="26">
        <v>0</v>
      </c>
      <c r="AP89" s="26">
        <v>0</v>
      </c>
      <c r="AQ89" s="26">
        <v>32.904785614698135</v>
      </c>
      <c r="AR89" s="26">
        <v>0.67534657412735666</v>
      </c>
      <c r="AS89" s="30">
        <v>48.722814145042157</v>
      </c>
      <c r="AT89" s="26">
        <v>32.840614856714176</v>
      </c>
      <c r="AU89" s="26">
        <v>7.5959064197063914E-2</v>
      </c>
      <c r="AV89" s="26">
        <v>0</v>
      </c>
      <c r="AW89" s="26">
        <v>0</v>
      </c>
      <c r="AX89" s="26">
        <v>32.91657392091124</v>
      </c>
      <c r="AY89" s="26">
        <v>1.560623213174247</v>
      </c>
      <c r="AZ89" s="30">
        <v>21.091941759574503</v>
      </c>
      <c r="BA89" s="26">
        <v>32.840614856714176</v>
      </c>
      <c r="BB89" s="26">
        <v>0.14012982218102335</v>
      </c>
      <c r="BC89" s="26">
        <v>0</v>
      </c>
      <c r="BD89" s="26">
        <v>0</v>
      </c>
      <c r="BE89" s="26">
        <v>32.980744678895199</v>
      </c>
      <c r="BF89" s="26">
        <v>2.2359697873016038</v>
      </c>
      <c r="BG89" s="26">
        <v>2.2586425954547162</v>
      </c>
      <c r="BH89" s="30">
        <v>14.750085115728139</v>
      </c>
      <c r="BI89" s="26">
        <v>0.72780678124472431</v>
      </c>
      <c r="BJ89" s="26">
        <v>1.6818507726700231</v>
      </c>
      <c r="BK89" s="26">
        <v>0</v>
      </c>
      <c r="BL89" s="26">
        <v>13.197125432386342</v>
      </c>
      <c r="BM89" s="26">
        <v>15.606782986301091</v>
      </c>
      <c r="BN89" s="26">
        <v>32.840614856714176</v>
      </c>
      <c r="BO89" s="26">
        <v>0</v>
      </c>
      <c r="BP89" s="26">
        <v>0.14012982218102335</v>
      </c>
      <c r="BQ89" s="26">
        <v>0</v>
      </c>
      <c r="BR89" s="26">
        <v>0</v>
      </c>
      <c r="BS89" s="26">
        <v>0</v>
      </c>
      <c r="BT89" s="26">
        <v>0</v>
      </c>
      <c r="BU89" s="26">
        <v>0</v>
      </c>
      <c r="BV89" s="26">
        <v>0</v>
      </c>
      <c r="BW89" s="26">
        <v>0</v>
      </c>
      <c r="BX89" s="26">
        <v>14.481848334693515</v>
      </c>
      <c r="BY89" s="26"/>
      <c r="BZ89" s="26">
        <v>0</v>
      </c>
      <c r="CA89" s="26">
        <v>0</v>
      </c>
      <c r="CB89" s="26">
        <v>32.980744678895199</v>
      </c>
      <c r="CC89" s="26">
        <v>14.481848334693515</v>
      </c>
      <c r="CD89" s="30">
        <v>2.2773850351605125</v>
      </c>
      <c r="CE89" s="26">
        <v>15.455768027841062</v>
      </c>
      <c r="CF89" s="26">
        <v>0.64864965858142765</v>
      </c>
      <c r="CG89" s="26">
        <v>0</v>
      </c>
      <c r="CH89" s="26">
        <v>0.64864965858142765</v>
      </c>
      <c r="CI89" s="26">
        <v>3.2432044513146317E-2</v>
      </c>
      <c r="CJ89" s="26">
        <v>0</v>
      </c>
      <c r="CK89" s="26">
        <v>3.2432044513146317E-2</v>
      </c>
      <c r="CL89" s="26"/>
      <c r="CM89" s="26">
        <v>0</v>
      </c>
      <c r="CN89" s="26"/>
      <c r="CO89" s="26">
        <v>0</v>
      </c>
      <c r="CP89" s="26">
        <v>0</v>
      </c>
      <c r="CQ89" s="26">
        <v>0</v>
      </c>
      <c r="CR89" s="26">
        <v>0</v>
      </c>
      <c r="CS89" s="26">
        <v>0</v>
      </c>
      <c r="CT89" s="26">
        <v>0</v>
      </c>
      <c r="CU89" s="26">
        <v>0</v>
      </c>
      <c r="CV89" s="26">
        <v>9999</v>
      </c>
      <c r="CW89" s="30">
        <v>9999</v>
      </c>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row>
    <row r="90" spans="1:131">
      <c r="A90" s="7" t="s">
        <v>1293</v>
      </c>
      <c r="B90" s="7" t="s">
        <v>1294</v>
      </c>
      <c r="C90" s="26">
        <v>5</v>
      </c>
      <c r="D90" s="26">
        <v>45.363213635305854</v>
      </c>
      <c r="E90" s="26">
        <v>0</v>
      </c>
      <c r="F90" s="26">
        <v>19.733333333333334</v>
      </c>
      <c r="G90" s="26">
        <v>0</v>
      </c>
      <c r="H90" s="26">
        <v>0</v>
      </c>
      <c r="I90" s="26" t="s">
        <v>1288</v>
      </c>
      <c r="J90" s="26"/>
      <c r="K90" s="26"/>
      <c r="L90" s="26">
        <v>48.503075778542595</v>
      </c>
      <c r="M90" s="26">
        <v>1.2900973932756995E-4</v>
      </c>
      <c r="N90" s="26">
        <v>1.2807860488269266E-4</v>
      </c>
      <c r="O90" s="26">
        <v>0</v>
      </c>
      <c r="P90" s="26">
        <v>0</v>
      </c>
      <c r="Q90" s="26">
        <v>0</v>
      </c>
      <c r="R90" s="26">
        <v>3.9350902744428655</v>
      </c>
      <c r="S90" s="26">
        <v>9.0933951003853757</v>
      </c>
      <c r="T90" s="26">
        <v>0</v>
      </c>
      <c r="U90" s="26">
        <v>55.412445960270915</v>
      </c>
      <c r="V90" s="26" t="s">
        <v>1516</v>
      </c>
      <c r="W90" s="26" t="s">
        <v>1516</v>
      </c>
      <c r="X90" s="26" t="s">
        <v>1516</v>
      </c>
      <c r="Y90" s="26" t="s">
        <v>1516</v>
      </c>
      <c r="Z90" s="26">
        <v>0</v>
      </c>
      <c r="AA90" s="26">
        <v>0</v>
      </c>
      <c r="AB90" s="26">
        <v>0</v>
      </c>
      <c r="AC90" s="26">
        <v>0</v>
      </c>
      <c r="AD90" s="26">
        <v>0</v>
      </c>
      <c r="AE90" s="26">
        <v>0</v>
      </c>
      <c r="AF90" s="26">
        <v>0</v>
      </c>
      <c r="AG90" s="26">
        <v>0</v>
      </c>
      <c r="AH90" s="26">
        <v>3.9350902744428655</v>
      </c>
      <c r="AI90" s="26">
        <v>9.0933951003853757</v>
      </c>
      <c r="AJ90" s="26">
        <v>0</v>
      </c>
      <c r="AK90" s="26">
        <v>55.412445960270915</v>
      </c>
      <c r="AL90" s="26">
        <v>68.440931335099151</v>
      </c>
      <c r="AM90" s="26">
        <v>23.329199749422145</v>
      </c>
      <c r="AN90" s="26">
        <v>4.558539593766308E-2</v>
      </c>
      <c r="AO90" s="26">
        <v>0</v>
      </c>
      <c r="AP90" s="26">
        <v>0</v>
      </c>
      <c r="AQ90" s="26">
        <v>23.374785145359809</v>
      </c>
      <c r="AR90" s="26">
        <v>3.9350902744428655</v>
      </c>
      <c r="AS90" s="30">
        <v>5.9400886676403468</v>
      </c>
      <c r="AT90" s="26">
        <v>23.329199749422145</v>
      </c>
      <c r="AU90" s="26">
        <v>5.3959531183082901E-2</v>
      </c>
      <c r="AV90" s="26">
        <v>0</v>
      </c>
      <c r="AW90" s="26">
        <v>0</v>
      </c>
      <c r="AX90" s="26">
        <v>23.383159280605227</v>
      </c>
      <c r="AY90" s="26">
        <v>9.0933951003853757</v>
      </c>
      <c r="AZ90" s="30">
        <v>2.5714443310193631</v>
      </c>
      <c r="BA90" s="26">
        <v>23.329199749422145</v>
      </c>
      <c r="BB90" s="26">
        <v>9.9544927120745974E-2</v>
      </c>
      <c r="BC90" s="26">
        <v>0</v>
      </c>
      <c r="BD90" s="26">
        <v>0</v>
      </c>
      <c r="BE90" s="26">
        <v>23.428744676542891</v>
      </c>
      <c r="BF90" s="26">
        <v>13.028485374828241</v>
      </c>
      <c r="BG90" s="26">
        <v>19.613891547426089</v>
      </c>
      <c r="BH90" s="30">
        <v>1.7982707891593086</v>
      </c>
      <c r="BI90" s="26">
        <v>5.9697416183813576</v>
      </c>
      <c r="BJ90" s="26">
        <v>13.795164887504765</v>
      </c>
      <c r="BK90" s="26">
        <v>0</v>
      </c>
      <c r="BL90" s="26">
        <v>84.063633043887918</v>
      </c>
      <c r="BM90" s="26">
        <v>103.82853954977404</v>
      </c>
      <c r="BN90" s="26">
        <v>23.329199749422145</v>
      </c>
      <c r="BO90" s="26">
        <v>0</v>
      </c>
      <c r="BP90" s="26">
        <v>9.9544927120745974E-2</v>
      </c>
      <c r="BQ90" s="26">
        <v>0</v>
      </c>
      <c r="BR90" s="26">
        <v>0</v>
      </c>
      <c r="BS90" s="26">
        <v>0</v>
      </c>
      <c r="BT90" s="26">
        <v>0</v>
      </c>
      <c r="BU90" s="26">
        <v>0</v>
      </c>
      <c r="BV90" s="26">
        <v>0</v>
      </c>
      <c r="BW90" s="26">
        <v>0</v>
      </c>
      <c r="BX90" s="26">
        <v>68.440931335099151</v>
      </c>
      <c r="BY90" s="26"/>
      <c r="BZ90" s="26">
        <v>0</v>
      </c>
      <c r="CA90" s="26">
        <v>0</v>
      </c>
      <c r="CB90" s="26">
        <v>23.428744676542891</v>
      </c>
      <c r="CC90" s="26">
        <v>68.440931335099151</v>
      </c>
      <c r="CD90" s="742">
        <v>0.34232065840588183</v>
      </c>
      <c r="CE90" s="26">
        <v>103.677524591314</v>
      </c>
      <c r="CF90" s="26">
        <v>0.46078544870321808</v>
      </c>
      <c r="CG90" s="26">
        <v>0</v>
      </c>
      <c r="CH90" s="26">
        <v>0.46078544870321808</v>
      </c>
      <c r="CI90" s="26">
        <v>2.3038960994807726E-2</v>
      </c>
      <c r="CJ90" s="26">
        <v>0</v>
      </c>
      <c r="CK90" s="26">
        <v>2.3038960994807726E-2</v>
      </c>
      <c r="CL90" s="26"/>
      <c r="CM90" s="26">
        <v>0</v>
      </c>
      <c r="CN90" s="26"/>
      <c r="CO90" s="26">
        <v>0</v>
      </c>
      <c r="CP90" s="26">
        <v>0</v>
      </c>
      <c r="CQ90" s="26">
        <v>0</v>
      </c>
      <c r="CR90" s="26">
        <v>0</v>
      </c>
      <c r="CS90" s="26">
        <v>0</v>
      </c>
      <c r="CT90" s="26">
        <v>0</v>
      </c>
      <c r="CU90" s="26">
        <v>0</v>
      </c>
      <c r="CV90" s="26">
        <v>9999</v>
      </c>
      <c r="CW90" s="30">
        <v>9999</v>
      </c>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row>
    <row r="91" spans="1:131">
      <c r="A91" s="7" t="s">
        <v>1295</v>
      </c>
      <c r="B91" s="7" t="s">
        <v>1296</v>
      </c>
      <c r="C91" s="26">
        <v>5</v>
      </c>
      <c r="D91" s="26">
        <v>271.43251637852666</v>
      </c>
      <c r="E91" s="26">
        <v>0</v>
      </c>
      <c r="F91" s="26">
        <v>6.2666666666666666</v>
      </c>
      <c r="G91" s="26">
        <v>0</v>
      </c>
      <c r="H91" s="26">
        <v>0</v>
      </c>
      <c r="I91" s="26" t="s">
        <v>1288</v>
      </c>
      <c r="J91" s="26"/>
      <c r="K91" s="26"/>
      <c r="L91" s="26">
        <v>290.22000108964318</v>
      </c>
      <c r="M91" s="26">
        <v>7.7193468841383565E-4</v>
      </c>
      <c r="N91" s="26">
        <v>7.6636321000201832E-4</v>
      </c>
      <c r="O91" s="26">
        <v>0</v>
      </c>
      <c r="P91" s="26">
        <v>0</v>
      </c>
      <c r="Q91" s="26">
        <v>0</v>
      </c>
      <c r="R91" s="26">
        <v>1.2496570466136128</v>
      </c>
      <c r="S91" s="26">
        <v>2.8877673629602212</v>
      </c>
      <c r="T91" s="26">
        <v>0</v>
      </c>
      <c r="U91" s="26">
        <v>17.597195676572522</v>
      </c>
      <c r="V91" s="26" t="s">
        <v>1516</v>
      </c>
      <c r="W91" s="26" t="s">
        <v>1516</v>
      </c>
      <c r="X91" s="26" t="s">
        <v>1516</v>
      </c>
      <c r="Y91" s="26" t="s">
        <v>1516</v>
      </c>
      <c r="Z91" s="26">
        <v>0</v>
      </c>
      <c r="AA91" s="26">
        <v>0</v>
      </c>
      <c r="AB91" s="26">
        <v>0</v>
      </c>
      <c r="AC91" s="26">
        <v>0</v>
      </c>
      <c r="AD91" s="26">
        <v>0</v>
      </c>
      <c r="AE91" s="26">
        <v>0</v>
      </c>
      <c r="AF91" s="26">
        <v>0</v>
      </c>
      <c r="AG91" s="26">
        <v>0</v>
      </c>
      <c r="AH91" s="26">
        <v>1.2496570466136128</v>
      </c>
      <c r="AI91" s="26">
        <v>2.8877673629602212</v>
      </c>
      <c r="AJ91" s="26">
        <v>0</v>
      </c>
      <c r="AK91" s="26">
        <v>17.597195676572522</v>
      </c>
      <c r="AL91" s="26">
        <v>21.734620086146357</v>
      </c>
      <c r="AM91" s="26">
        <v>139.59115515913464</v>
      </c>
      <c r="AN91" s="26">
        <v>0.2727619526461692</v>
      </c>
      <c r="AO91" s="26">
        <v>0</v>
      </c>
      <c r="AP91" s="26">
        <v>0</v>
      </c>
      <c r="AQ91" s="26">
        <v>139.86391711178081</v>
      </c>
      <c r="AR91" s="26">
        <v>1.2496570466136128</v>
      </c>
      <c r="AS91" s="30">
        <v>111.92184086889399</v>
      </c>
      <c r="AT91" s="26">
        <v>139.59115515913464</v>
      </c>
      <c r="AU91" s="26">
        <v>0.32286890980383742</v>
      </c>
      <c r="AV91" s="26">
        <v>0</v>
      </c>
      <c r="AW91" s="26">
        <v>0</v>
      </c>
      <c r="AX91" s="26">
        <v>139.91402406893849</v>
      </c>
      <c r="AY91" s="26">
        <v>2.8877673629602212</v>
      </c>
      <c r="AZ91" s="30">
        <v>48.450587074131221</v>
      </c>
      <c r="BA91" s="26">
        <v>139.59115515913464</v>
      </c>
      <c r="BB91" s="26">
        <v>0.59563086245000663</v>
      </c>
      <c r="BC91" s="26">
        <v>0</v>
      </c>
      <c r="BD91" s="26">
        <v>0</v>
      </c>
      <c r="BE91" s="26">
        <v>140.18678602158465</v>
      </c>
      <c r="BF91" s="26">
        <v>4.1374244095738337</v>
      </c>
      <c r="BG91" s="26">
        <v>0.89797866281282523</v>
      </c>
      <c r="BH91" s="30">
        <v>33.882621685413291</v>
      </c>
      <c r="BI91" s="26">
        <v>0.31683534027667659</v>
      </c>
      <c r="BJ91" s="26">
        <v>0.73215828099617752</v>
      </c>
      <c r="BK91" s="26">
        <v>0</v>
      </c>
      <c r="BL91" s="26">
        <v>4.4615548683622199</v>
      </c>
      <c r="BM91" s="26">
        <v>5.5105484896350747</v>
      </c>
      <c r="BN91" s="26">
        <v>139.59115515913464</v>
      </c>
      <c r="BO91" s="26">
        <v>0</v>
      </c>
      <c r="BP91" s="26">
        <v>0.59563086245000663</v>
      </c>
      <c r="BQ91" s="26">
        <v>0</v>
      </c>
      <c r="BR91" s="26">
        <v>0</v>
      </c>
      <c r="BS91" s="26">
        <v>0</v>
      </c>
      <c r="BT91" s="26">
        <v>0</v>
      </c>
      <c r="BU91" s="26">
        <v>0</v>
      </c>
      <c r="BV91" s="26">
        <v>0</v>
      </c>
      <c r="BW91" s="26">
        <v>0</v>
      </c>
      <c r="BX91" s="26">
        <v>21.734620086146357</v>
      </c>
      <c r="BY91" s="26"/>
      <c r="BZ91" s="26">
        <v>0</v>
      </c>
      <c r="CA91" s="26">
        <v>0</v>
      </c>
      <c r="CB91" s="26">
        <v>140.18678602158465</v>
      </c>
      <c r="CC91" s="26">
        <v>21.734620086146357</v>
      </c>
      <c r="CD91" s="30">
        <v>6.449930362985258</v>
      </c>
      <c r="CE91" s="26">
        <v>5.3595335311750425</v>
      </c>
      <c r="CF91" s="26">
        <v>2.7571272806558902</v>
      </c>
      <c r="CG91" s="26">
        <v>0</v>
      </c>
      <c r="CH91" s="26">
        <v>2.7571272806558902</v>
      </c>
      <c r="CI91" s="26">
        <v>0.13785450051758047</v>
      </c>
      <c r="CJ91" s="26">
        <v>0</v>
      </c>
      <c r="CK91" s="26">
        <v>0.13785450051758047</v>
      </c>
      <c r="CL91" s="26"/>
      <c r="CM91" s="26">
        <v>0</v>
      </c>
      <c r="CN91" s="26"/>
      <c r="CO91" s="26">
        <v>0</v>
      </c>
      <c r="CP91" s="26">
        <v>0</v>
      </c>
      <c r="CQ91" s="26">
        <v>0</v>
      </c>
      <c r="CR91" s="26">
        <v>0</v>
      </c>
      <c r="CS91" s="26">
        <v>0</v>
      </c>
      <c r="CT91" s="26">
        <v>0</v>
      </c>
      <c r="CU91" s="26">
        <v>0</v>
      </c>
      <c r="CV91" s="26">
        <v>9999</v>
      </c>
      <c r="CW91" s="30">
        <v>9999</v>
      </c>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row>
    <row r="92" spans="1:131">
      <c r="A92" s="7" t="s">
        <v>1297</v>
      </c>
      <c r="B92" s="7" t="s">
        <v>1298</v>
      </c>
      <c r="C92" s="26">
        <v>5</v>
      </c>
      <c r="D92" s="26">
        <v>281.32055891100703</v>
      </c>
      <c r="E92" s="26">
        <v>0</v>
      </c>
      <c r="F92" s="26">
        <v>21.866666666666667</v>
      </c>
      <c r="G92" s="26">
        <v>0</v>
      </c>
      <c r="H92" s="26">
        <v>0</v>
      </c>
      <c r="I92" s="26" t="s">
        <v>1288</v>
      </c>
      <c r="J92" s="26"/>
      <c r="K92" s="26"/>
      <c r="L92" s="26">
        <v>300.79245479872253</v>
      </c>
      <c r="M92" s="26">
        <v>8.0005557508272865E-4</v>
      </c>
      <c r="N92" s="26">
        <v>7.9428113272156625E-4</v>
      </c>
      <c r="O92" s="26">
        <v>0</v>
      </c>
      <c r="P92" s="26">
        <v>0</v>
      </c>
      <c r="Q92" s="26">
        <v>0</v>
      </c>
      <c r="R92" s="26">
        <v>4.3605054392474996</v>
      </c>
      <c r="S92" s="26">
        <v>10.07646484096758</v>
      </c>
      <c r="T92" s="26">
        <v>0</v>
      </c>
      <c r="U92" s="26">
        <v>61.40298065867858</v>
      </c>
      <c r="V92" s="26" t="s">
        <v>1516</v>
      </c>
      <c r="W92" s="26" t="s">
        <v>1516</v>
      </c>
      <c r="X92" s="26" t="s">
        <v>1516</v>
      </c>
      <c r="Y92" s="26" t="s">
        <v>1516</v>
      </c>
      <c r="Z92" s="26">
        <v>0</v>
      </c>
      <c r="AA92" s="26">
        <v>0</v>
      </c>
      <c r="AB92" s="26">
        <v>0</v>
      </c>
      <c r="AC92" s="26">
        <v>0</v>
      </c>
      <c r="AD92" s="26">
        <v>0</v>
      </c>
      <c r="AE92" s="26">
        <v>0</v>
      </c>
      <c r="AF92" s="26">
        <v>0</v>
      </c>
      <c r="AG92" s="26">
        <v>0</v>
      </c>
      <c r="AH92" s="26">
        <v>4.3605054392474996</v>
      </c>
      <c r="AI92" s="26">
        <v>10.07646484096758</v>
      </c>
      <c r="AJ92" s="26">
        <v>0</v>
      </c>
      <c r="AK92" s="26">
        <v>61.40298065867858</v>
      </c>
      <c r="AL92" s="26">
        <v>75.839950938893651</v>
      </c>
      <c r="AM92" s="26">
        <v>144.67633543814983</v>
      </c>
      <c r="AN92" s="26">
        <v>0.28269842534661205</v>
      </c>
      <c r="AO92" s="26">
        <v>0</v>
      </c>
      <c r="AP92" s="26">
        <v>0</v>
      </c>
      <c r="AQ92" s="26">
        <v>144.95903386349644</v>
      </c>
      <c r="AR92" s="26">
        <v>4.3605054392474996</v>
      </c>
      <c r="AS92" s="30">
        <v>33.24363101551647</v>
      </c>
      <c r="AT92" s="26">
        <v>144.67633543814983</v>
      </c>
      <c r="AU92" s="26">
        <v>0.33463073390343701</v>
      </c>
      <c r="AV92" s="26">
        <v>0</v>
      </c>
      <c r="AW92" s="26">
        <v>0</v>
      </c>
      <c r="AX92" s="26">
        <v>145.01096617205326</v>
      </c>
      <c r="AY92" s="26">
        <v>10.07646484096758</v>
      </c>
      <c r="AZ92" s="30">
        <v>14.391055639125195</v>
      </c>
      <c r="BA92" s="26">
        <v>144.67633543814983</v>
      </c>
      <c r="BB92" s="26">
        <v>0.61732915925004905</v>
      </c>
      <c r="BC92" s="26">
        <v>0</v>
      </c>
      <c r="BD92" s="26">
        <v>0</v>
      </c>
      <c r="BE92" s="26">
        <v>145.29366459739987</v>
      </c>
      <c r="BF92" s="26">
        <v>14.436970280215078</v>
      </c>
      <c r="BG92" s="26">
        <v>3.3806479064594543</v>
      </c>
      <c r="BH92" s="30">
        <v>10.063999701967616</v>
      </c>
      <c r="BI92" s="26">
        <v>1.0666943848443242</v>
      </c>
      <c r="BJ92" s="26">
        <v>2.4649684800751595</v>
      </c>
      <c r="BK92" s="26">
        <v>0</v>
      </c>
      <c r="BL92" s="26">
        <v>15.020784997030123</v>
      </c>
      <c r="BM92" s="26">
        <v>18.552447861949606</v>
      </c>
      <c r="BN92" s="26">
        <v>144.67633543814983</v>
      </c>
      <c r="BO92" s="26">
        <v>0</v>
      </c>
      <c r="BP92" s="26">
        <v>0.61732915925004905</v>
      </c>
      <c r="BQ92" s="26">
        <v>0</v>
      </c>
      <c r="BR92" s="26">
        <v>0</v>
      </c>
      <c r="BS92" s="26">
        <v>0</v>
      </c>
      <c r="BT92" s="26">
        <v>0</v>
      </c>
      <c r="BU92" s="26">
        <v>0</v>
      </c>
      <c r="BV92" s="26">
        <v>0</v>
      </c>
      <c r="BW92" s="26">
        <v>0</v>
      </c>
      <c r="BX92" s="26">
        <v>75.839950938893651</v>
      </c>
      <c r="BY92" s="26"/>
      <c r="BZ92" s="26">
        <v>0</v>
      </c>
      <c r="CA92" s="26">
        <v>0</v>
      </c>
      <c r="CB92" s="26">
        <v>145.29366459739987</v>
      </c>
      <c r="CC92" s="26">
        <v>75.839950938893651</v>
      </c>
      <c r="CD92" s="30">
        <v>1.9157932303314251</v>
      </c>
      <c r="CE92" s="26">
        <v>18.401432903489578</v>
      </c>
      <c r="CF92" s="26">
        <v>2.8575669486158244</v>
      </c>
      <c r="CG92" s="26">
        <v>0</v>
      </c>
      <c r="CH92" s="26">
        <v>2.8575669486158244</v>
      </c>
      <c r="CI92" s="26">
        <v>0.14287641602939319</v>
      </c>
      <c r="CJ92" s="26">
        <v>0</v>
      </c>
      <c r="CK92" s="26">
        <v>0.14287641602939319</v>
      </c>
      <c r="CL92" s="26"/>
      <c r="CM92" s="26">
        <v>0</v>
      </c>
      <c r="CN92" s="26"/>
      <c r="CO92" s="26">
        <v>0</v>
      </c>
      <c r="CP92" s="26">
        <v>0</v>
      </c>
      <c r="CQ92" s="26">
        <v>0</v>
      </c>
      <c r="CR92" s="26">
        <v>0</v>
      </c>
      <c r="CS92" s="26">
        <v>0</v>
      </c>
      <c r="CT92" s="26">
        <v>0</v>
      </c>
      <c r="CU92" s="26">
        <v>0</v>
      </c>
      <c r="CV92" s="26">
        <v>9999</v>
      </c>
      <c r="CW92" s="30">
        <v>9999</v>
      </c>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row>
    <row r="93" spans="1:131">
      <c r="A93" s="7" t="s">
        <v>1299</v>
      </c>
      <c r="B93" s="7" t="s">
        <v>1300</v>
      </c>
      <c r="C93" s="26">
        <v>8</v>
      </c>
      <c r="D93" s="26">
        <v>135.05767532907163</v>
      </c>
      <c r="E93" s="26">
        <v>0</v>
      </c>
      <c r="F93" s="26">
        <v>28.8</v>
      </c>
      <c r="G93" s="26">
        <v>0</v>
      </c>
      <c r="H93" s="26">
        <v>0</v>
      </c>
      <c r="I93" s="26" t="s">
        <v>1288</v>
      </c>
      <c r="J93" s="26"/>
      <c r="K93" s="26"/>
      <c r="L93" s="26">
        <v>144.40583318509411</v>
      </c>
      <c r="M93" s="26">
        <v>3.8409438159448049E-4</v>
      </c>
      <c r="N93" s="26">
        <v>3.8132216059279033E-4</v>
      </c>
      <c r="O93" s="26">
        <v>0</v>
      </c>
      <c r="P93" s="26">
        <v>0</v>
      </c>
      <c r="Q93" s="26">
        <v>0</v>
      </c>
      <c r="R93" s="26">
        <v>5.74310472486256</v>
      </c>
      <c r="S93" s="26">
        <v>13.271441497859739</v>
      </c>
      <c r="T93" s="26">
        <v>0</v>
      </c>
      <c r="U93" s="26">
        <v>46.062527454630569</v>
      </c>
      <c r="V93" s="26" t="s">
        <v>1516</v>
      </c>
      <c r="W93" s="26" t="s">
        <v>1516</v>
      </c>
      <c r="X93" s="26" t="s">
        <v>1516</v>
      </c>
      <c r="Y93" s="26" t="s">
        <v>1516</v>
      </c>
      <c r="Z93" s="26">
        <v>0</v>
      </c>
      <c r="AA93" s="26">
        <v>0</v>
      </c>
      <c r="AB93" s="26">
        <v>0</v>
      </c>
      <c r="AC93" s="26">
        <v>0</v>
      </c>
      <c r="AD93" s="26">
        <v>0</v>
      </c>
      <c r="AE93" s="26">
        <v>0</v>
      </c>
      <c r="AF93" s="26">
        <v>0</v>
      </c>
      <c r="AG93" s="26">
        <v>0</v>
      </c>
      <c r="AH93" s="26">
        <v>5.74310472486256</v>
      </c>
      <c r="AI93" s="26">
        <v>13.271441497859739</v>
      </c>
      <c r="AJ93" s="26">
        <v>0</v>
      </c>
      <c r="AK93" s="26">
        <v>46.062527454630569</v>
      </c>
      <c r="AL93" s="26">
        <v>65.077073677352871</v>
      </c>
      <c r="AM93" s="26">
        <v>69.456884399219049</v>
      </c>
      <c r="AN93" s="26">
        <v>0.135719167821576</v>
      </c>
      <c r="AO93" s="26">
        <v>0</v>
      </c>
      <c r="AP93" s="26">
        <v>0</v>
      </c>
      <c r="AQ93" s="26">
        <v>69.592603567040626</v>
      </c>
      <c r="AR93" s="26">
        <v>5.74310472486256</v>
      </c>
      <c r="AS93" s="30">
        <v>12.117592643882368</v>
      </c>
      <c r="AT93" s="26">
        <v>69.456884399219049</v>
      </c>
      <c r="AU93" s="26">
        <v>0.16065107075575008</v>
      </c>
      <c r="AV93" s="26">
        <v>0</v>
      </c>
      <c r="AW93" s="26">
        <v>0</v>
      </c>
      <c r="AX93" s="26">
        <v>69.617535469974797</v>
      </c>
      <c r="AY93" s="26">
        <v>13.271441497859739</v>
      </c>
      <c r="AZ93" s="30">
        <v>5.2456649476397788</v>
      </c>
      <c r="BA93" s="26">
        <v>69.456884399219049</v>
      </c>
      <c r="BB93" s="26">
        <v>0.29637023857732608</v>
      </c>
      <c r="BC93" s="26">
        <v>0</v>
      </c>
      <c r="BD93" s="26">
        <v>0</v>
      </c>
      <c r="BE93" s="26">
        <v>69.753254637796374</v>
      </c>
      <c r="BF93" s="26">
        <v>19.014546222722299</v>
      </c>
      <c r="BG93" s="26">
        <v>9.5378152079722351</v>
      </c>
      <c r="BH93" s="30">
        <v>3.6684154236845021</v>
      </c>
      <c r="BI93" s="26">
        <v>2.9263893892315838</v>
      </c>
      <c r="BJ93" s="26">
        <v>6.7624407772006778</v>
      </c>
      <c r="BK93" s="26">
        <v>0</v>
      </c>
      <c r="BL93" s="26">
        <v>23.471083680725545</v>
      </c>
      <c r="BM93" s="26">
        <v>33.15991384715781</v>
      </c>
      <c r="BN93" s="26">
        <v>69.456884399219049</v>
      </c>
      <c r="BO93" s="26">
        <v>0</v>
      </c>
      <c r="BP93" s="26">
        <v>0.29637023857732608</v>
      </c>
      <c r="BQ93" s="26">
        <v>0</v>
      </c>
      <c r="BR93" s="26">
        <v>0</v>
      </c>
      <c r="BS93" s="26">
        <v>0</v>
      </c>
      <c r="BT93" s="26">
        <v>0</v>
      </c>
      <c r="BU93" s="26">
        <v>0</v>
      </c>
      <c r="BV93" s="26">
        <v>0</v>
      </c>
      <c r="BW93" s="26">
        <v>0</v>
      </c>
      <c r="BX93" s="26">
        <v>65.077073677352871</v>
      </c>
      <c r="BY93" s="26"/>
      <c r="BZ93" s="26">
        <v>0</v>
      </c>
      <c r="CA93" s="26">
        <v>0</v>
      </c>
      <c r="CB93" s="26">
        <v>69.753254637796374</v>
      </c>
      <c r="CC93" s="26">
        <v>65.077073677352871</v>
      </c>
      <c r="CD93" s="30">
        <v>1.0718560423234094</v>
      </c>
      <c r="CE93" s="26">
        <v>33.008898888697779</v>
      </c>
      <c r="CF93" s="26">
        <v>1.3718739599807517</v>
      </c>
      <c r="CG93" s="26">
        <v>0</v>
      </c>
      <c r="CH93" s="26">
        <v>1.3718739599807517</v>
      </c>
      <c r="CI93" s="26">
        <v>6.8592770762919711E-2</v>
      </c>
      <c r="CJ93" s="26">
        <v>0</v>
      </c>
      <c r="CK93" s="26">
        <v>6.8592770762919711E-2</v>
      </c>
      <c r="CL93" s="26"/>
      <c r="CM93" s="26">
        <v>0</v>
      </c>
      <c r="CN93" s="26"/>
      <c r="CO93" s="26">
        <v>0</v>
      </c>
      <c r="CP93" s="26">
        <v>0</v>
      </c>
      <c r="CQ93" s="26">
        <v>0</v>
      </c>
      <c r="CR93" s="26">
        <v>0</v>
      </c>
      <c r="CS93" s="26">
        <v>0</v>
      </c>
      <c r="CT93" s="26">
        <v>0</v>
      </c>
      <c r="CU93" s="26">
        <v>0</v>
      </c>
      <c r="CV93" s="26">
        <v>9999</v>
      </c>
      <c r="CW93" s="30">
        <v>9999</v>
      </c>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row>
    <row r="94" spans="1:131">
      <c r="A94" s="7" t="s">
        <v>1301</v>
      </c>
      <c r="B94" s="7" t="s">
        <v>1302</v>
      </c>
      <c r="C94" s="26">
        <v>10</v>
      </c>
      <c r="D94" s="26">
        <v>233.7487263782885</v>
      </c>
      <c r="E94" s="26">
        <v>0</v>
      </c>
      <c r="F94" s="26">
        <v>160</v>
      </c>
      <c r="G94" s="26">
        <v>0</v>
      </c>
      <c r="H94" s="26">
        <v>0</v>
      </c>
      <c r="I94" s="26" t="s">
        <v>1288</v>
      </c>
      <c r="J94" s="26"/>
      <c r="K94" s="26"/>
      <c r="L94" s="26">
        <v>249.92788826230839</v>
      </c>
      <c r="M94" s="26">
        <v>6.64764681370466E-4</v>
      </c>
      <c r="N94" s="26">
        <v>6.5996670800978622E-4</v>
      </c>
      <c r="O94" s="26">
        <v>0</v>
      </c>
      <c r="P94" s="26">
        <v>0</v>
      </c>
      <c r="Q94" s="26">
        <v>0</v>
      </c>
      <c r="R94" s="26">
        <v>31.906137360347557</v>
      </c>
      <c r="S94" s="26">
        <v>73.730230543665215</v>
      </c>
      <c r="T94" s="26">
        <v>0</v>
      </c>
      <c r="U94" s="26">
        <v>191.76973147720528</v>
      </c>
      <c r="V94" s="26" t="s">
        <v>1516</v>
      </c>
      <c r="W94" s="26" t="s">
        <v>1516</v>
      </c>
      <c r="X94" s="26" t="s">
        <v>1516</v>
      </c>
      <c r="Y94" s="26" t="s">
        <v>1516</v>
      </c>
      <c r="Z94" s="26">
        <v>0</v>
      </c>
      <c r="AA94" s="26">
        <v>0</v>
      </c>
      <c r="AB94" s="26">
        <v>0</v>
      </c>
      <c r="AC94" s="26">
        <v>0</v>
      </c>
      <c r="AD94" s="26">
        <v>0</v>
      </c>
      <c r="AE94" s="26">
        <v>0</v>
      </c>
      <c r="AF94" s="26">
        <v>0</v>
      </c>
      <c r="AG94" s="26">
        <v>0</v>
      </c>
      <c r="AH94" s="26">
        <v>31.906137360347557</v>
      </c>
      <c r="AI94" s="26">
        <v>73.730230543665215</v>
      </c>
      <c r="AJ94" s="26">
        <v>0</v>
      </c>
      <c r="AK94" s="26">
        <v>191.76973147720528</v>
      </c>
      <c r="AL94" s="26">
        <v>297.40609938121804</v>
      </c>
      <c r="AM94" s="26">
        <v>120.21129659579394</v>
      </c>
      <c r="AN94" s="26">
        <v>0.23489359302326038</v>
      </c>
      <c r="AO94" s="26">
        <v>0</v>
      </c>
      <c r="AP94" s="26">
        <v>0</v>
      </c>
      <c r="AQ94" s="26">
        <v>120.4461901888172</v>
      </c>
      <c r="AR94" s="26">
        <v>31.906137360347557</v>
      </c>
      <c r="AS94" s="30">
        <v>3.7750163496288907</v>
      </c>
      <c r="AT94" s="26">
        <v>120.21129659579394</v>
      </c>
      <c r="AU94" s="26">
        <v>0.27804405109867675</v>
      </c>
      <c r="AV94" s="26">
        <v>0</v>
      </c>
      <c r="AW94" s="26">
        <v>0</v>
      </c>
      <c r="AX94" s="26">
        <v>120.48934064689261</v>
      </c>
      <c r="AY94" s="26">
        <v>73.730230543665215</v>
      </c>
      <c r="AZ94" s="30">
        <v>1.6341918336405483</v>
      </c>
      <c r="BA94" s="26">
        <v>120.21129659579394</v>
      </c>
      <c r="BB94" s="26">
        <v>0.5129376441219371</v>
      </c>
      <c r="BC94" s="26">
        <v>0</v>
      </c>
      <c r="BD94" s="26">
        <v>0</v>
      </c>
      <c r="BE94" s="26">
        <v>120.72423423991587</v>
      </c>
      <c r="BF94" s="26">
        <v>105.63636790401277</v>
      </c>
      <c r="BG94" s="26">
        <v>30.949591311530536</v>
      </c>
      <c r="BH94" s="30">
        <v>1.1428283330378493</v>
      </c>
      <c r="BI94" s="26">
        <v>9.3935472728678633</v>
      </c>
      <c r="BJ94" s="26">
        <v>21.707058997122701</v>
      </c>
      <c r="BK94" s="26">
        <v>0</v>
      </c>
      <c r="BL94" s="26">
        <v>56.459295520210887</v>
      </c>
      <c r="BM94" s="26">
        <v>87.559901790201437</v>
      </c>
      <c r="BN94" s="26">
        <v>120.21129659579394</v>
      </c>
      <c r="BO94" s="26">
        <v>0</v>
      </c>
      <c r="BP94" s="26">
        <v>0.5129376441219371</v>
      </c>
      <c r="BQ94" s="26">
        <v>0</v>
      </c>
      <c r="BR94" s="26">
        <v>0</v>
      </c>
      <c r="BS94" s="26">
        <v>0</v>
      </c>
      <c r="BT94" s="26">
        <v>0</v>
      </c>
      <c r="BU94" s="26">
        <v>0</v>
      </c>
      <c r="BV94" s="26">
        <v>0</v>
      </c>
      <c r="BW94" s="26">
        <v>0</v>
      </c>
      <c r="BX94" s="26">
        <v>297.40609938121804</v>
      </c>
      <c r="BY94" s="26"/>
      <c r="BZ94" s="26">
        <v>0</v>
      </c>
      <c r="CA94" s="26">
        <v>0</v>
      </c>
      <c r="CB94" s="26">
        <v>120.72423423991587</v>
      </c>
      <c r="CC94" s="26">
        <v>297.40609938121804</v>
      </c>
      <c r="CD94" s="742">
        <v>0.40592386804135572</v>
      </c>
      <c r="CE94" s="26">
        <v>87.408886831741427</v>
      </c>
      <c r="CF94" s="26">
        <v>2.3743470344481303</v>
      </c>
      <c r="CG94" s="26">
        <v>0</v>
      </c>
      <c r="CH94" s="26">
        <v>2.3743470344481303</v>
      </c>
      <c r="CI94" s="26">
        <v>0.11871574692459647</v>
      </c>
      <c r="CJ94" s="26">
        <v>0</v>
      </c>
      <c r="CK94" s="26">
        <v>0.11871574692459647</v>
      </c>
      <c r="CL94" s="26"/>
      <c r="CM94" s="26">
        <v>0</v>
      </c>
      <c r="CN94" s="26"/>
      <c r="CO94" s="26">
        <v>0</v>
      </c>
      <c r="CP94" s="26">
        <v>0</v>
      </c>
      <c r="CQ94" s="26">
        <v>0</v>
      </c>
      <c r="CR94" s="26">
        <v>0</v>
      </c>
      <c r="CS94" s="26">
        <v>0</v>
      </c>
      <c r="CT94" s="26">
        <v>0</v>
      </c>
      <c r="CU94" s="26">
        <v>0</v>
      </c>
      <c r="CV94" s="26">
        <v>9999</v>
      </c>
      <c r="CW94" s="30">
        <v>9999</v>
      </c>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row>
    <row r="95" spans="1:131">
      <c r="A95" s="7" t="s">
        <v>1303</v>
      </c>
      <c r="B95" s="7" t="s">
        <v>1304</v>
      </c>
      <c r="C95" s="26">
        <v>5</v>
      </c>
      <c r="D95" s="26">
        <v>67.30829706270498</v>
      </c>
      <c r="E95" s="26">
        <v>0</v>
      </c>
      <c r="F95" s="26">
        <v>5.2</v>
      </c>
      <c r="G95" s="26">
        <v>0</v>
      </c>
      <c r="H95" s="26">
        <v>0</v>
      </c>
      <c r="I95" s="26" t="s">
        <v>1288</v>
      </c>
      <c r="J95" s="26"/>
      <c r="K95" s="26"/>
      <c r="L95" s="26">
        <v>71.967111042948147</v>
      </c>
      <c r="M95" s="26">
        <v>1.9141998907863894E-4</v>
      </c>
      <c r="N95" s="26">
        <v>1.9003840543853416E-4</v>
      </c>
      <c r="O95" s="26">
        <v>0</v>
      </c>
      <c r="P95" s="26">
        <v>0</v>
      </c>
      <c r="Q95" s="26">
        <v>0</v>
      </c>
      <c r="R95" s="26">
        <v>1.0369494642112955</v>
      </c>
      <c r="S95" s="26">
        <v>2.3962324926691196</v>
      </c>
      <c r="T95" s="26">
        <v>0</v>
      </c>
      <c r="U95" s="26">
        <v>14.601928327368688</v>
      </c>
      <c r="V95" s="26" t="s">
        <v>1516</v>
      </c>
      <c r="W95" s="26" t="s">
        <v>1516</v>
      </c>
      <c r="X95" s="26" t="s">
        <v>1516</v>
      </c>
      <c r="Y95" s="26" t="s">
        <v>1516</v>
      </c>
      <c r="Z95" s="26">
        <v>0</v>
      </c>
      <c r="AA95" s="26">
        <v>0</v>
      </c>
      <c r="AB95" s="26">
        <v>0</v>
      </c>
      <c r="AC95" s="26">
        <v>0</v>
      </c>
      <c r="AD95" s="26">
        <v>0</v>
      </c>
      <c r="AE95" s="26">
        <v>0</v>
      </c>
      <c r="AF95" s="26">
        <v>0</v>
      </c>
      <c r="AG95" s="26">
        <v>0</v>
      </c>
      <c r="AH95" s="26">
        <v>1.0369494642112955</v>
      </c>
      <c r="AI95" s="26">
        <v>2.3962324926691196</v>
      </c>
      <c r="AJ95" s="26">
        <v>0</v>
      </c>
      <c r="AK95" s="26">
        <v>14.601928327368688</v>
      </c>
      <c r="AL95" s="26">
        <v>18.035110284249104</v>
      </c>
      <c r="AM95" s="26">
        <v>34.615023520890425</v>
      </c>
      <c r="AN95" s="26">
        <v>6.7637963133750159E-2</v>
      </c>
      <c r="AO95" s="26">
        <v>0</v>
      </c>
      <c r="AP95" s="26">
        <v>0</v>
      </c>
      <c r="AQ95" s="26">
        <v>34.682661484024173</v>
      </c>
      <c r="AR95" s="26">
        <v>1.0369494642112955</v>
      </c>
      <c r="AS95" s="30">
        <v>33.446819426637951</v>
      </c>
      <c r="AT95" s="26">
        <v>34.615023520890425</v>
      </c>
      <c r="AU95" s="26">
        <v>8.0063202387595789E-2</v>
      </c>
      <c r="AV95" s="26">
        <v>0</v>
      </c>
      <c r="AW95" s="26">
        <v>0</v>
      </c>
      <c r="AX95" s="26">
        <v>34.695086723278024</v>
      </c>
      <c r="AY95" s="26">
        <v>2.3962324926691196</v>
      </c>
      <c r="AZ95" s="30">
        <v>14.479015216353986</v>
      </c>
      <c r="BA95" s="26">
        <v>34.615023520890425</v>
      </c>
      <c r="BB95" s="26">
        <v>0.14770116552134593</v>
      </c>
      <c r="BC95" s="26">
        <v>0</v>
      </c>
      <c r="BD95" s="26">
        <v>0</v>
      </c>
      <c r="BE95" s="26">
        <v>34.762724686411772</v>
      </c>
      <c r="BF95" s="26">
        <v>3.4331819568804152</v>
      </c>
      <c r="BG95" s="26">
        <v>3.3591931619294493</v>
      </c>
      <c r="BH95" s="30">
        <v>10.125511878781737</v>
      </c>
      <c r="BI95" s="26">
        <v>1.060214248887478</v>
      </c>
      <c r="BJ95" s="26">
        <v>2.4499938715020031</v>
      </c>
      <c r="BK95" s="26">
        <v>0</v>
      </c>
      <c r="BL95" s="26">
        <v>14.929534184855354</v>
      </c>
      <c r="BM95" s="26">
        <v>18.439742305244838</v>
      </c>
      <c r="BN95" s="26">
        <v>34.615023520890425</v>
      </c>
      <c r="BO95" s="26">
        <v>0</v>
      </c>
      <c r="BP95" s="26">
        <v>0.14770116552134593</v>
      </c>
      <c r="BQ95" s="26">
        <v>0</v>
      </c>
      <c r="BR95" s="26">
        <v>0</v>
      </c>
      <c r="BS95" s="26">
        <v>0</v>
      </c>
      <c r="BT95" s="26">
        <v>0</v>
      </c>
      <c r="BU95" s="26">
        <v>0</v>
      </c>
      <c r="BV95" s="26">
        <v>0</v>
      </c>
      <c r="BW95" s="26">
        <v>0</v>
      </c>
      <c r="BX95" s="26">
        <v>18.035110284249104</v>
      </c>
      <c r="BY95" s="26"/>
      <c r="BZ95" s="26">
        <v>0</v>
      </c>
      <c r="CA95" s="26">
        <v>0</v>
      </c>
      <c r="CB95" s="26">
        <v>34.762724686411772</v>
      </c>
      <c r="CC95" s="26">
        <v>18.035110284249104</v>
      </c>
      <c r="CD95" s="30">
        <v>1.9275027509408504</v>
      </c>
      <c r="CE95" s="26">
        <v>18.288727346784807</v>
      </c>
      <c r="CF95" s="26">
        <v>0.68369679698683283</v>
      </c>
      <c r="CG95" s="26">
        <v>0</v>
      </c>
      <c r="CH95" s="26">
        <v>0.68369679698683283</v>
      </c>
      <c r="CI95" s="26">
        <v>3.4184377745400361E-2</v>
      </c>
      <c r="CJ95" s="26">
        <v>0</v>
      </c>
      <c r="CK95" s="26">
        <v>3.4184377745400361E-2</v>
      </c>
      <c r="CL95" s="26"/>
      <c r="CM95" s="26">
        <v>0</v>
      </c>
      <c r="CN95" s="26"/>
      <c r="CO95" s="26">
        <v>0</v>
      </c>
      <c r="CP95" s="26">
        <v>0</v>
      </c>
      <c r="CQ95" s="26">
        <v>0</v>
      </c>
      <c r="CR95" s="26">
        <v>0</v>
      </c>
      <c r="CS95" s="26">
        <v>0</v>
      </c>
      <c r="CT95" s="26">
        <v>0</v>
      </c>
      <c r="CU95" s="26">
        <v>0</v>
      </c>
      <c r="CV95" s="26">
        <v>9999</v>
      </c>
      <c r="CW95" s="30">
        <v>9999</v>
      </c>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row>
    <row r="96" spans="1:131">
      <c r="A96" s="7" t="s">
        <v>1305</v>
      </c>
      <c r="B96" s="7" t="s">
        <v>1306</v>
      </c>
      <c r="C96" s="26">
        <v>5</v>
      </c>
      <c r="D96" s="26">
        <v>94.440570504341878</v>
      </c>
      <c r="E96" s="26">
        <v>0</v>
      </c>
      <c r="F96" s="26">
        <v>24.253499999999999</v>
      </c>
      <c r="G96" s="26">
        <v>0</v>
      </c>
      <c r="H96" s="26">
        <v>0</v>
      </c>
      <c r="I96" s="26" t="s">
        <v>1288</v>
      </c>
      <c r="J96" s="26"/>
      <c r="K96" s="26"/>
      <c r="L96" s="26">
        <v>100.97737308839594</v>
      </c>
      <c r="M96" s="26">
        <v>2.6858223671414699E-4</v>
      </c>
      <c r="N96" s="26">
        <v>2.666437305735235E-4</v>
      </c>
      <c r="O96" s="26">
        <v>0</v>
      </c>
      <c r="P96" s="26">
        <v>0</v>
      </c>
      <c r="Q96" s="26">
        <v>0</v>
      </c>
      <c r="R96" s="26">
        <v>4.836471890432434</v>
      </c>
      <c r="S96" s="26">
        <v>11.176350915567401</v>
      </c>
      <c r="T96" s="26">
        <v>0</v>
      </c>
      <c r="U96" s="26">
        <v>68.105359363045466</v>
      </c>
      <c r="V96" s="26" t="s">
        <v>1516</v>
      </c>
      <c r="W96" s="26" t="s">
        <v>1516</v>
      </c>
      <c r="X96" s="26" t="s">
        <v>1516</v>
      </c>
      <c r="Y96" s="26" t="s">
        <v>1516</v>
      </c>
      <c r="Z96" s="26">
        <v>0</v>
      </c>
      <c r="AA96" s="26">
        <v>0</v>
      </c>
      <c r="AB96" s="26">
        <v>0</v>
      </c>
      <c r="AC96" s="26">
        <v>0</v>
      </c>
      <c r="AD96" s="26">
        <v>0</v>
      </c>
      <c r="AE96" s="26">
        <v>0</v>
      </c>
      <c r="AF96" s="26">
        <v>0</v>
      </c>
      <c r="AG96" s="26">
        <v>0</v>
      </c>
      <c r="AH96" s="26">
        <v>4.836471890432434</v>
      </c>
      <c r="AI96" s="26">
        <v>11.176350915567401</v>
      </c>
      <c r="AJ96" s="26">
        <v>0</v>
      </c>
      <c r="AK96" s="26">
        <v>68.105359363045466</v>
      </c>
      <c r="AL96" s="26">
        <v>84.118182169045298</v>
      </c>
      <c r="AM96" s="26">
        <v>48.568493216944916</v>
      </c>
      <c r="AN96" s="26">
        <v>9.4903126432572094E-2</v>
      </c>
      <c r="AO96" s="26">
        <v>0</v>
      </c>
      <c r="AP96" s="26">
        <v>0</v>
      </c>
      <c r="AQ96" s="26">
        <v>48.663396343377485</v>
      </c>
      <c r="AR96" s="26">
        <v>4.836471890432434</v>
      </c>
      <c r="AS96" s="30">
        <v>10.061755231048483</v>
      </c>
      <c r="AT96" s="26">
        <v>48.568493216944916</v>
      </c>
      <c r="AU96" s="26">
        <v>0.11233703480634848</v>
      </c>
      <c r="AV96" s="26">
        <v>0</v>
      </c>
      <c r="AW96" s="26">
        <v>0</v>
      </c>
      <c r="AX96" s="26">
        <v>48.680830251751267</v>
      </c>
      <c r="AY96" s="26">
        <v>11.176350915567401</v>
      </c>
      <c r="AZ96" s="30">
        <v>4.3556998719451752</v>
      </c>
      <c r="BA96" s="26">
        <v>48.568493216944916</v>
      </c>
      <c r="BB96" s="26">
        <v>0.20724016123892058</v>
      </c>
      <c r="BC96" s="26">
        <v>0</v>
      </c>
      <c r="BD96" s="26">
        <v>0</v>
      </c>
      <c r="BE96" s="26">
        <v>48.775733378183837</v>
      </c>
      <c r="BF96" s="26">
        <v>16.012822805999836</v>
      </c>
      <c r="BG96" s="26">
        <v>11.517455845748836</v>
      </c>
      <c r="BH96" s="30">
        <v>3.0460421606556518</v>
      </c>
      <c r="BI96" s="26">
        <v>3.5243149651129837</v>
      </c>
      <c r="BJ96" s="26">
        <v>8.1441558390958786</v>
      </c>
      <c r="BK96" s="26">
        <v>0</v>
      </c>
      <c r="BL96" s="26">
        <v>49.62806414369917</v>
      </c>
      <c r="BM96" s="26">
        <v>61.296534947908029</v>
      </c>
      <c r="BN96" s="26">
        <v>48.568493216944916</v>
      </c>
      <c r="BO96" s="26">
        <v>0</v>
      </c>
      <c r="BP96" s="26">
        <v>0.20724016123892058</v>
      </c>
      <c r="BQ96" s="26">
        <v>0</v>
      </c>
      <c r="BR96" s="26">
        <v>0</v>
      </c>
      <c r="BS96" s="26">
        <v>0</v>
      </c>
      <c r="BT96" s="26">
        <v>0</v>
      </c>
      <c r="BU96" s="26">
        <v>0</v>
      </c>
      <c r="BV96" s="26">
        <v>0</v>
      </c>
      <c r="BW96" s="26">
        <v>0</v>
      </c>
      <c r="BX96" s="26">
        <v>84.118182169045298</v>
      </c>
      <c r="BY96" s="26"/>
      <c r="BZ96" s="26">
        <v>0</v>
      </c>
      <c r="CA96" s="26">
        <v>0</v>
      </c>
      <c r="CB96" s="26">
        <v>48.775733378183837</v>
      </c>
      <c r="CC96" s="26">
        <v>84.118182169045298</v>
      </c>
      <c r="CD96" s="742">
        <v>0.57984768715238411</v>
      </c>
      <c r="CE96" s="26">
        <v>61.145519989447997</v>
      </c>
      <c r="CF96" s="26">
        <v>0.95929801194160247</v>
      </c>
      <c r="CG96" s="26">
        <v>0</v>
      </c>
      <c r="CH96" s="26">
        <v>0.95929801194160247</v>
      </c>
      <c r="CI96" s="26">
        <v>4.7964252216988058E-2</v>
      </c>
      <c r="CJ96" s="26">
        <v>0</v>
      </c>
      <c r="CK96" s="26">
        <v>4.7964252216988058E-2</v>
      </c>
      <c r="CL96" s="26"/>
      <c r="CM96" s="26">
        <v>0</v>
      </c>
      <c r="CN96" s="26"/>
      <c r="CO96" s="26">
        <v>0</v>
      </c>
      <c r="CP96" s="26">
        <v>0</v>
      </c>
      <c r="CQ96" s="26">
        <v>0</v>
      </c>
      <c r="CR96" s="26">
        <v>0</v>
      </c>
      <c r="CS96" s="26">
        <v>0</v>
      </c>
      <c r="CT96" s="26">
        <v>0</v>
      </c>
      <c r="CU96" s="26">
        <v>0</v>
      </c>
      <c r="CV96" s="26">
        <v>9999</v>
      </c>
      <c r="CW96" s="30">
        <v>9999</v>
      </c>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row>
    <row r="97" spans="1:131">
      <c r="A97" s="7" t="s">
        <v>1307</v>
      </c>
      <c r="B97" s="7" t="s">
        <v>1308</v>
      </c>
      <c r="C97" s="26">
        <v>15</v>
      </c>
      <c r="D97" s="26">
        <v>7.2091333020215753</v>
      </c>
      <c r="E97" s="26">
        <v>0</v>
      </c>
      <c r="F97" s="26">
        <v>3.9583333333333335</v>
      </c>
      <c r="G97" s="26">
        <v>0</v>
      </c>
      <c r="H97" s="26">
        <v>0</v>
      </c>
      <c r="I97" s="26" t="s">
        <v>1288</v>
      </c>
      <c r="J97" s="26"/>
      <c r="K97" s="26"/>
      <c r="L97" s="26">
        <v>7.7081209822715397</v>
      </c>
      <c r="M97" s="26">
        <v>2.0502260169408662E-5</v>
      </c>
      <c r="N97" s="26">
        <v>2.0354284049612779E-5</v>
      </c>
      <c r="O97" s="26">
        <v>0</v>
      </c>
      <c r="P97" s="26">
        <v>0</v>
      </c>
      <c r="Q97" s="26">
        <v>0</v>
      </c>
      <c r="R97" s="26">
        <v>0.78934454407109844</v>
      </c>
      <c r="S97" s="26">
        <v>1.8240551827208842</v>
      </c>
      <c r="T97" s="26">
        <v>0</v>
      </c>
      <c r="U97" s="26">
        <v>2.647617742752244</v>
      </c>
      <c r="V97" s="26" t="s">
        <v>1516</v>
      </c>
      <c r="W97" s="26" t="s">
        <v>1516</v>
      </c>
      <c r="X97" s="26" t="s">
        <v>1516</v>
      </c>
      <c r="Y97" s="26" t="s">
        <v>1516</v>
      </c>
      <c r="Z97" s="26">
        <v>0</v>
      </c>
      <c r="AA97" s="26">
        <v>0</v>
      </c>
      <c r="AB97" s="26">
        <v>0</v>
      </c>
      <c r="AC97" s="26">
        <v>0</v>
      </c>
      <c r="AD97" s="26">
        <v>0</v>
      </c>
      <c r="AE97" s="26">
        <v>0</v>
      </c>
      <c r="AF97" s="26">
        <v>0</v>
      </c>
      <c r="AG97" s="26">
        <v>0</v>
      </c>
      <c r="AH97" s="26">
        <v>0.78934454407109844</v>
      </c>
      <c r="AI97" s="26">
        <v>1.8240551827208842</v>
      </c>
      <c r="AJ97" s="26">
        <v>0</v>
      </c>
      <c r="AK97" s="26">
        <v>2.647617742752244</v>
      </c>
      <c r="AL97" s="26">
        <v>5.2610174695442264</v>
      </c>
      <c r="AM97" s="26">
        <v>3.7074822823437872</v>
      </c>
      <c r="AN97" s="26">
        <v>7.2444425693040998E-3</v>
      </c>
      <c r="AO97" s="26">
        <v>0</v>
      </c>
      <c r="AP97" s="26">
        <v>0</v>
      </c>
      <c r="AQ97" s="26">
        <v>3.7147267249130911</v>
      </c>
      <c r="AR97" s="26">
        <v>0.78934454407109844</v>
      </c>
      <c r="AS97" s="30">
        <v>4.7060903287607898</v>
      </c>
      <c r="AT97" s="26">
        <v>3.7074822823437872</v>
      </c>
      <c r="AU97" s="26">
        <v>8.5752622453246496E-3</v>
      </c>
      <c r="AV97" s="26">
        <v>0</v>
      </c>
      <c r="AW97" s="26">
        <v>0</v>
      </c>
      <c r="AX97" s="26">
        <v>3.7160575445891117</v>
      </c>
      <c r="AY97" s="26">
        <v>1.8240551827208842</v>
      </c>
      <c r="AZ97" s="30">
        <v>2.0372506159851969</v>
      </c>
      <c r="BA97" s="26">
        <v>3.7074822823437872</v>
      </c>
      <c r="BB97" s="26">
        <v>1.581970481462875E-2</v>
      </c>
      <c r="BC97" s="26">
        <v>0</v>
      </c>
      <c r="BD97" s="26">
        <v>0</v>
      </c>
      <c r="BE97" s="26">
        <v>3.7233019871584156</v>
      </c>
      <c r="BF97" s="26">
        <v>2.6133997267919824</v>
      </c>
      <c r="BG97" s="26">
        <v>24.796508134132274</v>
      </c>
      <c r="BH97" s="30">
        <v>1.4246967078889488</v>
      </c>
      <c r="BI97" s="26">
        <v>7.5350858268429368</v>
      </c>
      <c r="BJ97" s="26">
        <v>17.412437265749368</v>
      </c>
      <c r="BK97" s="26">
        <v>0</v>
      </c>
      <c r="BL97" s="26">
        <v>25.274168394724938</v>
      </c>
      <c r="BM97" s="26">
        <v>50.221691487317237</v>
      </c>
      <c r="BN97" s="26">
        <v>3.7074822823437872</v>
      </c>
      <c r="BO97" s="26">
        <v>0</v>
      </c>
      <c r="BP97" s="26">
        <v>1.581970481462875E-2</v>
      </c>
      <c r="BQ97" s="26">
        <v>0</v>
      </c>
      <c r="BR97" s="26">
        <v>0</v>
      </c>
      <c r="BS97" s="26">
        <v>0</v>
      </c>
      <c r="BT97" s="26">
        <v>0</v>
      </c>
      <c r="BU97" s="26">
        <v>0</v>
      </c>
      <c r="BV97" s="26">
        <v>0</v>
      </c>
      <c r="BW97" s="26">
        <v>0</v>
      </c>
      <c r="BX97" s="26">
        <v>5.2610174695442264</v>
      </c>
      <c r="BY97" s="26"/>
      <c r="BZ97" s="26">
        <v>0</v>
      </c>
      <c r="CA97" s="26">
        <v>0</v>
      </c>
      <c r="CB97" s="26">
        <v>3.7233019871584156</v>
      </c>
      <c r="CC97" s="26">
        <v>5.2610174695442264</v>
      </c>
      <c r="CD97" s="742">
        <v>0.70771519173095876</v>
      </c>
      <c r="CE97" s="26">
        <v>50.070676528857213</v>
      </c>
      <c r="CF97" s="26">
        <v>7.3228139215162302E-2</v>
      </c>
      <c r="CG97" s="26">
        <v>0</v>
      </c>
      <c r="CH97" s="26">
        <v>7.3228139215162302E-2</v>
      </c>
      <c r="CI97" s="26">
        <v>3.6613574665789812E-3</v>
      </c>
      <c r="CJ97" s="26">
        <v>0</v>
      </c>
      <c r="CK97" s="26">
        <v>3.6613574665789812E-3</v>
      </c>
      <c r="CL97" s="26"/>
      <c r="CM97" s="26">
        <v>0</v>
      </c>
      <c r="CN97" s="26"/>
      <c r="CO97" s="26">
        <v>0</v>
      </c>
      <c r="CP97" s="26">
        <v>0</v>
      </c>
      <c r="CQ97" s="26">
        <v>0</v>
      </c>
      <c r="CR97" s="26">
        <v>0</v>
      </c>
      <c r="CS97" s="26">
        <v>0</v>
      </c>
      <c r="CT97" s="26">
        <v>0</v>
      </c>
      <c r="CU97" s="26">
        <v>0</v>
      </c>
      <c r="CV97" s="26">
        <v>9999</v>
      </c>
      <c r="CW97" s="30">
        <v>9999</v>
      </c>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row>
    <row r="98" spans="1:131">
      <c r="A98" s="7" t="s">
        <v>1309</v>
      </c>
      <c r="B98" s="7" t="s">
        <v>1310</v>
      </c>
      <c r="C98" s="26">
        <v>10</v>
      </c>
      <c r="D98" s="26">
        <v>7.2091333020215753</v>
      </c>
      <c r="E98" s="26">
        <v>0</v>
      </c>
      <c r="F98" s="26">
        <v>6.1749999999999998</v>
      </c>
      <c r="G98" s="26">
        <v>0</v>
      </c>
      <c r="H98" s="26">
        <v>0</v>
      </c>
      <c r="I98" s="26" t="s">
        <v>1288</v>
      </c>
      <c r="J98" s="26"/>
      <c r="K98" s="26"/>
      <c r="L98" s="26">
        <v>7.7081209822715397</v>
      </c>
      <c r="M98" s="26">
        <v>2.0502260169408662E-5</v>
      </c>
      <c r="N98" s="26">
        <v>2.0354284049612779E-5</v>
      </c>
      <c r="O98" s="26">
        <v>0</v>
      </c>
      <c r="P98" s="26">
        <v>0</v>
      </c>
      <c r="Q98" s="26">
        <v>0</v>
      </c>
      <c r="R98" s="26">
        <v>1.2313774887509135</v>
      </c>
      <c r="S98" s="26">
        <v>2.8455260850445794</v>
      </c>
      <c r="T98" s="26">
        <v>0</v>
      </c>
      <c r="U98" s="26">
        <v>7.4011130741983902</v>
      </c>
      <c r="V98" s="26" t="s">
        <v>1516</v>
      </c>
      <c r="W98" s="26" t="s">
        <v>1516</v>
      </c>
      <c r="X98" s="26" t="s">
        <v>1516</v>
      </c>
      <c r="Y98" s="26" t="s">
        <v>1516</v>
      </c>
      <c r="Z98" s="26">
        <v>0</v>
      </c>
      <c r="AA98" s="26">
        <v>0</v>
      </c>
      <c r="AB98" s="26">
        <v>0</v>
      </c>
      <c r="AC98" s="26">
        <v>0</v>
      </c>
      <c r="AD98" s="26">
        <v>0</v>
      </c>
      <c r="AE98" s="26">
        <v>0</v>
      </c>
      <c r="AF98" s="26">
        <v>0</v>
      </c>
      <c r="AG98" s="26">
        <v>0</v>
      </c>
      <c r="AH98" s="26">
        <v>1.2313774887509135</v>
      </c>
      <c r="AI98" s="26">
        <v>2.8455260850445794</v>
      </c>
      <c r="AJ98" s="26">
        <v>0</v>
      </c>
      <c r="AK98" s="26">
        <v>7.4011130741983902</v>
      </c>
      <c r="AL98" s="26">
        <v>11.478016647993883</v>
      </c>
      <c r="AM98" s="26">
        <v>3.7074822823437872</v>
      </c>
      <c r="AN98" s="26">
        <v>7.2444425693040998E-3</v>
      </c>
      <c r="AO98" s="26">
        <v>0</v>
      </c>
      <c r="AP98" s="26">
        <v>0</v>
      </c>
      <c r="AQ98" s="26">
        <v>3.7147267249130911</v>
      </c>
      <c r="AR98" s="26">
        <v>1.2313774887509135</v>
      </c>
      <c r="AS98" s="30">
        <v>3.016724569718455</v>
      </c>
      <c r="AT98" s="26">
        <v>3.7074822823437872</v>
      </c>
      <c r="AU98" s="26">
        <v>8.5752622453246496E-3</v>
      </c>
      <c r="AV98" s="26">
        <v>0</v>
      </c>
      <c r="AW98" s="26">
        <v>0</v>
      </c>
      <c r="AX98" s="26">
        <v>3.7160575445891117</v>
      </c>
      <c r="AY98" s="26">
        <v>2.8455260850445794</v>
      </c>
      <c r="AZ98" s="30">
        <v>1.3059298820417926</v>
      </c>
      <c r="BA98" s="26">
        <v>3.7074822823437872</v>
      </c>
      <c r="BB98" s="26">
        <v>1.581970481462875E-2</v>
      </c>
      <c r="BC98" s="26">
        <v>0</v>
      </c>
      <c r="BD98" s="26">
        <v>0</v>
      </c>
      <c r="BE98" s="26">
        <v>3.7233019871584156</v>
      </c>
      <c r="BF98" s="26">
        <v>4.0769035737954926</v>
      </c>
      <c r="BG98" s="26">
        <v>38.767121065983964</v>
      </c>
      <c r="BH98" s="742">
        <v>0.91326712044163383</v>
      </c>
      <c r="BI98" s="26">
        <v>11.754733889874981</v>
      </c>
      <c r="BJ98" s="26">
        <v>27.163402134569012</v>
      </c>
      <c r="BK98" s="26">
        <v>0</v>
      </c>
      <c r="BL98" s="26">
        <v>70.651051745574691</v>
      </c>
      <c r="BM98" s="26">
        <v>109.5691877700187</v>
      </c>
      <c r="BN98" s="26">
        <v>3.7074822823437872</v>
      </c>
      <c r="BO98" s="26">
        <v>0</v>
      </c>
      <c r="BP98" s="26">
        <v>1.581970481462875E-2</v>
      </c>
      <c r="BQ98" s="26">
        <v>0</v>
      </c>
      <c r="BR98" s="26">
        <v>0</v>
      </c>
      <c r="BS98" s="26">
        <v>0</v>
      </c>
      <c r="BT98" s="26">
        <v>0</v>
      </c>
      <c r="BU98" s="26">
        <v>0</v>
      </c>
      <c r="BV98" s="26">
        <v>0</v>
      </c>
      <c r="BW98" s="26">
        <v>0</v>
      </c>
      <c r="BX98" s="26">
        <v>11.478016647993883</v>
      </c>
      <c r="BY98" s="26"/>
      <c r="BZ98" s="26">
        <v>0</v>
      </c>
      <c r="CA98" s="26">
        <v>0</v>
      </c>
      <c r="CB98" s="26">
        <v>3.7233019871584156</v>
      </c>
      <c r="CC98" s="26">
        <v>11.478016647993883</v>
      </c>
      <c r="CD98" s="742">
        <v>0.32438548412535811</v>
      </c>
      <c r="CE98" s="26">
        <v>109.41817281155868</v>
      </c>
      <c r="CF98" s="26">
        <v>7.3228139215162302E-2</v>
      </c>
      <c r="CG98" s="26">
        <v>0</v>
      </c>
      <c r="CH98" s="26">
        <v>7.3228139215162302E-2</v>
      </c>
      <c r="CI98" s="26">
        <v>3.6613574665789812E-3</v>
      </c>
      <c r="CJ98" s="26">
        <v>0</v>
      </c>
      <c r="CK98" s="26">
        <v>3.6613574665789812E-3</v>
      </c>
      <c r="CL98" s="26"/>
      <c r="CM98" s="26">
        <v>0</v>
      </c>
      <c r="CN98" s="26"/>
      <c r="CO98" s="26">
        <v>0</v>
      </c>
      <c r="CP98" s="26">
        <v>0</v>
      </c>
      <c r="CQ98" s="26">
        <v>0</v>
      </c>
      <c r="CR98" s="26">
        <v>0</v>
      </c>
      <c r="CS98" s="26">
        <v>0</v>
      </c>
      <c r="CT98" s="26">
        <v>0</v>
      </c>
      <c r="CU98" s="26">
        <v>0</v>
      </c>
      <c r="CV98" s="26">
        <v>9999</v>
      </c>
      <c r="CW98" s="30">
        <v>9999</v>
      </c>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row>
    <row r="99" spans="1:131">
      <c r="A99" s="7" t="s">
        <v>1311</v>
      </c>
      <c r="B99" s="7" t="s">
        <v>1312</v>
      </c>
      <c r="C99" s="26">
        <v>8</v>
      </c>
      <c r="D99" s="26">
        <v>11.997154166772754</v>
      </c>
      <c r="E99" s="26">
        <v>0</v>
      </c>
      <c r="F99" s="26">
        <v>2.0750000000000002</v>
      </c>
      <c r="G99" s="26">
        <v>0</v>
      </c>
      <c r="H99" s="26">
        <v>0</v>
      </c>
      <c r="I99" s="26" t="s">
        <v>1288</v>
      </c>
      <c r="J99" s="26"/>
      <c r="K99" s="26"/>
      <c r="L99" s="26">
        <v>12.827549704832846</v>
      </c>
      <c r="M99" s="26">
        <v>3.4119049504980847E-5</v>
      </c>
      <c r="N99" s="26">
        <v>3.3872793506122535E-5</v>
      </c>
      <c r="O99" s="26">
        <v>0</v>
      </c>
      <c r="P99" s="26">
        <v>0</v>
      </c>
      <c r="Q99" s="26">
        <v>0</v>
      </c>
      <c r="R99" s="26">
        <v>0.41378271889200746</v>
      </c>
      <c r="S99" s="26">
        <v>0.9561889273631583</v>
      </c>
      <c r="T99" s="26">
        <v>0</v>
      </c>
      <c r="U99" s="26">
        <v>3.3187411273735563</v>
      </c>
      <c r="V99" s="26" t="s">
        <v>1516</v>
      </c>
      <c r="W99" s="26" t="s">
        <v>1516</v>
      </c>
      <c r="X99" s="26" t="s">
        <v>1516</v>
      </c>
      <c r="Y99" s="26" t="s">
        <v>1516</v>
      </c>
      <c r="Z99" s="26">
        <v>0</v>
      </c>
      <c r="AA99" s="26">
        <v>0</v>
      </c>
      <c r="AB99" s="26">
        <v>0</v>
      </c>
      <c r="AC99" s="26">
        <v>0</v>
      </c>
      <c r="AD99" s="26">
        <v>0</v>
      </c>
      <c r="AE99" s="26">
        <v>0</v>
      </c>
      <c r="AF99" s="26">
        <v>0</v>
      </c>
      <c r="AG99" s="26">
        <v>0</v>
      </c>
      <c r="AH99" s="26">
        <v>0.41378271889200746</v>
      </c>
      <c r="AI99" s="26">
        <v>0.9561889273631583</v>
      </c>
      <c r="AJ99" s="26">
        <v>0</v>
      </c>
      <c r="AK99" s="26">
        <v>3.3187411273735563</v>
      </c>
      <c r="AL99" s="26">
        <v>4.6887127736287226</v>
      </c>
      <c r="AM99" s="26">
        <v>6.1698452016949314</v>
      </c>
      <c r="AN99" s="26">
        <v>1.2055914451172746E-2</v>
      </c>
      <c r="AO99" s="26">
        <v>0</v>
      </c>
      <c r="AP99" s="26">
        <v>0</v>
      </c>
      <c r="AQ99" s="26">
        <v>6.1819011161461042</v>
      </c>
      <c r="AR99" s="26">
        <v>0.41378271889200746</v>
      </c>
      <c r="AS99" s="30">
        <v>14.939969297653317</v>
      </c>
      <c r="AT99" s="26">
        <v>6.1698452016949314</v>
      </c>
      <c r="AU99" s="26">
        <v>1.4270611856881128E-2</v>
      </c>
      <c r="AV99" s="26">
        <v>0</v>
      </c>
      <c r="AW99" s="26">
        <v>0</v>
      </c>
      <c r="AX99" s="26">
        <v>6.1841158135518128</v>
      </c>
      <c r="AY99" s="26">
        <v>0.9561889273631583</v>
      </c>
      <c r="AZ99" s="30">
        <v>6.467462272968886</v>
      </c>
      <c r="BA99" s="26">
        <v>6.1698452016949314</v>
      </c>
      <c r="BB99" s="26">
        <v>2.6326526308053873E-2</v>
      </c>
      <c r="BC99" s="26">
        <v>0</v>
      </c>
      <c r="BD99" s="26">
        <v>0</v>
      </c>
      <c r="BE99" s="26">
        <v>6.1961717280029855</v>
      </c>
      <c r="BF99" s="26">
        <v>1.3699716462551659</v>
      </c>
      <c r="BG99" s="26">
        <v>7.7074548157065426</v>
      </c>
      <c r="BH99" s="30">
        <v>4.5228466917109538</v>
      </c>
      <c r="BI99" s="26">
        <v>2.3735520354555235</v>
      </c>
      <c r="BJ99" s="26">
        <v>5.4849177387110473</v>
      </c>
      <c r="BK99" s="26">
        <v>0</v>
      </c>
      <c r="BL99" s="26">
        <v>19.037055919397456</v>
      </c>
      <c r="BM99" s="26">
        <v>26.895525693564032</v>
      </c>
      <c r="BN99" s="26">
        <v>6.1698452016949314</v>
      </c>
      <c r="BO99" s="26">
        <v>0</v>
      </c>
      <c r="BP99" s="26">
        <v>2.6326526308053873E-2</v>
      </c>
      <c r="BQ99" s="26">
        <v>0</v>
      </c>
      <c r="BR99" s="26">
        <v>0</v>
      </c>
      <c r="BS99" s="26">
        <v>0</v>
      </c>
      <c r="BT99" s="26">
        <v>0</v>
      </c>
      <c r="BU99" s="26">
        <v>0</v>
      </c>
      <c r="BV99" s="26">
        <v>0</v>
      </c>
      <c r="BW99" s="26">
        <v>0</v>
      </c>
      <c r="BX99" s="26">
        <v>4.6887127736287226</v>
      </c>
      <c r="BY99" s="26"/>
      <c r="BZ99" s="26">
        <v>0</v>
      </c>
      <c r="CA99" s="26">
        <v>0</v>
      </c>
      <c r="CB99" s="26">
        <v>6.1961717280029855</v>
      </c>
      <c r="CC99" s="26">
        <v>4.6887127736287226</v>
      </c>
      <c r="CD99" s="30">
        <v>1.3215080614135379</v>
      </c>
      <c r="CE99" s="26">
        <v>26.744510735103997</v>
      </c>
      <c r="CF99" s="26">
        <v>0.12186336952097195</v>
      </c>
      <c r="CG99" s="26">
        <v>0</v>
      </c>
      <c r="CH99" s="26">
        <v>0.12186336952097195</v>
      </c>
      <c r="CI99" s="26">
        <v>6.0930861097955999E-3</v>
      </c>
      <c r="CJ99" s="26">
        <v>0</v>
      </c>
      <c r="CK99" s="26">
        <v>6.0930861097955999E-3</v>
      </c>
      <c r="CL99" s="26"/>
      <c r="CM99" s="26">
        <v>0</v>
      </c>
      <c r="CN99" s="26"/>
      <c r="CO99" s="26">
        <v>0</v>
      </c>
      <c r="CP99" s="26">
        <v>0</v>
      </c>
      <c r="CQ99" s="26">
        <v>0</v>
      </c>
      <c r="CR99" s="26">
        <v>0</v>
      </c>
      <c r="CS99" s="26">
        <v>0</v>
      </c>
      <c r="CT99" s="26">
        <v>0</v>
      </c>
      <c r="CU99" s="26">
        <v>0</v>
      </c>
      <c r="CV99" s="26">
        <v>9999</v>
      </c>
      <c r="CW99" s="30">
        <v>9999</v>
      </c>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row>
    <row r="100" spans="1:131">
      <c r="A100" s="7" t="s">
        <v>1313</v>
      </c>
      <c r="B100" s="7" t="s">
        <v>1314</v>
      </c>
      <c r="C100" s="26">
        <v>8</v>
      </c>
      <c r="D100" s="26">
        <v>2.999288541693188</v>
      </c>
      <c r="E100" s="26">
        <v>0</v>
      </c>
      <c r="F100" s="26">
        <v>4.9800000000000004</v>
      </c>
      <c r="G100" s="26">
        <v>0</v>
      </c>
      <c r="H100" s="26">
        <v>0</v>
      </c>
      <c r="I100" s="26" t="s">
        <v>1288</v>
      </c>
      <c r="J100" s="26"/>
      <c r="K100" s="26"/>
      <c r="L100" s="26">
        <v>3.206887426208211</v>
      </c>
      <c r="M100" s="26">
        <v>8.5297623762452117E-6</v>
      </c>
      <c r="N100" s="26">
        <v>8.4681983765306337E-6</v>
      </c>
      <c r="O100" s="26">
        <v>0</v>
      </c>
      <c r="P100" s="26">
        <v>0</v>
      </c>
      <c r="Q100" s="26">
        <v>0</v>
      </c>
      <c r="R100" s="26">
        <v>0.99307852534081786</v>
      </c>
      <c r="S100" s="26">
        <v>2.29485342567158</v>
      </c>
      <c r="T100" s="26">
        <v>0</v>
      </c>
      <c r="U100" s="26">
        <v>7.9649787056965353</v>
      </c>
      <c r="V100" s="26" t="s">
        <v>1516</v>
      </c>
      <c r="W100" s="26" t="s">
        <v>1516</v>
      </c>
      <c r="X100" s="26" t="s">
        <v>1516</v>
      </c>
      <c r="Y100" s="26" t="s">
        <v>1516</v>
      </c>
      <c r="Z100" s="26">
        <v>0</v>
      </c>
      <c r="AA100" s="26">
        <v>0</v>
      </c>
      <c r="AB100" s="26">
        <v>0</v>
      </c>
      <c r="AC100" s="26">
        <v>0</v>
      </c>
      <c r="AD100" s="26">
        <v>0</v>
      </c>
      <c r="AE100" s="26">
        <v>0</v>
      </c>
      <c r="AF100" s="26">
        <v>0</v>
      </c>
      <c r="AG100" s="26">
        <v>0</v>
      </c>
      <c r="AH100" s="26">
        <v>0.99307852534081786</v>
      </c>
      <c r="AI100" s="26">
        <v>2.29485342567158</v>
      </c>
      <c r="AJ100" s="26">
        <v>0</v>
      </c>
      <c r="AK100" s="26">
        <v>7.9649787056965353</v>
      </c>
      <c r="AL100" s="26">
        <v>11.252910656708934</v>
      </c>
      <c r="AM100" s="26">
        <v>1.5424613004237329</v>
      </c>
      <c r="AN100" s="26">
        <v>3.0139786127931865E-3</v>
      </c>
      <c r="AO100" s="26">
        <v>0</v>
      </c>
      <c r="AP100" s="26">
        <v>0</v>
      </c>
      <c r="AQ100" s="26">
        <v>1.545475279036526</v>
      </c>
      <c r="AR100" s="26">
        <v>0.99307852534081786</v>
      </c>
      <c r="AS100" s="30">
        <v>1.5562468018388871</v>
      </c>
      <c r="AT100" s="26">
        <v>1.5424613004237329</v>
      </c>
      <c r="AU100" s="26">
        <v>3.5676529642202819E-3</v>
      </c>
      <c r="AV100" s="26">
        <v>0</v>
      </c>
      <c r="AW100" s="26">
        <v>0</v>
      </c>
      <c r="AX100" s="26">
        <v>1.5460289533879532</v>
      </c>
      <c r="AY100" s="26">
        <v>2.29485342567158</v>
      </c>
      <c r="AZ100" s="742">
        <v>0.67369398676759229</v>
      </c>
      <c r="BA100" s="26">
        <v>1.5424613004237329</v>
      </c>
      <c r="BB100" s="26">
        <v>6.5816315770134684E-3</v>
      </c>
      <c r="BC100" s="26">
        <v>0</v>
      </c>
      <c r="BD100" s="26">
        <v>0</v>
      </c>
      <c r="BE100" s="26">
        <v>1.5490429320007464</v>
      </c>
      <c r="BF100" s="26">
        <v>3.2879319510123981</v>
      </c>
      <c r="BG100" s="26">
        <v>75.290294873539068</v>
      </c>
      <c r="BH100" s="742">
        <v>0.47112986371989096</v>
      </c>
      <c r="BI100" s="26">
        <v>22.786099540373034</v>
      </c>
      <c r="BJ100" s="26">
        <v>52.655210291626069</v>
      </c>
      <c r="BK100" s="26">
        <v>0</v>
      </c>
      <c r="BL100" s="26">
        <v>182.75573682621561</v>
      </c>
      <c r="BM100" s="26">
        <v>258.19704665821473</v>
      </c>
      <c r="BN100" s="26">
        <v>1.5424613004237329</v>
      </c>
      <c r="BO100" s="26">
        <v>0</v>
      </c>
      <c r="BP100" s="26">
        <v>6.5816315770134684E-3</v>
      </c>
      <c r="BQ100" s="26">
        <v>0</v>
      </c>
      <c r="BR100" s="26">
        <v>0</v>
      </c>
      <c r="BS100" s="26">
        <v>0</v>
      </c>
      <c r="BT100" s="26">
        <v>0</v>
      </c>
      <c r="BU100" s="26">
        <v>0</v>
      </c>
      <c r="BV100" s="26">
        <v>0</v>
      </c>
      <c r="BW100" s="26">
        <v>0</v>
      </c>
      <c r="BX100" s="26">
        <v>11.252910656708934</v>
      </c>
      <c r="BY100" s="26"/>
      <c r="BZ100" s="26">
        <v>0</v>
      </c>
      <c r="CA100" s="26">
        <v>0</v>
      </c>
      <c r="CB100" s="26">
        <v>1.5490429320007464</v>
      </c>
      <c r="CC100" s="26">
        <v>11.252910656708934</v>
      </c>
      <c r="CD100" s="742">
        <v>0.13765708973057686</v>
      </c>
      <c r="CE100" s="26">
        <v>258.04603169975474</v>
      </c>
      <c r="CF100" s="26">
        <v>3.0465842380242986E-2</v>
      </c>
      <c r="CG100" s="26">
        <v>0</v>
      </c>
      <c r="CH100" s="26">
        <v>3.0465842380242986E-2</v>
      </c>
      <c r="CI100" s="26">
        <v>1.5232715274489E-3</v>
      </c>
      <c r="CJ100" s="26">
        <v>0</v>
      </c>
      <c r="CK100" s="26">
        <v>1.5232715274489E-3</v>
      </c>
      <c r="CL100" s="26"/>
      <c r="CM100" s="26">
        <v>0</v>
      </c>
      <c r="CN100" s="26"/>
      <c r="CO100" s="26">
        <v>0</v>
      </c>
      <c r="CP100" s="26">
        <v>0</v>
      </c>
      <c r="CQ100" s="26">
        <v>0</v>
      </c>
      <c r="CR100" s="26">
        <v>0</v>
      </c>
      <c r="CS100" s="26">
        <v>0</v>
      </c>
      <c r="CT100" s="26">
        <v>0</v>
      </c>
      <c r="CU100" s="26">
        <v>0</v>
      </c>
      <c r="CV100" s="26">
        <v>9999</v>
      </c>
      <c r="CW100" s="30">
        <v>9999</v>
      </c>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row>
    <row r="101" spans="1:131">
      <c r="A101" s="7" t="s">
        <v>1315</v>
      </c>
      <c r="B101" s="7" t="s">
        <v>1290</v>
      </c>
      <c r="C101" s="26">
        <v>4</v>
      </c>
      <c r="D101" s="26">
        <v>70.900188627558663</v>
      </c>
      <c r="E101" s="26">
        <v>0</v>
      </c>
      <c r="F101" s="26">
        <v>9.0666666666666664</v>
      </c>
      <c r="G101" s="26">
        <v>0</v>
      </c>
      <c r="H101" s="26">
        <v>0</v>
      </c>
      <c r="I101" s="26" t="s">
        <v>1288</v>
      </c>
      <c r="J101" s="26"/>
      <c r="K101" s="26"/>
      <c r="L101" s="26">
        <v>75.807619128618981</v>
      </c>
      <c r="M101" s="26">
        <v>2.0163507212368184E-4</v>
      </c>
      <c r="N101" s="26">
        <v>2.0017976059504629E-4</v>
      </c>
      <c r="O101" s="26">
        <v>0</v>
      </c>
      <c r="P101" s="26">
        <v>0</v>
      </c>
      <c r="Q101" s="26">
        <v>0</v>
      </c>
      <c r="R101" s="26">
        <v>1.8080144504196949</v>
      </c>
      <c r="S101" s="26">
        <v>4.178046397474362</v>
      </c>
      <c r="T101" s="26">
        <v>0</v>
      </c>
      <c r="U101" s="26">
        <v>32.784241780419279</v>
      </c>
      <c r="V101" s="26" t="s">
        <v>1516</v>
      </c>
      <c r="W101" s="26" t="s">
        <v>1516</v>
      </c>
      <c r="X101" s="26" t="s">
        <v>1516</v>
      </c>
      <c r="Y101" s="26" t="s">
        <v>1516</v>
      </c>
      <c r="Z101" s="26">
        <v>0</v>
      </c>
      <c r="AA101" s="26">
        <v>0</v>
      </c>
      <c r="AB101" s="26">
        <v>0</v>
      </c>
      <c r="AC101" s="26">
        <v>0</v>
      </c>
      <c r="AD101" s="26">
        <v>0</v>
      </c>
      <c r="AE101" s="26">
        <v>0</v>
      </c>
      <c r="AF101" s="26">
        <v>0</v>
      </c>
      <c r="AG101" s="26">
        <v>0</v>
      </c>
      <c r="AH101" s="26">
        <v>1.8080144504196949</v>
      </c>
      <c r="AI101" s="26">
        <v>4.178046397474362</v>
      </c>
      <c r="AJ101" s="26">
        <v>0</v>
      </c>
      <c r="AK101" s="26">
        <v>32.784241780419279</v>
      </c>
      <c r="AL101" s="26">
        <v>38.770302628313338</v>
      </c>
      <c r="AM101" s="26">
        <v>36.462246172892293</v>
      </c>
      <c r="AN101" s="26">
        <v>7.1247447251550244E-2</v>
      </c>
      <c r="AO101" s="26">
        <v>0</v>
      </c>
      <c r="AP101" s="26">
        <v>0</v>
      </c>
      <c r="AQ101" s="26">
        <v>36.533493620143844</v>
      </c>
      <c r="AR101" s="26">
        <v>1.8080144504196949</v>
      </c>
      <c r="AS101" s="30">
        <v>20.206416830165995</v>
      </c>
      <c r="AT101" s="26">
        <v>36.462246172892293</v>
      </c>
      <c r="AU101" s="26">
        <v>8.4335756498469625E-2</v>
      </c>
      <c r="AV101" s="26">
        <v>0</v>
      </c>
      <c r="AW101" s="26">
        <v>0</v>
      </c>
      <c r="AX101" s="26">
        <v>36.546581929390761</v>
      </c>
      <c r="AY101" s="26">
        <v>4.178046397474362</v>
      </c>
      <c r="AZ101" s="30">
        <v>8.7472896307430315</v>
      </c>
      <c r="BA101" s="26">
        <v>36.462246172892293</v>
      </c>
      <c r="BB101" s="26">
        <v>0.15558320375001988</v>
      </c>
      <c r="BC101" s="26">
        <v>0</v>
      </c>
      <c r="BD101" s="26">
        <v>0</v>
      </c>
      <c r="BE101" s="26">
        <v>36.617829376642312</v>
      </c>
      <c r="BF101" s="26">
        <v>5.9860608478940573</v>
      </c>
      <c r="BG101" s="26">
        <v>5.6592827375328545</v>
      </c>
      <c r="BH101" s="30">
        <v>6.1171829533815627</v>
      </c>
      <c r="BI101" s="26">
        <v>1.7549273992580889</v>
      </c>
      <c r="BJ101" s="26">
        <v>4.0553702967347913</v>
      </c>
      <c r="BK101" s="26">
        <v>0</v>
      </c>
      <c r="BL101" s="26">
        <v>31.821628500261276</v>
      </c>
      <c r="BM101" s="26">
        <v>37.631926196254156</v>
      </c>
      <c r="BN101" s="26">
        <v>36.462246172892293</v>
      </c>
      <c r="BO101" s="26">
        <v>0</v>
      </c>
      <c r="BP101" s="26">
        <v>0.15558320375001988</v>
      </c>
      <c r="BQ101" s="26">
        <v>0</v>
      </c>
      <c r="BR101" s="26">
        <v>0</v>
      </c>
      <c r="BS101" s="26">
        <v>0</v>
      </c>
      <c r="BT101" s="26">
        <v>0</v>
      </c>
      <c r="BU101" s="26">
        <v>0</v>
      </c>
      <c r="BV101" s="26">
        <v>0</v>
      </c>
      <c r="BW101" s="26">
        <v>0</v>
      </c>
      <c r="BX101" s="26">
        <v>38.770302628313338</v>
      </c>
      <c r="BY101" s="26"/>
      <c r="BZ101" s="26">
        <v>0</v>
      </c>
      <c r="CA101" s="26">
        <v>0</v>
      </c>
      <c r="CB101" s="26">
        <v>36.617829376642312</v>
      </c>
      <c r="CC101" s="26">
        <v>38.770302628313338</v>
      </c>
      <c r="CD101" s="742">
        <v>0.94448139153551236</v>
      </c>
      <c r="CE101" s="26">
        <v>37.480911237794132</v>
      </c>
      <c r="CF101" s="26">
        <v>0.72018211700208545</v>
      </c>
      <c r="CG101" s="26">
        <v>0</v>
      </c>
      <c r="CH101" s="26">
        <v>0.72018211700208545</v>
      </c>
      <c r="CI101" s="26">
        <v>3.6008619086094006E-2</v>
      </c>
      <c r="CJ101" s="26">
        <v>0</v>
      </c>
      <c r="CK101" s="26">
        <v>3.6008619086094006E-2</v>
      </c>
      <c r="CL101" s="26"/>
      <c r="CM101" s="26">
        <v>0</v>
      </c>
      <c r="CN101" s="26"/>
      <c r="CO101" s="26">
        <v>0</v>
      </c>
      <c r="CP101" s="26">
        <v>0</v>
      </c>
      <c r="CQ101" s="26">
        <v>0</v>
      </c>
      <c r="CR101" s="26">
        <v>0</v>
      </c>
      <c r="CS101" s="26">
        <v>0</v>
      </c>
      <c r="CT101" s="26">
        <v>0</v>
      </c>
      <c r="CU101" s="26">
        <v>0</v>
      </c>
      <c r="CV101" s="26">
        <v>9999</v>
      </c>
      <c r="CW101" s="30">
        <v>9999</v>
      </c>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row>
    <row r="102" spans="1:131">
      <c r="A102" s="7" t="s">
        <v>1316</v>
      </c>
      <c r="B102" s="7" t="s">
        <v>1292</v>
      </c>
      <c r="C102" s="26">
        <v>4</v>
      </c>
      <c r="D102" s="26">
        <v>70.900188627558663</v>
      </c>
      <c r="E102" s="26">
        <v>0</v>
      </c>
      <c r="F102" s="26">
        <v>3.3866666666666667</v>
      </c>
      <c r="G102" s="26">
        <v>0</v>
      </c>
      <c r="H102" s="26">
        <v>0</v>
      </c>
      <c r="I102" s="26" t="s">
        <v>1288</v>
      </c>
      <c r="J102" s="26"/>
      <c r="K102" s="26"/>
      <c r="L102" s="26">
        <v>75.807619128618981</v>
      </c>
      <c r="M102" s="26">
        <v>2.0163507212368184E-4</v>
      </c>
      <c r="N102" s="26">
        <v>2.0017976059504629E-4</v>
      </c>
      <c r="O102" s="26">
        <v>0</v>
      </c>
      <c r="P102" s="26">
        <v>0</v>
      </c>
      <c r="Q102" s="26">
        <v>0</v>
      </c>
      <c r="R102" s="26">
        <v>0.67534657412735666</v>
      </c>
      <c r="S102" s="26">
        <v>1.560623213174247</v>
      </c>
      <c r="T102" s="26">
        <v>0</v>
      </c>
      <c r="U102" s="26">
        <v>12.245878547391911</v>
      </c>
      <c r="V102" s="26" t="s">
        <v>1516</v>
      </c>
      <c r="W102" s="26" t="s">
        <v>1516</v>
      </c>
      <c r="X102" s="26" t="s">
        <v>1516</v>
      </c>
      <c r="Y102" s="26" t="s">
        <v>1516</v>
      </c>
      <c r="Z102" s="26">
        <v>0</v>
      </c>
      <c r="AA102" s="26">
        <v>0</v>
      </c>
      <c r="AB102" s="26">
        <v>0</v>
      </c>
      <c r="AC102" s="26">
        <v>0</v>
      </c>
      <c r="AD102" s="26">
        <v>0</v>
      </c>
      <c r="AE102" s="26">
        <v>0</v>
      </c>
      <c r="AF102" s="26">
        <v>0</v>
      </c>
      <c r="AG102" s="26">
        <v>0</v>
      </c>
      <c r="AH102" s="26">
        <v>0.67534657412735666</v>
      </c>
      <c r="AI102" s="26">
        <v>1.560623213174247</v>
      </c>
      <c r="AJ102" s="26">
        <v>0</v>
      </c>
      <c r="AK102" s="26">
        <v>12.245878547391911</v>
      </c>
      <c r="AL102" s="26">
        <v>14.481848334693515</v>
      </c>
      <c r="AM102" s="26">
        <v>36.462246172892293</v>
      </c>
      <c r="AN102" s="26">
        <v>7.1247447251550244E-2</v>
      </c>
      <c r="AO102" s="26">
        <v>0</v>
      </c>
      <c r="AP102" s="26">
        <v>0</v>
      </c>
      <c r="AQ102" s="26">
        <v>36.533493620143844</v>
      </c>
      <c r="AR102" s="26">
        <v>0.67534657412735666</v>
      </c>
      <c r="AS102" s="30">
        <v>54.095919072885337</v>
      </c>
      <c r="AT102" s="26">
        <v>36.462246172892293</v>
      </c>
      <c r="AU102" s="26">
        <v>8.4335756498469625E-2</v>
      </c>
      <c r="AV102" s="26">
        <v>0</v>
      </c>
      <c r="AW102" s="26">
        <v>0</v>
      </c>
      <c r="AX102" s="26">
        <v>36.546581929390761</v>
      </c>
      <c r="AY102" s="26">
        <v>1.560623213174247</v>
      </c>
      <c r="AZ102" s="30">
        <v>23.417940743721498</v>
      </c>
      <c r="BA102" s="26">
        <v>36.462246172892293</v>
      </c>
      <c r="BB102" s="26">
        <v>0.15558320375001988</v>
      </c>
      <c r="BC102" s="26">
        <v>0</v>
      </c>
      <c r="BD102" s="26">
        <v>0</v>
      </c>
      <c r="BE102" s="26">
        <v>36.617829376642312</v>
      </c>
      <c r="BF102" s="26">
        <v>2.2359697873016038</v>
      </c>
      <c r="BG102" s="26">
        <v>2.0193021221020193</v>
      </c>
      <c r="BH102" s="30">
        <v>16.376710268895522</v>
      </c>
      <c r="BI102" s="26">
        <v>0.65551699913463923</v>
      </c>
      <c r="BJ102" s="26">
        <v>1.5148000814274076</v>
      </c>
      <c r="BK102" s="26">
        <v>0</v>
      </c>
      <c r="BL102" s="26">
        <v>11.886314175097597</v>
      </c>
      <c r="BM102" s="26">
        <v>14.056631255659644</v>
      </c>
      <c r="BN102" s="26">
        <v>36.462246172892293</v>
      </c>
      <c r="BO102" s="26">
        <v>0</v>
      </c>
      <c r="BP102" s="26">
        <v>0.15558320375001988</v>
      </c>
      <c r="BQ102" s="26">
        <v>0</v>
      </c>
      <c r="BR102" s="26">
        <v>0</v>
      </c>
      <c r="BS102" s="26">
        <v>0</v>
      </c>
      <c r="BT102" s="26">
        <v>0</v>
      </c>
      <c r="BU102" s="26">
        <v>0</v>
      </c>
      <c r="BV102" s="26">
        <v>0</v>
      </c>
      <c r="BW102" s="26">
        <v>0</v>
      </c>
      <c r="BX102" s="26">
        <v>14.481848334693515</v>
      </c>
      <c r="BY102" s="26"/>
      <c r="BZ102" s="26">
        <v>0</v>
      </c>
      <c r="CA102" s="26">
        <v>0</v>
      </c>
      <c r="CB102" s="26">
        <v>36.617829376642312</v>
      </c>
      <c r="CC102" s="26">
        <v>14.481848334693515</v>
      </c>
      <c r="CD102" s="30">
        <v>2.52853285922893</v>
      </c>
      <c r="CE102" s="26">
        <v>13.905616297199616</v>
      </c>
      <c r="CF102" s="26">
        <v>0.72018211700208545</v>
      </c>
      <c r="CG102" s="26">
        <v>0</v>
      </c>
      <c r="CH102" s="26">
        <v>0.72018211700208545</v>
      </c>
      <c r="CI102" s="26">
        <v>3.6008619086094006E-2</v>
      </c>
      <c r="CJ102" s="26">
        <v>0</v>
      </c>
      <c r="CK102" s="26">
        <v>3.6008619086094006E-2</v>
      </c>
      <c r="CL102" s="26"/>
      <c r="CM102" s="26">
        <v>0</v>
      </c>
      <c r="CN102" s="26"/>
      <c r="CO102" s="26">
        <v>0</v>
      </c>
      <c r="CP102" s="26">
        <v>0</v>
      </c>
      <c r="CQ102" s="26">
        <v>0</v>
      </c>
      <c r="CR102" s="26">
        <v>0</v>
      </c>
      <c r="CS102" s="26">
        <v>0</v>
      </c>
      <c r="CT102" s="26">
        <v>0</v>
      </c>
      <c r="CU102" s="26">
        <v>0</v>
      </c>
      <c r="CV102" s="26">
        <v>9999</v>
      </c>
      <c r="CW102" s="30">
        <v>9999</v>
      </c>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row>
    <row r="103" spans="1:131">
      <c r="A103" s="7" t="s">
        <v>1317</v>
      </c>
      <c r="B103" s="7" t="s">
        <v>1294</v>
      </c>
      <c r="C103" s="26">
        <v>5</v>
      </c>
      <c r="D103" s="26">
        <v>62.327826960526821</v>
      </c>
      <c r="E103" s="26">
        <v>0</v>
      </c>
      <c r="F103" s="26">
        <v>19.733333333333334</v>
      </c>
      <c r="G103" s="26">
        <v>0</v>
      </c>
      <c r="H103" s="26">
        <v>0</v>
      </c>
      <c r="I103" s="26" t="s">
        <v>1288</v>
      </c>
      <c r="J103" s="26"/>
      <c r="K103" s="26"/>
      <c r="L103" s="26">
        <v>66.641912508276818</v>
      </c>
      <c r="M103" s="26">
        <v>1.7725588785829057E-4</v>
      </c>
      <c r="N103" s="26">
        <v>1.75976534348994E-4</v>
      </c>
      <c r="O103" s="26">
        <v>0</v>
      </c>
      <c r="P103" s="26">
        <v>0</v>
      </c>
      <c r="Q103" s="26">
        <v>0</v>
      </c>
      <c r="R103" s="26">
        <v>3.9350902744428655</v>
      </c>
      <c r="S103" s="26">
        <v>9.0933951003853757</v>
      </c>
      <c r="T103" s="26">
        <v>0</v>
      </c>
      <c r="U103" s="26">
        <v>55.412445960270915</v>
      </c>
      <c r="V103" s="26" t="s">
        <v>1516</v>
      </c>
      <c r="W103" s="26" t="s">
        <v>1516</v>
      </c>
      <c r="X103" s="26" t="s">
        <v>1516</v>
      </c>
      <c r="Y103" s="26" t="s">
        <v>1516</v>
      </c>
      <c r="Z103" s="26">
        <v>0</v>
      </c>
      <c r="AA103" s="26">
        <v>0</v>
      </c>
      <c r="AB103" s="26">
        <v>0</v>
      </c>
      <c r="AC103" s="26">
        <v>0</v>
      </c>
      <c r="AD103" s="26">
        <v>0</v>
      </c>
      <c r="AE103" s="26">
        <v>0</v>
      </c>
      <c r="AF103" s="26">
        <v>0</v>
      </c>
      <c r="AG103" s="26">
        <v>0</v>
      </c>
      <c r="AH103" s="26">
        <v>3.9350902744428655</v>
      </c>
      <c r="AI103" s="26">
        <v>9.0933951003853757</v>
      </c>
      <c r="AJ103" s="26">
        <v>0</v>
      </c>
      <c r="AK103" s="26">
        <v>55.412445960270915</v>
      </c>
      <c r="AL103" s="26">
        <v>68.440931335099151</v>
      </c>
      <c r="AM103" s="26">
        <v>32.05368862971968</v>
      </c>
      <c r="AN103" s="26">
        <v>6.2633099426590261E-2</v>
      </c>
      <c r="AO103" s="26">
        <v>0</v>
      </c>
      <c r="AP103" s="26">
        <v>0</v>
      </c>
      <c r="AQ103" s="26">
        <v>32.116321729146271</v>
      </c>
      <c r="AR103" s="26">
        <v>3.9350902744428655</v>
      </c>
      <c r="AS103" s="30">
        <v>8.1615209535932021</v>
      </c>
      <c r="AT103" s="26">
        <v>32.05368862971968</v>
      </c>
      <c r="AU103" s="26">
        <v>7.4138934456636538E-2</v>
      </c>
      <c r="AV103" s="26">
        <v>0</v>
      </c>
      <c r="AW103" s="26">
        <v>0</v>
      </c>
      <c r="AX103" s="26">
        <v>32.127827564176314</v>
      </c>
      <c r="AY103" s="26">
        <v>9.0933951003853757</v>
      </c>
      <c r="AZ103" s="30">
        <v>3.5330948682538543</v>
      </c>
      <c r="BA103" s="26">
        <v>32.05368862971968</v>
      </c>
      <c r="BB103" s="26">
        <v>0.13677203388322678</v>
      </c>
      <c r="BC103" s="26">
        <v>0</v>
      </c>
      <c r="BD103" s="26">
        <v>0</v>
      </c>
      <c r="BE103" s="26">
        <v>32.190460663602906</v>
      </c>
      <c r="BF103" s="26">
        <v>13.028485374828241</v>
      </c>
      <c r="BG103" s="26">
        <v>14.234207822950099</v>
      </c>
      <c r="BH103" s="30">
        <v>2.4707753616392485</v>
      </c>
      <c r="BI103" s="26">
        <v>4.3448757575603603</v>
      </c>
      <c r="BJ103" s="26">
        <v>10.040347023849765</v>
      </c>
      <c r="BK103" s="26">
        <v>0</v>
      </c>
      <c r="BL103" s="26">
        <v>61.182889420241246</v>
      </c>
      <c r="BM103" s="26">
        <v>75.568112201651374</v>
      </c>
      <c r="BN103" s="26">
        <v>32.05368862971968</v>
      </c>
      <c r="BO103" s="26">
        <v>0</v>
      </c>
      <c r="BP103" s="26">
        <v>0.13677203388322678</v>
      </c>
      <c r="BQ103" s="26">
        <v>0</v>
      </c>
      <c r="BR103" s="26">
        <v>0</v>
      </c>
      <c r="BS103" s="26">
        <v>0</v>
      </c>
      <c r="BT103" s="26">
        <v>0</v>
      </c>
      <c r="BU103" s="26">
        <v>0</v>
      </c>
      <c r="BV103" s="26">
        <v>0</v>
      </c>
      <c r="BW103" s="26">
        <v>0</v>
      </c>
      <c r="BX103" s="26">
        <v>68.440931335099151</v>
      </c>
      <c r="BY103" s="26"/>
      <c r="BZ103" s="26">
        <v>0</v>
      </c>
      <c r="CA103" s="26">
        <v>0</v>
      </c>
      <c r="CB103" s="26">
        <v>32.190460663602906</v>
      </c>
      <c r="CC103" s="26">
        <v>68.440931335099151</v>
      </c>
      <c r="CD103" s="742">
        <v>0.47033931356066155</v>
      </c>
      <c r="CE103" s="26">
        <v>75.417097243191321</v>
      </c>
      <c r="CF103" s="26">
        <v>0.63310672704084014</v>
      </c>
      <c r="CG103" s="26">
        <v>0</v>
      </c>
      <c r="CH103" s="26">
        <v>0.63310672704084014</v>
      </c>
      <c r="CI103" s="26">
        <v>3.1654908441431491E-2</v>
      </c>
      <c r="CJ103" s="26">
        <v>0</v>
      </c>
      <c r="CK103" s="26">
        <v>3.1654908441431491E-2</v>
      </c>
      <c r="CL103" s="26"/>
      <c r="CM103" s="26">
        <v>0</v>
      </c>
      <c r="CN103" s="26"/>
      <c r="CO103" s="26">
        <v>0</v>
      </c>
      <c r="CP103" s="26">
        <v>0</v>
      </c>
      <c r="CQ103" s="26">
        <v>0</v>
      </c>
      <c r="CR103" s="26">
        <v>0</v>
      </c>
      <c r="CS103" s="26">
        <v>0</v>
      </c>
      <c r="CT103" s="26">
        <v>0</v>
      </c>
      <c r="CU103" s="26">
        <v>0</v>
      </c>
      <c r="CV103" s="26">
        <v>9999</v>
      </c>
      <c r="CW103" s="30">
        <v>9999</v>
      </c>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row>
    <row r="104" spans="1:131">
      <c r="A104" s="7" t="s">
        <v>1318</v>
      </c>
      <c r="B104" s="7" t="s">
        <v>1296</v>
      </c>
      <c r="C104" s="26">
        <v>5</v>
      </c>
      <c r="D104" s="26">
        <v>372.94092628248404</v>
      </c>
      <c r="E104" s="26">
        <v>0</v>
      </c>
      <c r="F104" s="26">
        <v>6.2666666666666666</v>
      </c>
      <c r="G104" s="26">
        <v>0</v>
      </c>
      <c r="H104" s="26">
        <v>0</v>
      </c>
      <c r="I104" s="26" t="s">
        <v>1288</v>
      </c>
      <c r="J104" s="26"/>
      <c r="K104" s="26"/>
      <c r="L104" s="26">
        <v>398.75442145308739</v>
      </c>
      <c r="M104" s="26">
        <v>1.0606173555314377E-3</v>
      </c>
      <c r="N104" s="26">
        <v>1.0529622950862536E-3</v>
      </c>
      <c r="O104" s="26">
        <v>0</v>
      </c>
      <c r="P104" s="26">
        <v>0</v>
      </c>
      <c r="Q104" s="26">
        <v>0</v>
      </c>
      <c r="R104" s="26">
        <v>1.2496570466136128</v>
      </c>
      <c r="S104" s="26">
        <v>2.8877673629602212</v>
      </c>
      <c r="T104" s="26">
        <v>0</v>
      </c>
      <c r="U104" s="26">
        <v>17.597195676572522</v>
      </c>
      <c r="V104" s="26" t="s">
        <v>1516</v>
      </c>
      <c r="W104" s="26" t="s">
        <v>1516</v>
      </c>
      <c r="X104" s="26" t="s">
        <v>1516</v>
      </c>
      <c r="Y104" s="26" t="s">
        <v>1516</v>
      </c>
      <c r="Z104" s="26">
        <v>0</v>
      </c>
      <c r="AA104" s="26">
        <v>0</v>
      </c>
      <c r="AB104" s="26">
        <v>0</v>
      </c>
      <c r="AC104" s="26">
        <v>0</v>
      </c>
      <c r="AD104" s="26">
        <v>0</v>
      </c>
      <c r="AE104" s="26">
        <v>0</v>
      </c>
      <c r="AF104" s="26">
        <v>0</v>
      </c>
      <c r="AG104" s="26">
        <v>0</v>
      </c>
      <c r="AH104" s="26">
        <v>1.2496570466136128</v>
      </c>
      <c r="AI104" s="26">
        <v>2.8877673629602212</v>
      </c>
      <c r="AJ104" s="26">
        <v>0</v>
      </c>
      <c r="AK104" s="26">
        <v>17.597195676572522</v>
      </c>
      <c r="AL104" s="26">
        <v>21.734620086146357</v>
      </c>
      <c r="AM104" s="26">
        <v>191.79446663379949</v>
      </c>
      <c r="AN104" s="26">
        <v>0.37476753570903026</v>
      </c>
      <c r="AO104" s="26">
        <v>0</v>
      </c>
      <c r="AP104" s="26">
        <v>0</v>
      </c>
      <c r="AQ104" s="26">
        <v>192.16923416950851</v>
      </c>
      <c r="AR104" s="26">
        <v>1.2496570466136128</v>
      </c>
      <c r="AS104" s="30">
        <v>153.77757816855348</v>
      </c>
      <c r="AT104" s="26">
        <v>191.79446663379949</v>
      </c>
      <c r="AU104" s="26">
        <v>0.44361313779421879</v>
      </c>
      <c r="AV104" s="26">
        <v>0</v>
      </c>
      <c r="AW104" s="26">
        <v>0</v>
      </c>
      <c r="AX104" s="26">
        <v>192.2380797715937</v>
      </c>
      <c r="AY104" s="26">
        <v>2.8877673629602212</v>
      </c>
      <c r="AZ104" s="30">
        <v>66.569794449969962</v>
      </c>
      <c r="BA104" s="26">
        <v>191.79446663379949</v>
      </c>
      <c r="BB104" s="26">
        <v>0.81838067350324906</v>
      </c>
      <c r="BC104" s="26">
        <v>0</v>
      </c>
      <c r="BD104" s="26">
        <v>0</v>
      </c>
      <c r="BE104" s="26">
        <v>192.61284730730273</v>
      </c>
      <c r="BF104" s="26">
        <v>4.1374244095738337</v>
      </c>
      <c r="BG104" s="26">
        <v>0.61245978571820858</v>
      </c>
      <c r="BH104" s="30">
        <v>46.553804550870908</v>
      </c>
      <c r="BI104" s="26">
        <v>0.23059795165469404</v>
      </c>
      <c r="BJ104" s="26">
        <v>0.53287679252354203</v>
      </c>
      <c r="BK104" s="26">
        <v>0</v>
      </c>
      <c r="BL104" s="26">
        <v>3.2471927309022215</v>
      </c>
      <c r="BM104" s="26">
        <v>4.0106674750804574</v>
      </c>
      <c r="BN104" s="26">
        <v>191.79446663379949</v>
      </c>
      <c r="BO104" s="26">
        <v>0</v>
      </c>
      <c r="BP104" s="26">
        <v>0.81838067350324906</v>
      </c>
      <c r="BQ104" s="26">
        <v>0</v>
      </c>
      <c r="BR104" s="26">
        <v>0</v>
      </c>
      <c r="BS104" s="26">
        <v>0</v>
      </c>
      <c r="BT104" s="26">
        <v>0</v>
      </c>
      <c r="BU104" s="26">
        <v>0</v>
      </c>
      <c r="BV104" s="26">
        <v>0</v>
      </c>
      <c r="BW104" s="26">
        <v>0</v>
      </c>
      <c r="BX104" s="26">
        <v>21.734620086146357</v>
      </c>
      <c r="BY104" s="26"/>
      <c r="BZ104" s="26">
        <v>0</v>
      </c>
      <c r="CA104" s="26">
        <v>0</v>
      </c>
      <c r="CB104" s="26">
        <v>192.61284730730273</v>
      </c>
      <c r="CC104" s="26">
        <v>21.734620086146357</v>
      </c>
      <c r="CD104" s="30">
        <v>8.8620296349267278</v>
      </c>
      <c r="CE104" s="26">
        <v>3.8596525166204283</v>
      </c>
      <c r="CF104" s="26">
        <v>3.7882182121930161</v>
      </c>
      <c r="CG104" s="26">
        <v>0</v>
      </c>
      <c r="CH104" s="26">
        <v>3.7882182121930161</v>
      </c>
      <c r="CI104" s="26">
        <v>0.18940835019021646</v>
      </c>
      <c r="CJ104" s="26">
        <v>0</v>
      </c>
      <c r="CK104" s="26">
        <v>0.18940835019021646</v>
      </c>
      <c r="CL104" s="26"/>
      <c r="CM104" s="26">
        <v>0</v>
      </c>
      <c r="CN104" s="26"/>
      <c r="CO104" s="26">
        <v>0</v>
      </c>
      <c r="CP104" s="26">
        <v>0</v>
      </c>
      <c r="CQ104" s="26">
        <v>0</v>
      </c>
      <c r="CR104" s="26">
        <v>0</v>
      </c>
      <c r="CS104" s="26">
        <v>0</v>
      </c>
      <c r="CT104" s="26">
        <v>0</v>
      </c>
      <c r="CU104" s="26">
        <v>0</v>
      </c>
      <c r="CV104" s="26">
        <v>9999</v>
      </c>
      <c r="CW104" s="30">
        <v>9999</v>
      </c>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row>
    <row r="105" spans="1:131">
      <c r="A105" s="7" t="s">
        <v>1319</v>
      </c>
      <c r="B105" s="7" t="s">
        <v>1298</v>
      </c>
      <c r="C105" s="26">
        <v>5</v>
      </c>
      <c r="D105" s="26">
        <v>386.52682892371809</v>
      </c>
      <c r="E105" s="26">
        <v>0</v>
      </c>
      <c r="F105" s="26">
        <v>21.866666666666667</v>
      </c>
      <c r="G105" s="26">
        <v>0</v>
      </c>
      <c r="H105" s="26">
        <v>0</v>
      </c>
      <c r="I105" s="26" t="s">
        <v>1288</v>
      </c>
      <c r="J105" s="26"/>
      <c r="K105" s="26"/>
      <c r="L105" s="26">
        <v>413.28068651502326</v>
      </c>
      <c r="M105" s="26">
        <v>1.0992546922149928E-3</v>
      </c>
      <c r="N105" s="26">
        <v>1.0913207648002923E-3</v>
      </c>
      <c r="O105" s="26">
        <v>0</v>
      </c>
      <c r="P105" s="26">
        <v>0</v>
      </c>
      <c r="Q105" s="26">
        <v>0</v>
      </c>
      <c r="R105" s="26">
        <v>4.3605054392474996</v>
      </c>
      <c r="S105" s="26">
        <v>10.07646484096758</v>
      </c>
      <c r="T105" s="26">
        <v>0</v>
      </c>
      <c r="U105" s="26">
        <v>61.40298065867858</v>
      </c>
      <c r="V105" s="26" t="s">
        <v>1516</v>
      </c>
      <c r="W105" s="26" t="s">
        <v>1516</v>
      </c>
      <c r="X105" s="26" t="s">
        <v>1516</v>
      </c>
      <c r="Y105" s="26" t="s">
        <v>1516</v>
      </c>
      <c r="Z105" s="26">
        <v>0</v>
      </c>
      <c r="AA105" s="26">
        <v>0</v>
      </c>
      <c r="AB105" s="26">
        <v>0</v>
      </c>
      <c r="AC105" s="26">
        <v>0</v>
      </c>
      <c r="AD105" s="26">
        <v>0</v>
      </c>
      <c r="AE105" s="26">
        <v>0</v>
      </c>
      <c r="AF105" s="26">
        <v>0</v>
      </c>
      <c r="AG105" s="26">
        <v>0</v>
      </c>
      <c r="AH105" s="26">
        <v>4.3605054392474996</v>
      </c>
      <c r="AI105" s="26">
        <v>10.07646484096758</v>
      </c>
      <c r="AJ105" s="26">
        <v>0</v>
      </c>
      <c r="AK105" s="26">
        <v>61.40298065867858</v>
      </c>
      <c r="AL105" s="26">
        <v>75.839950938893651</v>
      </c>
      <c r="AM105" s="26">
        <v>198.78136661495245</v>
      </c>
      <c r="AN105" s="26">
        <v>0.38841998008940776</v>
      </c>
      <c r="AO105" s="26">
        <v>0</v>
      </c>
      <c r="AP105" s="26">
        <v>0</v>
      </c>
      <c r="AQ105" s="26">
        <v>199.16978659504184</v>
      </c>
      <c r="AR105" s="26">
        <v>4.3605054392474996</v>
      </c>
      <c r="AS105" s="30">
        <v>45.675848676251839</v>
      </c>
      <c r="AT105" s="26">
        <v>198.78136661495245</v>
      </c>
      <c r="AU105" s="26">
        <v>0.45977356556094645</v>
      </c>
      <c r="AV105" s="26">
        <v>0</v>
      </c>
      <c r="AW105" s="26">
        <v>0</v>
      </c>
      <c r="AX105" s="26">
        <v>199.24114018051338</v>
      </c>
      <c r="AY105" s="26">
        <v>10.07646484096758</v>
      </c>
      <c r="AZ105" s="30">
        <v>19.772920694415038</v>
      </c>
      <c r="BA105" s="26">
        <v>198.78136661495245</v>
      </c>
      <c r="BB105" s="26">
        <v>0.84819354565035421</v>
      </c>
      <c r="BC105" s="26">
        <v>0</v>
      </c>
      <c r="BD105" s="26">
        <v>0</v>
      </c>
      <c r="BE105" s="26">
        <v>199.62956016060278</v>
      </c>
      <c r="BF105" s="26">
        <v>14.436970280215078</v>
      </c>
      <c r="BG105" s="26">
        <v>2.4193871370707702</v>
      </c>
      <c r="BH105" s="30">
        <v>13.82766302665193</v>
      </c>
      <c r="BI105" s="26">
        <v>0.77635764991324874</v>
      </c>
      <c r="BJ105" s="26">
        <v>1.7940444456175446</v>
      </c>
      <c r="BK105" s="26">
        <v>0</v>
      </c>
      <c r="BL105" s="26">
        <v>10.932373420010453</v>
      </c>
      <c r="BM105" s="26">
        <v>13.502775515541247</v>
      </c>
      <c r="BN105" s="26">
        <v>198.78136661495245</v>
      </c>
      <c r="BO105" s="26">
        <v>0</v>
      </c>
      <c r="BP105" s="26">
        <v>0.84819354565035421</v>
      </c>
      <c r="BQ105" s="26">
        <v>0</v>
      </c>
      <c r="BR105" s="26">
        <v>0</v>
      </c>
      <c r="BS105" s="26">
        <v>0</v>
      </c>
      <c r="BT105" s="26">
        <v>0</v>
      </c>
      <c r="BU105" s="26">
        <v>0</v>
      </c>
      <c r="BV105" s="26">
        <v>0</v>
      </c>
      <c r="BW105" s="26">
        <v>0</v>
      </c>
      <c r="BX105" s="26">
        <v>75.839950938893651</v>
      </c>
      <c r="BY105" s="26"/>
      <c r="BZ105" s="26">
        <v>0</v>
      </c>
      <c r="CA105" s="26">
        <v>0</v>
      </c>
      <c r="CB105" s="26">
        <v>199.62956016060278</v>
      </c>
      <c r="CC105" s="26">
        <v>75.839950938893651</v>
      </c>
      <c r="CD105" s="30">
        <v>2.6322480129430708</v>
      </c>
      <c r="CE105" s="26">
        <v>13.351760557081219</v>
      </c>
      <c r="CF105" s="26">
        <v>3.9262195957569674</v>
      </c>
      <c r="CG105" s="26">
        <v>0</v>
      </c>
      <c r="CH105" s="26">
        <v>3.9262195957569674</v>
      </c>
      <c r="CI105" s="26">
        <v>0.19630832609463603</v>
      </c>
      <c r="CJ105" s="26">
        <v>0</v>
      </c>
      <c r="CK105" s="26">
        <v>0.19630832609463603</v>
      </c>
      <c r="CL105" s="26"/>
      <c r="CM105" s="26">
        <v>0</v>
      </c>
      <c r="CN105" s="26"/>
      <c r="CO105" s="26">
        <v>0</v>
      </c>
      <c r="CP105" s="26">
        <v>0</v>
      </c>
      <c r="CQ105" s="26">
        <v>0</v>
      </c>
      <c r="CR105" s="26">
        <v>0</v>
      </c>
      <c r="CS105" s="26">
        <v>0</v>
      </c>
      <c r="CT105" s="26">
        <v>0</v>
      </c>
      <c r="CU105" s="26">
        <v>0</v>
      </c>
      <c r="CV105" s="26">
        <v>9999</v>
      </c>
      <c r="CW105" s="30">
        <v>9999</v>
      </c>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row>
    <row r="106" spans="1:131">
      <c r="A106" s="7" t="s">
        <v>1320</v>
      </c>
      <c r="B106" s="7" t="s">
        <v>1300</v>
      </c>
      <c r="C106" s="26">
        <v>8</v>
      </c>
      <c r="D106" s="26">
        <v>185.56558812777402</v>
      </c>
      <c r="E106" s="26">
        <v>0</v>
      </c>
      <c r="F106" s="26">
        <v>28.8</v>
      </c>
      <c r="G106" s="26">
        <v>0</v>
      </c>
      <c r="H106" s="26">
        <v>0</v>
      </c>
      <c r="I106" s="26" t="s">
        <v>1288</v>
      </c>
      <c r="J106" s="26"/>
      <c r="K106" s="26"/>
      <c r="L106" s="26">
        <v>198.409703845281</v>
      </c>
      <c r="M106" s="26">
        <v>5.2773527786177817E-4</v>
      </c>
      <c r="N106" s="26">
        <v>5.2392632128566807E-4</v>
      </c>
      <c r="O106" s="26">
        <v>0</v>
      </c>
      <c r="P106" s="26">
        <v>0</v>
      </c>
      <c r="Q106" s="26">
        <v>0</v>
      </c>
      <c r="R106" s="26">
        <v>5.74310472486256</v>
      </c>
      <c r="S106" s="26">
        <v>13.271441497859739</v>
      </c>
      <c r="T106" s="26">
        <v>0</v>
      </c>
      <c r="U106" s="26">
        <v>46.062527454630569</v>
      </c>
      <c r="V106" s="26" t="s">
        <v>1516</v>
      </c>
      <c r="W106" s="26" t="s">
        <v>1516</v>
      </c>
      <c r="X106" s="26" t="s">
        <v>1516</v>
      </c>
      <c r="Y106" s="26" t="s">
        <v>1516</v>
      </c>
      <c r="Z106" s="26">
        <v>0</v>
      </c>
      <c r="AA106" s="26">
        <v>0</v>
      </c>
      <c r="AB106" s="26">
        <v>0</v>
      </c>
      <c r="AC106" s="26">
        <v>0</v>
      </c>
      <c r="AD106" s="26">
        <v>0</v>
      </c>
      <c r="AE106" s="26">
        <v>0</v>
      </c>
      <c r="AF106" s="26">
        <v>0</v>
      </c>
      <c r="AG106" s="26">
        <v>0</v>
      </c>
      <c r="AH106" s="26">
        <v>5.74310472486256</v>
      </c>
      <c r="AI106" s="26">
        <v>13.271441497859739</v>
      </c>
      <c r="AJ106" s="26">
        <v>0</v>
      </c>
      <c r="AK106" s="26">
        <v>46.062527454630569</v>
      </c>
      <c r="AL106" s="26">
        <v>65.077073677352871</v>
      </c>
      <c r="AM106" s="26">
        <v>95.431878059947152</v>
      </c>
      <c r="AN106" s="26">
        <v>0.18647446089723788</v>
      </c>
      <c r="AO106" s="26">
        <v>0</v>
      </c>
      <c r="AP106" s="26">
        <v>0</v>
      </c>
      <c r="AQ106" s="26">
        <v>95.618352520844397</v>
      </c>
      <c r="AR106" s="26">
        <v>5.74310472486256</v>
      </c>
      <c r="AS106" s="30">
        <v>16.649244111273397</v>
      </c>
      <c r="AT106" s="26">
        <v>95.431878059947152</v>
      </c>
      <c r="AU106" s="26">
        <v>0.22073022029670916</v>
      </c>
      <c r="AV106" s="26">
        <v>0</v>
      </c>
      <c r="AW106" s="26">
        <v>0</v>
      </c>
      <c r="AX106" s="26">
        <v>95.652608280243868</v>
      </c>
      <c r="AY106" s="26">
        <v>13.271441497859739</v>
      </c>
      <c r="AZ106" s="30">
        <v>7.2074015694278266</v>
      </c>
      <c r="BA106" s="26">
        <v>95.431878059947152</v>
      </c>
      <c r="BB106" s="26">
        <v>0.40720468119394704</v>
      </c>
      <c r="BC106" s="26">
        <v>0</v>
      </c>
      <c r="BD106" s="26">
        <v>0</v>
      </c>
      <c r="BE106" s="26">
        <v>95.839082741141112</v>
      </c>
      <c r="BF106" s="26">
        <v>19.014546222722299</v>
      </c>
      <c r="BG106" s="26">
        <v>6.9006743775794739</v>
      </c>
      <c r="BH106" s="30">
        <v>5.0403034402479632</v>
      </c>
      <c r="BI106" s="26">
        <v>2.1298741431796984</v>
      </c>
      <c r="BJ106" s="26">
        <v>4.9218151928598086</v>
      </c>
      <c r="BK106" s="26">
        <v>0</v>
      </c>
      <c r="BL106" s="26">
        <v>17.082639250927198</v>
      </c>
      <c r="BM106" s="26">
        <v>24.134328586966706</v>
      </c>
      <c r="BN106" s="26">
        <v>95.431878059947152</v>
      </c>
      <c r="BO106" s="26">
        <v>0</v>
      </c>
      <c r="BP106" s="26">
        <v>0.40720468119394704</v>
      </c>
      <c r="BQ106" s="26">
        <v>0</v>
      </c>
      <c r="BR106" s="26">
        <v>0</v>
      </c>
      <c r="BS106" s="26">
        <v>0</v>
      </c>
      <c r="BT106" s="26">
        <v>0</v>
      </c>
      <c r="BU106" s="26">
        <v>0</v>
      </c>
      <c r="BV106" s="26">
        <v>0</v>
      </c>
      <c r="BW106" s="26">
        <v>0</v>
      </c>
      <c r="BX106" s="26">
        <v>65.077073677352871</v>
      </c>
      <c r="BY106" s="26"/>
      <c r="BZ106" s="26">
        <v>0</v>
      </c>
      <c r="CA106" s="26">
        <v>0</v>
      </c>
      <c r="CB106" s="26">
        <v>95.839082741141112</v>
      </c>
      <c r="CC106" s="26">
        <v>65.077073677352871</v>
      </c>
      <c r="CD106" s="30">
        <v>1.4727011730168433</v>
      </c>
      <c r="CE106" s="26">
        <v>23.983313628506671</v>
      </c>
      <c r="CF106" s="26">
        <v>1.8849176664764418</v>
      </c>
      <c r="CG106" s="26">
        <v>0</v>
      </c>
      <c r="CH106" s="26">
        <v>1.8849176664764418</v>
      </c>
      <c r="CI106" s="26">
        <v>9.4244609326508466E-2</v>
      </c>
      <c r="CJ106" s="26">
        <v>0</v>
      </c>
      <c r="CK106" s="26">
        <v>9.4244609326508466E-2</v>
      </c>
      <c r="CL106" s="26"/>
      <c r="CM106" s="26">
        <v>0</v>
      </c>
      <c r="CN106" s="26"/>
      <c r="CO106" s="26">
        <v>0</v>
      </c>
      <c r="CP106" s="26">
        <v>0</v>
      </c>
      <c r="CQ106" s="26">
        <v>0</v>
      </c>
      <c r="CR106" s="26">
        <v>0</v>
      </c>
      <c r="CS106" s="26">
        <v>0</v>
      </c>
      <c r="CT106" s="26">
        <v>0</v>
      </c>
      <c r="CU106" s="26">
        <v>0</v>
      </c>
      <c r="CV106" s="26">
        <v>9999</v>
      </c>
      <c r="CW106" s="30">
        <v>9999</v>
      </c>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row>
    <row r="107" spans="1:131">
      <c r="A107" s="7" t="s">
        <v>1321</v>
      </c>
      <c r="B107" s="7" t="s">
        <v>1302</v>
      </c>
      <c r="C107" s="26">
        <v>10</v>
      </c>
      <c r="D107" s="26">
        <v>321.16441941429207</v>
      </c>
      <c r="E107" s="26">
        <v>0</v>
      </c>
      <c r="F107" s="26">
        <v>160</v>
      </c>
      <c r="G107" s="26">
        <v>0</v>
      </c>
      <c r="H107" s="26">
        <v>0</v>
      </c>
      <c r="I107" s="26" t="s">
        <v>1288</v>
      </c>
      <c r="J107" s="26"/>
      <c r="K107" s="26"/>
      <c r="L107" s="26">
        <v>343.39414966181369</v>
      </c>
      <c r="M107" s="26">
        <v>9.133686683449805E-4</v>
      </c>
      <c r="N107" s="26">
        <v>9.0677638289118011E-4</v>
      </c>
      <c r="O107" s="26">
        <v>0</v>
      </c>
      <c r="P107" s="26">
        <v>0</v>
      </c>
      <c r="Q107" s="26">
        <v>0</v>
      </c>
      <c r="R107" s="26">
        <v>31.906137360347557</v>
      </c>
      <c r="S107" s="26">
        <v>73.730230543665215</v>
      </c>
      <c r="T107" s="26">
        <v>0</v>
      </c>
      <c r="U107" s="26">
        <v>191.76973147720528</v>
      </c>
      <c r="V107" s="26" t="s">
        <v>1516</v>
      </c>
      <c r="W107" s="26" t="s">
        <v>1516</v>
      </c>
      <c r="X107" s="26" t="s">
        <v>1516</v>
      </c>
      <c r="Y107" s="26" t="s">
        <v>1516</v>
      </c>
      <c r="Z107" s="26">
        <v>0</v>
      </c>
      <c r="AA107" s="26">
        <v>0</v>
      </c>
      <c r="AB107" s="26">
        <v>0</v>
      </c>
      <c r="AC107" s="26">
        <v>0</v>
      </c>
      <c r="AD107" s="26">
        <v>0</v>
      </c>
      <c r="AE107" s="26">
        <v>0</v>
      </c>
      <c r="AF107" s="26">
        <v>0</v>
      </c>
      <c r="AG107" s="26">
        <v>0</v>
      </c>
      <c r="AH107" s="26">
        <v>31.906137360347557</v>
      </c>
      <c r="AI107" s="26">
        <v>73.730230543665215</v>
      </c>
      <c r="AJ107" s="26">
        <v>0</v>
      </c>
      <c r="AK107" s="26">
        <v>191.76973147720528</v>
      </c>
      <c r="AL107" s="26">
        <v>297.40609938121804</v>
      </c>
      <c r="AM107" s="26">
        <v>165.16706583353366</v>
      </c>
      <c r="AN107" s="26">
        <v>0.32273743517799786</v>
      </c>
      <c r="AO107" s="26">
        <v>0</v>
      </c>
      <c r="AP107" s="26">
        <v>0</v>
      </c>
      <c r="AQ107" s="26">
        <v>165.48980326871165</v>
      </c>
      <c r="AR107" s="26">
        <v>31.906137360347557</v>
      </c>
      <c r="AS107" s="30">
        <v>5.1867702254168746</v>
      </c>
      <c r="AT107" s="26">
        <v>165.16706583353366</v>
      </c>
      <c r="AU107" s="26">
        <v>0.38202499592741579</v>
      </c>
      <c r="AV107" s="26">
        <v>0</v>
      </c>
      <c r="AW107" s="26">
        <v>0</v>
      </c>
      <c r="AX107" s="26">
        <v>165.54909082946108</v>
      </c>
      <c r="AY107" s="26">
        <v>73.730230543665215</v>
      </c>
      <c r="AZ107" s="30">
        <v>2.2453353205157556</v>
      </c>
      <c r="BA107" s="26">
        <v>165.16706583353366</v>
      </c>
      <c r="BB107" s="26">
        <v>0.7047624311054137</v>
      </c>
      <c r="BC107" s="26">
        <v>0</v>
      </c>
      <c r="BD107" s="26">
        <v>0</v>
      </c>
      <c r="BE107" s="26">
        <v>165.87182826463908</v>
      </c>
      <c r="BF107" s="26">
        <v>105.63636790401277</v>
      </c>
      <c r="BG107" s="26">
        <v>22.484515834336747</v>
      </c>
      <c r="BH107" s="30">
        <v>1.5702151783120721</v>
      </c>
      <c r="BI107" s="26">
        <v>6.8367776082153284</v>
      </c>
      <c r="BJ107" s="26">
        <v>15.79875318458145</v>
      </c>
      <c r="BK107" s="26">
        <v>0</v>
      </c>
      <c r="BL107" s="26">
        <v>41.092000303559828</v>
      </c>
      <c r="BM107" s="26">
        <v>63.7275310963566</v>
      </c>
      <c r="BN107" s="26">
        <v>165.16706583353366</v>
      </c>
      <c r="BO107" s="26">
        <v>0</v>
      </c>
      <c r="BP107" s="26">
        <v>0.7047624311054137</v>
      </c>
      <c r="BQ107" s="26">
        <v>0</v>
      </c>
      <c r="BR107" s="26">
        <v>0</v>
      </c>
      <c r="BS107" s="26">
        <v>0</v>
      </c>
      <c r="BT107" s="26">
        <v>0</v>
      </c>
      <c r="BU107" s="26">
        <v>0</v>
      </c>
      <c r="BV107" s="26">
        <v>0</v>
      </c>
      <c r="BW107" s="26">
        <v>0</v>
      </c>
      <c r="BX107" s="26">
        <v>297.40609938121804</v>
      </c>
      <c r="BY107" s="26"/>
      <c r="BZ107" s="26">
        <v>0</v>
      </c>
      <c r="CA107" s="26">
        <v>0</v>
      </c>
      <c r="CB107" s="26">
        <v>165.87182826463908</v>
      </c>
      <c r="CC107" s="26">
        <v>297.40609938121804</v>
      </c>
      <c r="CD107" s="742">
        <v>0.55772840103061549</v>
      </c>
      <c r="CE107" s="26">
        <v>63.576516137896562</v>
      </c>
      <c r="CF107" s="26">
        <v>3.2622885207617998</v>
      </c>
      <c r="CG107" s="26">
        <v>0</v>
      </c>
      <c r="CH107" s="26">
        <v>3.2622885207617998</v>
      </c>
      <c r="CI107" s="26">
        <v>0.16311222108936146</v>
      </c>
      <c r="CJ107" s="26">
        <v>0</v>
      </c>
      <c r="CK107" s="26">
        <v>0.16311222108936146</v>
      </c>
      <c r="CL107" s="26"/>
      <c r="CM107" s="26">
        <v>0</v>
      </c>
      <c r="CN107" s="26"/>
      <c r="CO107" s="26">
        <v>0</v>
      </c>
      <c r="CP107" s="26">
        <v>0</v>
      </c>
      <c r="CQ107" s="26">
        <v>0</v>
      </c>
      <c r="CR107" s="26">
        <v>0</v>
      </c>
      <c r="CS107" s="26">
        <v>0</v>
      </c>
      <c r="CT107" s="26">
        <v>0</v>
      </c>
      <c r="CU107" s="26">
        <v>0</v>
      </c>
      <c r="CV107" s="26">
        <v>9999</v>
      </c>
      <c r="CW107" s="30">
        <v>9999</v>
      </c>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row>
    <row r="108" spans="1:131">
      <c r="A108" s="7" t="s">
        <v>1322</v>
      </c>
      <c r="B108" s="7" t="s">
        <v>1304</v>
      </c>
      <c r="C108" s="26">
        <v>5</v>
      </c>
      <c r="D108" s="26">
        <v>92.479777249884535</v>
      </c>
      <c r="E108" s="26">
        <v>0</v>
      </c>
      <c r="F108" s="26">
        <v>5.2</v>
      </c>
      <c r="G108" s="26">
        <v>0</v>
      </c>
      <c r="H108" s="26">
        <v>0</v>
      </c>
      <c r="I108" s="26" t="s">
        <v>1288</v>
      </c>
      <c r="J108" s="26"/>
      <c r="K108" s="26"/>
      <c r="L108" s="26">
        <v>98.880861483826095</v>
      </c>
      <c r="M108" s="26">
        <v>2.6300588075606906E-4</v>
      </c>
      <c r="N108" s="26">
        <v>2.6110762225206997E-4</v>
      </c>
      <c r="O108" s="26">
        <v>0</v>
      </c>
      <c r="P108" s="26">
        <v>0</v>
      </c>
      <c r="Q108" s="26">
        <v>0</v>
      </c>
      <c r="R108" s="26">
        <v>1.0369494642112955</v>
      </c>
      <c r="S108" s="26">
        <v>2.3962324926691196</v>
      </c>
      <c r="T108" s="26">
        <v>0</v>
      </c>
      <c r="U108" s="26">
        <v>14.601928327368688</v>
      </c>
      <c r="V108" s="26" t="s">
        <v>1516</v>
      </c>
      <c r="W108" s="26" t="s">
        <v>1516</v>
      </c>
      <c r="X108" s="26" t="s">
        <v>1516</v>
      </c>
      <c r="Y108" s="26" t="s">
        <v>1516</v>
      </c>
      <c r="Z108" s="26">
        <v>0</v>
      </c>
      <c r="AA108" s="26">
        <v>0</v>
      </c>
      <c r="AB108" s="26">
        <v>0</v>
      </c>
      <c r="AC108" s="26">
        <v>0</v>
      </c>
      <c r="AD108" s="26">
        <v>0</v>
      </c>
      <c r="AE108" s="26">
        <v>0</v>
      </c>
      <c r="AF108" s="26">
        <v>0</v>
      </c>
      <c r="AG108" s="26">
        <v>0</v>
      </c>
      <c r="AH108" s="26">
        <v>1.0369494642112955</v>
      </c>
      <c r="AI108" s="26">
        <v>2.3962324926691196</v>
      </c>
      <c r="AJ108" s="26">
        <v>0</v>
      </c>
      <c r="AK108" s="26">
        <v>14.601928327368688</v>
      </c>
      <c r="AL108" s="26">
        <v>18.035110284249104</v>
      </c>
      <c r="AM108" s="26">
        <v>47.560104837137736</v>
      </c>
      <c r="AN108" s="26">
        <v>9.293272950313651E-2</v>
      </c>
      <c r="AO108" s="26">
        <v>0</v>
      </c>
      <c r="AP108" s="26">
        <v>0</v>
      </c>
      <c r="AQ108" s="26">
        <v>47.653037566640876</v>
      </c>
      <c r="AR108" s="26">
        <v>1.0369494642112955</v>
      </c>
      <c r="AS108" s="30">
        <v>45.955024050169897</v>
      </c>
      <c r="AT108" s="26">
        <v>47.560104837137736</v>
      </c>
      <c r="AU108" s="26">
        <v>0.11000467172448949</v>
      </c>
      <c r="AV108" s="26">
        <v>0</v>
      </c>
      <c r="AW108" s="26">
        <v>0</v>
      </c>
      <c r="AX108" s="26">
        <v>47.670109508862225</v>
      </c>
      <c r="AY108" s="26">
        <v>2.3962324926691196</v>
      </c>
      <c r="AZ108" s="30">
        <v>19.893774771313346</v>
      </c>
      <c r="BA108" s="26">
        <v>47.560104837137736</v>
      </c>
      <c r="BB108" s="26">
        <v>0.20293740122762599</v>
      </c>
      <c r="BC108" s="26">
        <v>0</v>
      </c>
      <c r="BD108" s="26">
        <v>0</v>
      </c>
      <c r="BE108" s="26">
        <v>47.763042238365365</v>
      </c>
      <c r="BF108" s="26">
        <v>3.4331819568804152</v>
      </c>
      <c r="BG108" s="26">
        <v>2.4037720224892505</v>
      </c>
      <c r="BH108" s="30">
        <v>13.912179091656879</v>
      </c>
      <c r="BI108" s="26">
        <v>0.7716413007938997</v>
      </c>
      <c r="BJ108" s="26">
        <v>1.7831456801553809</v>
      </c>
      <c r="BK108" s="26">
        <v>0</v>
      </c>
      <c r="BL108" s="26">
        <v>10.865959583864676</v>
      </c>
      <c r="BM108" s="26">
        <v>13.420746564813959</v>
      </c>
      <c r="BN108" s="26">
        <v>47.560104837137736</v>
      </c>
      <c r="BO108" s="26">
        <v>0</v>
      </c>
      <c r="BP108" s="26">
        <v>0.20293740122762599</v>
      </c>
      <c r="BQ108" s="26">
        <v>0</v>
      </c>
      <c r="BR108" s="26">
        <v>0</v>
      </c>
      <c r="BS108" s="26">
        <v>0</v>
      </c>
      <c r="BT108" s="26">
        <v>0</v>
      </c>
      <c r="BU108" s="26">
        <v>0</v>
      </c>
      <c r="BV108" s="26">
        <v>0</v>
      </c>
      <c r="BW108" s="26">
        <v>0</v>
      </c>
      <c r="BX108" s="26">
        <v>18.035110284249104</v>
      </c>
      <c r="BY108" s="26"/>
      <c r="BZ108" s="26">
        <v>0</v>
      </c>
      <c r="CA108" s="26">
        <v>0</v>
      </c>
      <c r="CB108" s="26">
        <v>47.763042238365365</v>
      </c>
      <c r="CC108" s="26">
        <v>18.035110284249104</v>
      </c>
      <c r="CD108" s="30">
        <v>2.6483365771308334</v>
      </c>
      <c r="CE108" s="26">
        <v>13.269731606353925</v>
      </c>
      <c r="CF108" s="26">
        <v>0.93938088246235063</v>
      </c>
      <c r="CG108" s="26">
        <v>0</v>
      </c>
      <c r="CH108" s="26">
        <v>0.93938088246235063</v>
      </c>
      <c r="CI108" s="26">
        <v>4.6968409204817388E-2</v>
      </c>
      <c r="CJ108" s="26">
        <v>0</v>
      </c>
      <c r="CK108" s="26">
        <v>4.6968409204817388E-2</v>
      </c>
      <c r="CL108" s="26"/>
      <c r="CM108" s="26">
        <v>0</v>
      </c>
      <c r="CN108" s="26"/>
      <c r="CO108" s="26">
        <v>0</v>
      </c>
      <c r="CP108" s="26">
        <v>0</v>
      </c>
      <c r="CQ108" s="26">
        <v>0</v>
      </c>
      <c r="CR108" s="26">
        <v>0</v>
      </c>
      <c r="CS108" s="26">
        <v>0</v>
      </c>
      <c r="CT108" s="26">
        <v>0</v>
      </c>
      <c r="CU108" s="26">
        <v>0</v>
      </c>
      <c r="CV108" s="26">
        <v>9999</v>
      </c>
      <c r="CW108" s="30">
        <v>9999</v>
      </c>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row>
    <row r="109" spans="1:131">
      <c r="A109" s="7" t="s">
        <v>1323</v>
      </c>
      <c r="B109" s="7" t="s">
        <v>1306</v>
      </c>
      <c r="C109" s="26">
        <v>5</v>
      </c>
      <c r="D109" s="26">
        <v>122.56941681015363</v>
      </c>
      <c r="E109" s="26">
        <v>0</v>
      </c>
      <c r="F109" s="26">
        <v>24.253499999999999</v>
      </c>
      <c r="G109" s="26">
        <v>0</v>
      </c>
      <c r="H109" s="26">
        <v>0</v>
      </c>
      <c r="I109" s="26" t="s">
        <v>1288</v>
      </c>
      <c r="J109" s="26"/>
      <c r="K109" s="26"/>
      <c r="L109" s="26">
        <v>131.05318682818603</v>
      </c>
      <c r="M109" s="26">
        <v>3.4857866639111573E-4</v>
      </c>
      <c r="N109" s="26">
        <v>3.4606278189496903E-4</v>
      </c>
      <c r="O109" s="26">
        <v>0</v>
      </c>
      <c r="P109" s="26">
        <v>0</v>
      </c>
      <c r="Q109" s="26">
        <v>0</v>
      </c>
      <c r="R109" s="26">
        <v>4.836471890432434</v>
      </c>
      <c r="S109" s="26">
        <v>11.176350915567401</v>
      </c>
      <c r="T109" s="26">
        <v>0</v>
      </c>
      <c r="U109" s="26">
        <v>68.105359363045466</v>
      </c>
      <c r="V109" s="26" t="s">
        <v>1516</v>
      </c>
      <c r="W109" s="26" t="s">
        <v>1516</v>
      </c>
      <c r="X109" s="26" t="s">
        <v>1516</v>
      </c>
      <c r="Y109" s="26" t="s">
        <v>1516</v>
      </c>
      <c r="Z109" s="26">
        <v>0</v>
      </c>
      <c r="AA109" s="26">
        <v>0</v>
      </c>
      <c r="AB109" s="26">
        <v>0</v>
      </c>
      <c r="AC109" s="26">
        <v>0</v>
      </c>
      <c r="AD109" s="26">
        <v>0</v>
      </c>
      <c r="AE109" s="26">
        <v>0</v>
      </c>
      <c r="AF109" s="26">
        <v>0</v>
      </c>
      <c r="AG109" s="26">
        <v>0</v>
      </c>
      <c r="AH109" s="26">
        <v>4.836471890432434</v>
      </c>
      <c r="AI109" s="26">
        <v>11.176350915567401</v>
      </c>
      <c r="AJ109" s="26">
        <v>0</v>
      </c>
      <c r="AK109" s="26">
        <v>68.105359363045466</v>
      </c>
      <c r="AL109" s="26">
        <v>84.118182169045298</v>
      </c>
      <c r="AM109" s="26">
        <v>63.03447614894656</v>
      </c>
      <c r="AN109" s="26">
        <v>0.12316974366187095</v>
      </c>
      <c r="AO109" s="26">
        <v>0</v>
      </c>
      <c r="AP109" s="26">
        <v>0</v>
      </c>
      <c r="AQ109" s="26">
        <v>63.157645892608429</v>
      </c>
      <c r="AR109" s="26">
        <v>4.836471890432434</v>
      </c>
      <c r="AS109" s="30">
        <v>13.05861944893087</v>
      </c>
      <c r="AT109" s="26">
        <v>63.03447614894656</v>
      </c>
      <c r="AU109" s="26">
        <v>0.14579629039580011</v>
      </c>
      <c r="AV109" s="26">
        <v>0</v>
      </c>
      <c r="AW109" s="26">
        <v>0</v>
      </c>
      <c r="AX109" s="26">
        <v>63.18027243934236</v>
      </c>
      <c r="AY109" s="26">
        <v>11.176350915567401</v>
      </c>
      <c r="AZ109" s="30">
        <v>5.653032274723885</v>
      </c>
      <c r="BA109" s="26">
        <v>63.03447614894656</v>
      </c>
      <c r="BB109" s="26">
        <v>0.26896603405767106</v>
      </c>
      <c r="BC109" s="26">
        <v>0</v>
      </c>
      <c r="BD109" s="26">
        <v>0</v>
      </c>
      <c r="BE109" s="26">
        <v>63.303442183004229</v>
      </c>
      <c r="BF109" s="26">
        <v>16.012822805999836</v>
      </c>
      <c r="BG109" s="26">
        <v>8.8396212731668378</v>
      </c>
      <c r="BH109" s="30">
        <v>3.9532968640160746</v>
      </c>
      <c r="BI109" s="26">
        <v>2.7155086856437394</v>
      </c>
      <c r="BJ109" s="26">
        <v>6.2751275459831239</v>
      </c>
      <c r="BK109" s="26">
        <v>0</v>
      </c>
      <c r="BL109" s="26">
        <v>38.238761452349188</v>
      </c>
      <c r="BM109" s="26">
        <v>47.229397683976046</v>
      </c>
      <c r="BN109" s="26">
        <v>63.03447614894656</v>
      </c>
      <c r="BO109" s="26">
        <v>0</v>
      </c>
      <c r="BP109" s="26">
        <v>0.26896603405767106</v>
      </c>
      <c r="BQ109" s="26">
        <v>0</v>
      </c>
      <c r="BR109" s="26">
        <v>0</v>
      </c>
      <c r="BS109" s="26">
        <v>0</v>
      </c>
      <c r="BT109" s="26">
        <v>0</v>
      </c>
      <c r="BU109" s="26">
        <v>0</v>
      </c>
      <c r="BV109" s="26">
        <v>0</v>
      </c>
      <c r="BW109" s="26">
        <v>0</v>
      </c>
      <c r="BX109" s="26">
        <v>84.118182169045298</v>
      </c>
      <c r="BY109" s="26"/>
      <c r="BZ109" s="26">
        <v>0</v>
      </c>
      <c r="CA109" s="26">
        <v>0</v>
      </c>
      <c r="CB109" s="26">
        <v>63.303442183004229</v>
      </c>
      <c r="CC109" s="26">
        <v>84.118182169045298</v>
      </c>
      <c r="CD109" s="742">
        <v>0.75255361624183204</v>
      </c>
      <c r="CE109" s="26">
        <v>47.078382725516022</v>
      </c>
      <c r="CF109" s="26">
        <v>1.2450221048316961</v>
      </c>
      <c r="CG109" s="26">
        <v>0</v>
      </c>
      <c r="CH109" s="26">
        <v>1.2450221048316961</v>
      </c>
      <c r="CI109" s="26">
        <v>6.2250263743388358E-2</v>
      </c>
      <c r="CJ109" s="26">
        <v>0</v>
      </c>
      <c r="CK109" s="26">
        <v>6.2250263743388358E-2</v>
      </c>
      <c r="CL109" s="26"/>
      <c r="CM109" s="26">
        <v>0</v>
      </c>
      <c r="CN109" s="26"/>
      <c r="CO109" s="26">
        <v>0</v>
      </c>
      <c r="CP109" s="26">
        <v>0</v>
      </c>
      <c r="CQ109" s="26">
        <v>0</v>
      </c>
      <c r="CR109" s="26">
        <v>0</v>
      </c>
      <c r="CS109" s="26">
        <v>0</v>
      </c>
      <c r="CT109" s="26">
        <v>0</v>
      </c>
      <c r="CU109" s="26">
        <v>0</v>
      </c>
      <c r="CV109" s="26">
        <v>9999</v>
      </c>
      <c r="CW109" s="30">
        <v>9999</v>
      </c>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row>
    <row r="110" spans="1:131">
      <c r="A110" s="7" t="s">
        <v>1324</v>
      </c>
      <c r="B110" s="7" t="s">
        <v>1308</v>
      </c>
      <c r="C110" s="26">
        <v>15</v>
      </c>
      <c r="D110" s="26">
        <v>9.3563524639531614</v>
      </c>
      <c r="E110" s="26">
        <v>0</v>
      </c>
      <c r="F110" s="26">
        <v>3.9583333333333335</v>
      </c>
      <c r="G110" s="26">
        <v>0</v>
      </c>
      <c r="H110" s="26">
        <v>0</v>
      </c>
      <c r="I110" s="26" t="s">
        <v>1288</v>
      </c>
      <c r="J110" s="26"/>
      <c r="K110" s="26"/>
      <c r="L110" s="26">
        <v>10.003962157933968</v>
      </c>
      <c r="M110" s="26">
        <v>2.6608798092117926E-5</v>
      </c>
      <c r="N110" s="26">
        <v>2.6416747720033641E-5</v>
      </c>
      <c r="O110" s="26">
        <v>0</v>
      </c>
      <c r="P110" s="26">
        <v>0</v>
      </c>
      <c r="Q110" s="26">
        <v>0</v>
      </c>
      <c r="R110" s="26">
        <v>0.78934454407109844</v>
      </c>
      <c r="S110" s="26">
        <v>1.8240551827208842</v>
      </c>
      <c r="T110" s="26">
        <v>0</v>
      </c>
      <c r="U110" s="26">
        <v>2.647617742752244</v>
      </c>
      <c r="V110" s="26" t="s">
        <v>1516</v>
      </c>
      <c r="W110" s="26" t="s">
        <v>1516</v>
      </c>
      <c r="X110" s="26" t="s">
        <v>1516</v>
      </c>
      <c r="Y110" s="26" t="s">
        <v>1516</v>
      </c>
      <c r="Z110" s="26">
        <v>0</v>
      </c>
      <c r="AA110" s="26">
        <v>0</v>
      </c>
      <c r="AB110" s="26">
        <v>0</v>
      </c>
      <c r="AC110" s="26">
        <v>0</v>
      </c>
      <c r="AD110" s="26">
        <v>0</v>
      </c>
      <c r="AE110" s="26">
        <v>0</v>
      </c>
      <c r="AF110" s="26">
        <v>0</v>
      </c>
      <c r="AG110" s="26">
        <v>0</v>
      </c>
      <c r="AH110" s="26">
        <v>0.78934454407109844</v>
      </c>
      <c r="AI110" s="26">
        <v>1.8240551827208842</v>
      </c>
      <c r="AJ110" s="26">
        <v>0</v>
      </c>
      <c r="AK110" s="26">
        <v>2.647617742752244</v>
      </c>
      <c r="AL110" s="26">
        <v>5.2610174695442264</v>
      </c>
      <c r="AM110" s="26">
        <v>4.8117449815697988</v>
      </c>
      <c r="AN110" s="26">
        <v>9.40217849270014E-3</v>
      </c>
      <c r="AO110" s="26">
        <v>0</v>
      </c>
      <c r="AP110" s="26">
        <v>0</v>
      </c>
      <c r="AQ110" s="26">
        <v>4.8211471600624991</v>
      </c>
      <c r="AR110" s="26">
        <v>0.78934454407109844</v>
      </c>
      <c r="AS110" s="30">
        <v>6.107785499089033</v>
      </c>
      <c r="AT110" s="26">
        <v>4.8117449815697988</v>
      </c>
      <c r="AU110" s="26">
        <v>1.1129378897126081E-2</v>
      </c>
      <c r="AV110" s="26">
        <v>0</v>
      </c>
      <c r="AW110" s="26">
        <v>0</v>
      </c>
      <c r="AX110" s="26">
        <v>4.8228743604669253</v>
      </c>
      <c r="AY110" s="26">
        <v>1.8240551827208842</v>
      </c>
      <c r="AZ110" s="30">
        <v>2.6440397232241621</v>
      </c>
      <c r="BA110" s="26">
        <v>4.8117449815697988</v>
      </c>
      <c r="BB110" s="26">
        <v>2.0531557389826219E-2</v>
      </c>
      <c r="BC110" s="26">
        <v>0</v>
      </c>
      <c r="BD110" s="26">
        <v>0</v>
      </c>
      <c r="BE110" s="26">
        <v>4.8322765389596256</v>
      </c>
      <c r="BF110" s="26">
        <v>2.6133997267919824</v>
      </c>
      <c r="BG110" s="26">
        <v>19.071221508438821</v>
      </c>
      <c r="BH110" s="30">
        <v>1.8490384342740303</v>
      </c>
      <c r="BI110" s="26">
        <v>5.8058349530082562</v>
      </c>
      <c r="BJ110" s="26">
        <v>13.416401513890602</v>
      </c>
      <c r="BK110" s="26">
        <v>0</v>
      </c>
      <c r="BL110" s="26">
        <v>19.473918897058006</v>
      </c>
      <c r="BM110" s="26">
        <v>38.696155363956862</v>
      </c>
      <c r="BN110" s="26">
        <v>4.8117449815697988</v>
      </c>
      <c r="BO110" s="26">
        <v>0</v>
      </c>
      <c r="BP110" s="26">
        <v>2.0531557389826219E-2</v>
      </c>
      <c r="BQ110" s="26">
        <v>0</v>
      </c>
      <c r="BR110" s="26">
        <v>0</v>
      </c>
      <c r="BS110" s="26">
        <v>0</v>
      </c>
      <c r="BT110" s="26">
        <v>0</v>
      </c>
      <c r="BU110" s="26">
        <v>0</v>
      </c>
      <c r="BV110" s="26">
        <v>0</v>
      </c>
      <c r="BW110" s="26">
        <v>0</v>
      </c>
      <c r="BX110" s="26">
        <v>5.2610174695442264</v>
      </c>
      <c r="BY110" s="26"/>
      <c r="BZ110" s="26">
        <v>0</v>
      </c>
      <c r="CA110" s="26">
        <v>0</v>
      </c>
      <c r="CB110" s="26">
        <v>4.8322765389596256</v>
      </c>
      <c r="CC110" s="26">
        <v>5.2610174695442264</v>
      </c>
      <c r="CD110" s="742">
        <v>0.91850608117791643</v>
      </c>
      <c r="CE110" s="26">
        <v>38.545140405496831</v>
      </c>
      <c r="CF110" s="26">
        <v>9.5038925217870746E-2</v>
      </c>
      <c r="CG110" s="26">
        <v>0</v>
      </c>
      <c r="CH110" s="26">
        <v>9.5038925217870746E-2</v>
      </c>
      <c r="CI110" s="26">
        <v>4.7518820250186337E-3</v>
      </c>
      <c r="CJ110" s="26">
        <v>0</v>
      </c>
      <c r="CK110" s="26">
        <v>4.7518820250186337E-3</v>
      </c>
      <c r="CL110" s="26"/>
      <c r="CM110" s="26">
        <v>0</v>
      </c>
      <c r="CN110" s="26"/>
      <c r="CO110" s="26">
        <v>0</v>
      </c>
      <c r="CP110" s="26">
        <v>0</v>
      </c>
      <c r="CQ110" s="26">
        <v>0</v>
      </c>
      <c r="CR110" s="26">
        <v>0</v>
      </c>
      <c r="CS110" s="26">
        <v>0</v>
      </c>
      <c r="CT110" s="26">
        <v>0</v>
      </c>
      <c r="CU110" s="26">
        <v>0</v>
      </c>
      <c r="CV110" s="26">
        <v>9999</v>
      </c>
      <c r="CW110" s="30">
        <v>9999</v>
      </c>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row>
    <row r="111" spans="1:131">
      <c r="A111" s="7" t="s">
        <v>1325</v>
      </c>
      <c r="B111" s="7" t="s">
        <v>1310</v>
      </c>
      <c r="C111" s="26">
        <v>10</v>
      </c>
      <c r="D111" s="26">
        <v>9.3563524639531614</v>
      </c>
      <c r="E111" s="26">
        <v>0</v>
      </c>
      <c r="F111" s="26">
        <v>6.1749999999999998</v>
      </c>
      <c r="G111" s="26">
        <v>0</v>
      </c>
      <c r="H111" s="26">
        <v>0</v>
      </c>
      <c r="I111" s="26" t="s">
        <v>1288</v>
      </c>
      <c r="J111" s="26"/>
      <c r="K111" s="26"/>
      <c r="L111" s="26">
        <v>10.003962157933968</v>
      </c>
      <c r="M111" s="26">
        <v>2.6608798092117926E-5</v>
      </c>
      <c r="N111" s="26">
        <v>2.6416747720033641E-5</v>
      </c>
      <c r="O111" s="26">
        <v>0</v>
      </c>
      <c r="P111" s="26">
        <v>0</v>
      </c>
      <c r="Q111" s="26">
        <v>0</v>
      </c>
      <c r="R111" s="26">
        <v>1.2313774887509135</v>
      </c>
      <c r="S111" s="26">
        <v>2.8455260850445794</v>
      </c>
      <c r="T111" s="26">
        <v>0</v>
      </c>
      <c r="U111" s="26">
        <v>7.4011130741983902</v>
      </c>
      <c r="V111" s="26" t="s">
        <v>1516</v>
      </c>
      <c r="W111" s="26" t="s">
        <v>1516</v>
      </c>
      <c r="X111" s="26" t="s">
        <v>1516</v>
      </c>
      <c r="Y111" s="26" t="s">
        <v>1516</v>
      </c>
      <c r="Z111" s="26">
        <v>0</v>
      </c>
      <c r="AA111" s="26">
        <v>0</v>
      </c>
      <c r="AB111" s="26">
        <v>0</v>
      </c>
      <c r="AC111" s="26">
        <v>0</v>
      </c>
      <c r="AD111" s="26">
        <v>0</v>
      </c>
      <c r="AE111" s="26">
        <v>0</v>
      </c>
      <c r="AF111" s="26">
        <v>0</v>
      </c>
      <c r="AG111" s="26">
        <v>0</v>
      </c>
      <c r="AH111" s="26">
        <v>1.2313774887509135</v>
      </c>
      <c r="AI111" s="26">
        <v>2.8455260850445794</v>
      </c>
      <c r="AJ111" s="26">
        <v>0</v>
      </c>
      <c r="AK111" s="26">
        <v>7.4011130741983902</v>
      </c>
      <c r="AL111" s="26">
        <v>11.478016647993883</v>
      </c>
      <c r="AM111" s="26">
        <v>4.8117449815697988</v>
      </c>
      <c r="AN111" s="26">
        <v>9.40217849270014E-3</v>
      </c>
      <c r="AO111" s="26">
        <v>0</v>
      </c>
      <c r="AP111" s="26">
        <v>0</v>
      </c>
      <c r="AQ111" s="26">
        <v>4.8211471600624991</v>
      </c>
      <c r="AR111" s="26">
        <v>1.2313774887509135</v>
      </c>
      <c r="AS111" s="30">
        <v>3.9152471148006622</v>
      </c>
      <c r="AT111" s="26">
        <v>4.8117449815697988</v>
      </c>
      <c r="AU111" s="26">
        <v>1.1129378897126081E-2</v>
      </c>
      <c r="AV111" s="26">
        <v>0</v>
      </c>
      <c r="AW111" s="26">
        <v>0</v>
      </c>
      <c r="AX111" s="26">
        <v>4.8228743604669253</v>
      </c>
      <c r="AY111" s="26">
        <v>2.8455260850445794</v>
      </c>
      <c r="AZ111" s="30">
        <v>1.694897258477027</v>
      </c>
      <c r="BA111" s="26">
        <v>4.8117449815697988</v>
      </c>
      <c r="BB111" s="26">
        <v>2.0531557389826219E-2</v>
      </c>
      <c r="BC111" s="26">
        <v>0</v>
      </c>
      <c r="BD111" s="26">
        <v>0</v>
      </c>
      <c r="BE111" s="26">
        <v>4.8322765389596256</v>
      </c>
      <c r="BF111" s="26">
        <v>4.0769035737954926</v>
      </c>
      <c r="BG111" s="26">
        <v>29.835673929902182</v>
      </c>
      <c r="BH111" s="30">
        <v>1.1852810476115578</v>
      </c>
      <c r="BI111" s="26">
        <v>9.05710252669288</v>
      </c>
      <c r="BJ111" s="26">
        <v>20.929586361669337</v>
      </c>
      <c r="BK111" s="26">
        <v>0</v>
      </c>
      <c r="BL111" s="26">
        <v>54.437116592620683</v>
      </c>
      <c r="BM111" s="26">
        <v>84.423805480982907</v>
      </c>
      <c r="BN111" s="26">
        <v>4.8117449815697988</v>
      </c>
      <c r="BO111" s="26">
        <v>0</v>
      </c>
      <c r="BP111" s="26">
        <v>2.0531557389826219E-2</v>
      </c>
      <c r="BQ111" s="26">
        <v>0</v>
      </c>
      <c r="BR111" s="26">
        <v>0</v>
      </c>
      <c r="BS111" s="26">
        <v>0</v>
      </c>
      <c r="BT111" s="26">
        <v>0</v>
      </c>
      <c r="BU111" s="26">
        <v>0</v>
      </c>
      <c r="BV111" s="26">
        <v>0</v>
      </c>
      <c r="BW111" s="26">
        <v>0</v>
      </c>
      <c r="BX111" s="26">
        <v>11.478016647993883</v>
      </c>
      <c r="BY111" s="26"/>
      <c r="BZ111" s="26">
        <v>0</v>
      </c>
      <c r="CA111" s="26">
        <v>0</v>
      </c>
      <c r="CB111" s="26">
        <v>4.8322765389596256</v>
      </c>
      <c r="CC111" s="26">
        <v>11.478016647993883</v>
      </c>
      <c r="CD111" s="742">
        <v>0.4210027470037</v>
      </c>
      <c r="CE111" s="26">
        <v>84.272790522522868</v>
      </c>
      <c r="CF111" s="26">
        <v>9.5038925217870746E-2</v>
      </c>
      <c r="CG111" s="26">
        <v>0</v>
      </c>
      <c r="CH111" s="26">
        <v>9.5038925217870746E-2</v>
      </c>
      <c r="CI111" s="26">
        <v>4.7518820250186337E-3</v>
      </c>
      <c r="CJ111" s="26">
        <v>0</v>
      </c>
      <c r="CK111" s="26">
        <v>4.7518820250186337E-3</v>
      </c>
      <c r="CL111" s="26"/>
      <c r="CM111" s="26">
        <v>0</v>
      </c>
      <c r="CN111" s="26"/>
      <c r="CO111" s="26">
        <v>0</v>
      </c>
      <c r="CP111" s="26">
        <v>0</v>
      </c>
      <c r="CQ111" s="26">
        <v>0</v>
      </c>
      <c r="CR111" s="26">
        <v>0</v>
      </c>
      <c r="CS111" s="26">
        <v>0</v>
      </c>
      <c r="CT111" s="26">
        <v>0</v>
      </c>
      <c r="CU111" s="26">
        <v>0</v>
      </c>
      <c r="CV111" s="26">
        <v>9999</v>
      </c>
      <c r="CW111" s="30">
        <v>9999</v>
      </c>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row>
    <row r="112" spans="1:131">
      <c r="A112" s="7" t="s">
        <v>1326</v>
      </c>
      <c r="B112" s="7" t="s">
        <v>1312</v>
      </c>
      <c r="C112" s="26">
        <v>8</v>
      </c>
      <c r="D112" s="26">
        <v>15.570471268333081</v>
      </c>
      <c r="E112" s="26">
        <v>0</v>
      </c>
      <c r="F112" s="26">
        <v>2.0750000000000002</v>
      </c>
      <c r="G112" s="26">
        <v>0</v>
      </c>
      <c r="H112" s="26">
        <v>0</v>
      </c>
      <c r="I112" s="26" t="s">
        <v>1288</v>
      </c>
      <c r="J112" s="26"/>
      <c r="K112" s="26"/>
      <c r="L112" s="26">
        <v>16.648197676361288</v>
      </c>
      <c r="M112" s="26">
        <v>4.4281308103173689E-5</v>
      </c>
      <c r="N112" s="26">
        <v>4.3961705478953232E-5</v>
      </c>
      <c r="O112" s="26">
        <v>0</v>
      </c>
      <c r="P112" s="26">
        <v>0</v>
      </c>
      <c r="Q112" s="26">
        <v>0</v>
      </c>
      <c r="R112" s="26">
        <v>0.41378271889200746</v>
      </c>
      <c r="S112" s="26">
        <v>0.9561889273631583</v>
      </c>
      <c r="T112" s="26">
        <v>0</v>
      </c>
      <c r="U112" s="26">
        <v>3.3187411273735563</v>
      </c>
      <c r="V112" s="26" t="s">
        <v>1516</v>
      </c>
      <c r="W112" s="26" t="s">
        <v>1516</v>
      </c>
      <c r="X112" s="26" t="s">
        <v>1516</v>
      </c>
      <c r="Y112" s="26" t="s">
        <v>1516</v>
      </c>
      <c r="Z112" s="26">
        <v>0</v>
      </c>
      <c r="AA112" s="26">
        <v>0</v>
      </c>
      <c r="AB112" s="26">
        <v>0</v>
      </c>
      <c r="AC112" s="26">
        <v>0</v>
      </c>
      <c r="AD112" s="26">
        <v>0</v>
      </c>
      <c r="AE112" s="26">
        <v>0</v>
      </c>
      <c r="AF112" s="26">
        <v>0</v>
      </c>
      <c r="AG112" s="26">
        <v>0</v>
      </c>
      <c r="AH112" s="26">
        <v>0.41378271889200746</v>
      </c>
      <c r="AI112" s="26">
        <v>0.9561889273631583</v>
      </c>
      <c r="AJ112" s="26">
        <v>0</v>
      </c>
      <c r="AK112" s="26">
        <v>3.3187411273735563</v>
      </c>
      <c r="AL112" s="26">
        <v>4.6887127736287226</v>
      </c>
      <c r="AM112" s="26">
        <v>8.0075154580509835</v>
      </c>
      <c r="AN112" s="26">
        <v>1.5646733130709006E-2</v>
      </c>
      <c r="AO112" s="26">
        <v>0</v>
      </c>
      <c r="AP112" s="26">
        <v>0</v>
      </c>
      <c r="AQ112" s="26">
        <v>8.0231621911816919</v>
      </c>
      <c r="AR112" s="26">
        <v>0.41378271889200746</v>
      </c>
      <c r="AS112" s="30">
        <v>19.389795235203248</v>
      </c>
      <c r="AT112" s="26">
        <v>8.0075154580509835</v>
      </c>
      <c r="AU112" s="26">
        <v>1.8521071648350176E-2</v>
      </c>
      <c r="AV112" s="26">
        <v>0</v>
      </c>
      <c r="AW112" s="26">
        <v>0</v>
      </c>
      <c r="AX112" s="26">
        <v>8.0260365296993346</v>
      </c>
      <c r="AY112" s="26">
        <v>0.9561889273631583</v>
      </c>
      <c r="AZ112" s="30">
        <v>8.3937768991243136</v>
      </c>
      <c r="BA112" s="26">
        <v>8.0075154580509835</v>
      </c>
      <c r="BB112" s="26">
        <v>3.4167804779059181E-2</v>
      </c>
      <c r="BC112" s="26">
        <v>0</v>
      </c>
      <c r="BD112" s="26">
        <v>0</v>
      </c>
      <c r="BE112" s="26">
        <v>8.041683262830043</v>
      </c>
      <c r="BF112" s="26">
        <v>1.3699716462551659</v>
      </c>
      <c r="BG112" s="26">
        <v>5.9039895286131117</v>
      </c>
      <c r="BH112" s="30">
        <v>5.8699632834096107</v>
      </c>
      <c r="BI112" s="26">
        <v>1.8288380101976012</v>
      </c>
      <c r="BJ112" s="26">
        <v>4.22616647687554</v>
      </c>
      <c r="BK112" s="26">
        <v>0</v>
      </c>
      <c r="BL112" s="26">
        <v>14.668181252225887</v>
      </c>
      <c r="BM112" s="26">
        <v>20.723185739299034</v>
      </c>
      <c r="BN112" s="26">
        <v>8.0075154580509835</v>
      </c>
      <c r="BO112" s="26">
        <v>0</v>
      </c>
      <c r="BP112" s="26">
        <v>3.4167804779059181E-2</v>
      </c>
      <c r="BQ112" s="26">
        <v>0</v>
      </c>
      <c r="BR112" s="26">
        <v>0</v>
      </c>
      <c r="BS112" s="26">
        <v>0</v>
      </c>
      <c r="BT112" s="26">
        <v>0</v>
      </c>
      <c r="BU112" s="26">
        <v>0</v>
      </c>
      <c r="BV112" s="26">
        <v>0</v>
      </c>
      <c r="BW112" s="26">
        <v>0</v>
      </c>
      <c r="BX112" s="26">
        <v>4.6887127736287226</v>
      </c>
      <c r="BY112" s="26"/>
      <c r="BZ112" s="26">
        <v>0</v>
      </c>
      <c r="CA112" s="26">
        <v>0</v>
      </c>
      <c r="CB112" s="26">
        <v>8.041683262830043</v>
      </c>
      <c r="CC112" s="26">
        <v>4.6887127736287226</v>
      </c>
      <c r="CD112" s="30">
        <v>1.7151153527807943</v>
      </c>
      <c r="CE112" s="26">
        <v>20.572170780838999</v>
      </c>
      <c r="CF112" s="26">
        <v>0.15816001590141862</v>
      </c>
      <c r="CG112" s="26">
        <v>0</v>
      </c>
      <c r="CH112" s="26">
        <v>0.15816001590141862</v>
      </c>
      <c r="CI112" s="26">
        <v>7.9078938962716117E-3</v>
      </c>
      <c r="CJ112" s="26">
        <v>0</v>
      </c>
      <c r="CK112" s="26">
        <v>7.9078938962716117E-3</v>
      </c>
      <c r="CL112" s="26"/>
      <c r="CM112" s="26">
        <v>0</v>
      </c>
      <c r="CN112" s="26"/>
      <c r="CO112" s="26">
        <v>0</v>
      </c>
      <c r="CP112" s="26">
        <v>0</v>
      </c>
      <c r="CQ112" s="26">
        <v>0</v>
      </c>
      <c r="CR112" s="26">
        <v>0</v>
      </c>
      <c r="CS112" s="26">
        <v>0</v>
      </c>
      <c r="CT112" s="26">
        <v>0</v>
      </c>
      <c r="CU112" s="26">
        <v>0</v>
      </c>
      <c r="CV112" s="26">
        <v>9999</v>
      </c>
      <c r="CW112" s="30">
        <v>9999</v>
      </c>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row>
    <row r="113" spans="1:131">
      <c r="A113" s="7" t="s">
        <v>1327</v>
      </c>
      <c r="B113" s="7" t="s">
        <v>1314</v>
      </c>
      <c r="C113" s="26">
        <v>8</v>
      </c>
      <c r="D113" s="26">
        <v>3.8926178170832704</v>
      </c>
      <c r="E113" s="26">
        <v>0</v>
      </c>
      <c r="F113" s="26">
        <v>4.9800000000000004</v>
      </c>
      <c r="G113" s="26">
        <v>0</v>
      </c>
      <c r="H113" s="26">
        <v>0</v>
      </c>
      <c r="I113" s="26" t="s">
        <v>1288</v>
      </c>
      <c r="J113" s="26"/>
      <c r="K113" s="26"/>
      <c r="L113" s="26">
        <v>4.1620494190903221</v>
      </c>
      <c r="M113" s="26">
        <v>1.1070327025793422E-5</v>
      </c>
      <c r="N113" s="26">
        <v>1.0990426369738308E-5</v>
      </c>
      <c r="O113" s="26">
        <v>0</v>
      </c>
      <c r="P113" s="26">
        <v>0</v>
      </c>
      <c r="Q113" s="26">
        <v>0</v>
      </c>
      <c r="R113" s="26">
        <v>0.99307852534081786</v>
      </c>
      <c r="S113" s="26">
        <v>2.29485342567158</v>
      </c>
      <c r="T113" s="26">
        <v>0</v>
      </c>
      <c r="U113" s="26">
        <v>7.9649787056965353</v>
      </c>
      <c r="V113" s="26" t="s">
        <v>1516</v>
      </c>
      <c r="W113" s="26" t="s">
        <v>1516</v>
      </c>
      <c r="X113" s="26" t="s">
        <v>1516</v>
      </c>
      <c r="Y113" s="26" t="s">
        <v>1516</v>
      </c>
      <c r="Z113" s="26">
        <v>0</v>
      </c>
      <c r="AA113" s="26">
        <v>0</v>
      </c>
      <c r="AB113" s="26">
        <v>0</v>
      </c>
      <c r="AC113" s="26">
        <v>0</v>
      </c>
      <c r="AD113" s="26">
        <v>0</v>
      </c>
      <c r="AE113" s="26">
        <v>0</v>
      </c>
      <c r="AF113" s="26">
        <v>0</v>
      </c>
      <c r="AG113" s="26">
        <v>0</v>
      </c>
      <c r="AH113" s="26">
        <v>0.99307852534081786</v>
      </c>
      <c r="AI113" s="26">
        <v>2.29485342567158</v>
      </c>
      <c r="AJ113" s="26">
        <v>0</v>
      </c>
      <c r="AK113" s="26">
        <v>7.9649787056965353</v>
      </c>
      <c r="AL113" s="26">
        <v>11.252910656708934</v>
      </c>
      <c r="AM113" s="26">
        <v>2.0018788645127459</v>
      </c>
      <c r="AN113" s="26">
        <v>3.9116832826772514E-3</v>
      </c>
      <c r="AO113" s="26">
        <v>0</v>
      </c>
      <c r="AP113" s="26">
        <v>0</v>
      </c>
      <c r="AQ113" s="26">
        <v>2.005790547795423</v>
      </c>
      <c r="AR113" s="26">
        <v>0.99307852534081786</v>
      </c>
      <c r="AS113" s="30">
        <v>2.0197703370003386</v>
      </c>
      <c r="AT113" s="26">
        <v>2.0018788645127459</v>
      </c>
      <c r="AU113" s="26">
        <v>4.6302679120875439E-3</v>
      </c>
      <c r="AV113" s="26">
        <v>0</v>
      </c>
      <c r="AW113" s="26">
        <v>0</v>
      </c>
      <c r="AX113" s="26">
        <v>2.0065091324248336</v>
      </c>
      <c r="AY113" s="26">
        <v>2.29485342567158</v>
      </c>
      <c r="AZ113" s="742">
        <v>0.87435176032544937</v>
      </c>
      <c r="BA113" s="26">
        <v>2.0018788645127459</v>
      </c>
      <c r="BB113" s="26">
        <v>8.5419511947647953E-3</v>
      </c>
      <c r="BC113" s="26">
        <v>0</v>
      </c>
      <c r="BD113" s="26">
        <v>0</v>
      </c>
      <c r="BE113" s="26">
        <v>2.0104208157075107</v>
      </c>
      <c r="BF113" s="26">
        <v>3.2879319510123981</v>
      </c>
      <c r="BG113" s="26">
        <v>57.977028117442131</v>
      </c>
      <c r="BH113" s="742">
        <v>0.61145450868850115</v>
      </c>
      <c r="BI113" s="26">
        <v>17.556844897896973</v>
      </c>
      <c r="BJ113" s="26">
        <v>40.57119817800519</v>
      </c>
      <c r="BK113" s="26">
        <v>0</v>
      </c>
      <c r="BL113" s="26">
        <v>140.81454002136851</v>
      </c>
      <c r="BM113" s="26">
        <v>198.9425830972707</v>
      </c>
      <c r="BN113" s="26">
        <v>2.0018788645127459</v>
      </c>
      <c r="BO113" s="26">
        <v>0</v>
      </c>
      <c r="BP113" s="26">
        <v>8.5419511947647953E-3</v>
      </c>
      <c r="BQ113" s="26">
        <v>0</v>
      </c>
      <c r="BR113" s="26">
        <v>0</v>
      </c>
      <c r="BS113" s="26">
        <v>0</v>
      </c>
      <c r="BT113" s="26">
        <v>0</v>
      </c>
      <c r="BU113" s="26">
        <v>0</v>
      </c>
      <c r="BV113" s="26">
        <v>0</v>
      </c>
      <c r="BW113" s="26">
        <v>0</v>
      </c>
      <c r="BX113" s="26">
        <v>11.252910656708934</v>
      </c>
      <c r="BY113" s="26"/>
      <c r="BZ113" s="26">
        <v>0</v>
      </c>
      <c r="CA113" s="26">
        <v>0</v>
      </c>
      <c r="CB113" s="26">
        <v>2.0104208157075107</v>
      </c>
      <c r="CC113" s="26">
        <v>11.252910656708934</v>
      </c>
      <c r="CD113" s="742">
        <v>0.17865784924799941</v>
      </c>
      <c r="CE113" s="26">
        <v>198.79156813881065</v>
      </c>
      <c r="CF113" s="26">
        <v>3.9540003975354655E-2</v>
      </c>
      <c r="CG113" s="26">
        <v>0</v>
      </c>
      <c r="CH113" s="26">
        <v>3.9540003975354655E-2</v>
      </c>
      <c r="CI113" s="26">
        <v>1.9769734740679029E-3</v>
      </c>
      <c r="CJ113" s="26">
        <v>0</v>
      </c>
      <c r="CK113" s="26">
        <v>1.9769734740679029E-3</v>
      </c>
      <c r="CL113" s="26"/>
      <c r="CM113" s="26">
        <v>0</v>
      </c>
      <c r="CN113" s="26"/>
      <c r="CO113" s="26">
        <v>0</v>
      </c>
      <c r="CP113" s="26">
        <v>0</v>
      </c>
      <c r="CQ113" s="26">
        <v>0</v>
      </c>
      <c r="CR113" s="26">
        <v>0</v>
      </c>
      <c r="CS113" s="26">
        <v>0</v>
      </c>
      <c r="CT113" s="26">
        <v>0</v>
      </c>
      <c r="CU113" s="26">
        <v>0</v>
      </c>
      <c r="CV113" s="26">
        <v>9999</v>
      </c>
      <c r="CW113" s="30">
        <v>9999</v>
      </c>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row>
    <row r="114" spans="1:131">
      <c r="A114" s="7" t="s">
        <v>1328</v>
      </c>
      <c r="B114" s="7" t="s">
        <v>1290</v>
      </c>
      <c r="C114" s="26">
        <v>4</v>
      </c>
      <c r="D114" s="26">
        <v>70.900188627558663</v>
      </c>
      <c r="E114" s="26">
        <v>0</v>
      </c>
      <c r="F114" s="26">
        <v>9.0666666666666664</v>
      </c>
      <c r="G114" s="26">
        <v>0</v>
      </c>
      <c r="H114" s="26">
        <v>0</v>
      </c>
      <c r="I114" s="26" t="s">
        <v>1288</v>
      </c>
      <c r="J114" s="26"/>
      <c r="K114" s="26"/>
      <c r="L114" s="26">
        <v>75.807619128618981</v>
      </c>
      <c r="M114" s="26">
        <v>2.0163507212368184E-4</v>
      </c>
      <c r="N114" s="26">
        <v>2.0017976059504629E-4</v>
      </c>
      <c r="O114" s="26">
        <v>0</v>
      </c>
      <c r="P114" s="26">
        <v>0</v>
      </c>
      <c r="Q114" s="26">
        <v>0</v>
      </c>
      <c r="R114" s="26">
        <v>1.8080144504196949</v>
      </c>
      <c r="S114" s="26">
        <v>4.178046397474362</v>
      </c>
      <c r="T114" s="26">
        <v>0</v>
      </c>
      <c r="U114" s="26">
        <v>32.784241780419279</v>
      </c>
      <c r="V114" s="26" t="s">
        <v>1516</v>
      </c>
      <c r="W114" s="26" t="s">
        <v>1516</v>
      </c>
      <c r="X114" s="26" t="s">
        <v>1516</v>
      </c>
      <c r="Y114" s="26" t="s">
        <v>1516</v>
      </c>
      <c r="Z114" s="26">
        <v>0</v>
      </c>
      <c r="AA114" s="26">
        <v>0</v>
      </c>
      <c r="AB114" s="26">
        <v>0</v>
      </c>
      <c r="AC114" s="26">
        <v>0</v>
      </c>
      <c r="AD114" s="26">
        <v>0</v>
      </c>
      <c r="AE114" s="26">
        <v>0</v>
      </c>
      <c r="AF114" s="26">
        <v>0</v>
      </c>
      <c r="AG114" s="26">
        <v>0</v>
      </c>
      <c r="AH114" s="26">
        <v>1.8080144504196949</v>
      </c>
      <c r="AI114" s="26">
        <v>4.178046397474362</v>
      </c>
      <c r="AJ114" s="26">
        <v>0</v>
      </c>
      <c r="AK114" s="26">
        <v>32.784241780419279</v>
      </c>
      <c r="AL114" s="26">
        <v>38.770302628313338</v>
      </c>
      <c r="AM114" s="26">
        <v>36.462246172892293</v>
      </c>
      <c r="AN114" s="26">
        <v>7.1247447251550244E-2</v>
      </c>
      <c r="AO114" s="26">
        <v>0</v>
      </c>
      <c r="AP114" s="26">
        <v>0</v>
      </c>
      <c r="AQ114" s="26">
        <v>36.533493620143844</v>
      </c>
      <c r="AR114" s="26">
        <v>1.8080144504196949</v>
      </c>
      <c r="AS114" s="30">
        <v>20.206416830165995</v>
      </c>
      <c r="AT114" s="26">
        <v>36.462246172892293</v>
      </c>
      <c r="AU114" s="26">
        <v>8.4335756498469625E-2</v>
      </c>
      <c r="AV114" s="26">
        <v>0</v>
      </c>
      <c r="AW114" s="26">
        <v>0</v>
      </c>
      <c r="AX114" s="26">
        <v>36.546581929390761</v>
      </c>
      <c r="AY114" s="26">
        <v>4.178046397474362</v>
      </c>
      <c r="AZ114" s="30">
        <v>8.7472896307430315</v>
      </c>
      <c r="BA114" s="26">
        <v>36.462246172892293</v>
      </c>
      <c r="BB114" s="26">
        <v>0.15558320375001988</v>
      </c>
      <c r="BC114" s="26">
        <v>0</v>
      </c>
      <c r="BD114" s="26">
        <v>0</v>
      </c>
      <c r="BE114" s="26">
        <v>36.617829376642312</v>
      </c>
      <c r="BF114" s="26">
        <v>5.9860608478940573</v>
      </c>
      <c r="BG114" s="26">
        <v>5.6592827375328545</v>
      </c>
      <c r="BH114" s="30">
        <v>6.1171829533815627</v>
      </c>
      <c r="BI114" s="26">
        <v>1.7549273992580889</v>
      </c>
      <c r="BJ114" s="26">
        <v>4.0553702967347913</v>
      </c>
      <c r="BK114" s="26">
        <v>0</v>
      </c>
      <c r="BL114" s="26">
        <v>31.821628500261276</v>
      </c>
      <c r="BM114" s="26">
        <v>37.631926196254156</v>
      </c>
      <c r="BN114" s="26">
        <v>36.462246172892293</v>
      </c>
      <c r="BO114" s="26">
        <v>0</v>
      </c>
      <c r="BP114" s="26">
        <v>0.15558320375001988</v>
      </c>
      <c r="BQ114" s="26">
        <v>0</v>
      </c>
      <c r="BR114" s="26">
        <v>0</v>
      </c>
      <c r="BS114" s="26">
        <v>0</v>
      </c>
      <c r="BT114" s="26">
        <v>0</v>
      </c>
      <c r="BU114" s="26">
        <v>0</v>
      </c>
      <c r="BV114" s="26">
        <v>0</v>
      </c>
      <c r="BW114" s="26">
        <v>0</v>
      </c>
      <c r="BX114" s="26">
        <v>38.770302628313338</v>
      </c>
      <c r="BY114" s="26"/>
      <c r="BZ114" s="26">
        <v>0</v>
      </c>
      <c r="CA114" s="26">
        <v>0</v>
      </c>
      <c r="CB114" s="26">
        <v>36.617829376642312</v>
      </c>
      <c r="CC114" s="26">
        <v>38.770302628313338</v>
      </c>
      <c r="CD114" s="742">
        <v>0.94448139153551236</v>
      </c>
      <c r="CE114" s="26">
        <v>37.480911237794132</v>
      </c>
      <c r="CF114" s="26">
        <v>0.72018211700208545</v>
      </c>
      <c r="CG114" s="26">
        <v>0</v>
      </c>
      <c r="CH114" s="26">
        <v>0.72018211700208545</v>
      </c>
      <c r="CI114" s="26">
        <v>3.6008619086094006E-2</v>
      </c>
      <c r="CJ114" s="26">
        <v>0</v>
      </c>
      <c r="CK114" s="26">
        <v>3.6008619086094006E-2</v>
      </c>
      <c r="CL114" s="26"/>
      <c r="CM114" s="26">
        <v>0</v>
      </c>
      <c r="CN114" s="26"/>
      <c r="CO114" s="26">
        <v>0</v>
      </c>
      <c r="CP114" s="26">
        <v>0</v>
      </c>
      <c r="CQ114" s="26">
        <v>0</v>
      </c>
      <c r="CR114" s="26">
        <v>0</v>
      </c>
      <c r="CS114" s="26">
        <v>0</v>
      </c>
      <c r="CT114" s="26">
        <v>0</v>
      </c>
      <c r="CU114" s="26">
        <v>0</v>
      </c>
      <c r="CV114" s="26">
        <v>9999</v>
      </c>
      <c r="CW114" s="30">
        <v>9999</v>
      </c>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row>
    <row r="115" spans="1:131">
      <c r="A115" s="7" t="s">
        <v>1329</v>
      </c>
      <c r="B115" s="7" t="s">
        <v>1292</v>
      </c>
      <c r="C115" s="26">
        <v>4</v>
      </c>
      <c r="D115" s="26">
        <v>70.900188627558663</v>
      </c>
      <c r="E115" s="26">
        <v>0</v>
      </c>
      <c r="F115" s="26">
        <v>3.3866666666666667</v>
      </c>
      <c r="G115" s="26">
        <v>0</v>
      </c>
      <c r="H115" s="26">
        <v>0</v>
      </c>
      <c r="I115" s="26" t="s">
        <v>1288</v>
      </c>
      <c r="J115" s="26"/>
      <c r="K115" s="26"/>
      <c r="L115" s="26">
        <v>75.807619128618981</v>
      </c>
      <c r="M115" s="26">
        <v>2.0163507212368184E-4</v>
      </c>
      <c r="N115" s="26">
        <v>2.0017976059504629E-4</v>
      </c>
      <c r="O115" s="26">
        <v>0</v>
      </c>
      <c r="P115" s="26">
        <v>0</v>
      </c>
      <c r="Q115" s="26">
        <v>0</v>
      </c>
      <c r="R115" s="26">
        <v>0.67534657412735666</v>
      </c>
      <c r="S115" s="26">
        <v>1.560623213174247</v>
      </c>
      <c r="T115" s="26">
        <v>0</v>
      </c>
      <c r="U115" s="26">
        <v>12.245878547391911</v>
      </c>
      <c r="V115" s="26" t="s">
        <v>1516</v>
      </c>
      <c r="W115" s="26" t="s">
        <v>1516</v>
      </c>
      <c r="X115" s="26" t="s">
        <v>1516</v>
      </c>
      <c r="Y115" s="26" t="s">
        <v>1516</v>
      </c>
      <c r="Z115" s="26">
        <v>0</v>
      </c>
      <c r="AA115" s="26">
        <v>0</v>
      </c>
      <c r="AB115" s="26">
        <v>0</v>
      </c>
      <c r="AC115" s="26">
        <v>0</v>
      </c>
      <c r="AD115" s="26">
        <v>0</v>
      </c>
      <c r="AE115" s="26">
        <v>0</v>
      </c>
      <c r="AF115" s="26">
        <v>0</v>
      </c>
      <c r="AG115" s="26">
        <v>0</v>
      </c>
      <c r="AH115" s="26">
        <v>0.67534657412735666</v>
      </c>
      <c r="AI115" s="26">
        <v>1.560623213174247</v>
      </c>
      <c r="AJ115" s="26">
        <v>0</v>
      </c>
      <c r="AK115" s="26">
        <v>12.245878547391911</v>
      </c>
      <c r="AL115" s="26">
        <v>14.481848334693515</v>
      </c>
      <c r="AM115" s="26">
        <v>36.462246172892293</v>
      </c>
      <c r="AN115" s="26">
        <v>7.1247447251550244E-2</v>
      </c>
      <c r="AO115" s="26">
        <v>0</v>
      </c>
      <c r="AP115" s="26">
        <v>0</v>
      </c>
      <c r="AQ115" s="26">
        <v>36.533493620143844</v>
      </c>
      <c r="AR115" s="26">
        <v>0.67534657412735666</v>
      </c>
      <c r="AS115" s="30">
        <v>54.095919072885337</v>
      </c>
      <c r="AT115" s="26">
        <v>36.462246172892293</v>
      </c>
      <c r="AU115" s="26">
        <v>8.4335756498469625E-2</v>
      </c>
      <c r="AV115" s="26">
        <v>0</v>
      </c>
      <c r="AW115" s="26">
        <v>0</v>
      </c>
      <c r="AX115" s="26">
        <v>36.546581929390761</v>
      </c>
      <c r="AY115" s="26">
        <v>1.560623213174247</v>
      </c>
      <c r="AZ115" s="30">
        <v>23.417940743721498</v>
      </c>
      <c r="BA115" s="26">
        <v>36.462246172892293</v>
      </c>
      <c r="BB115" s="26">
        <v>0.15558320375001988</v>
      </c>
      <c r="BC115" s="26">
        <v>0</v>
      </c>
      <c r="BD115" s="26">
        <v>0</v>
      </c>
      <c r="BE115" s="26">
        <v>36.617829376642312</v>
      </c>
      <c r="BF115" s="26">
        <v>2.2359697873016038</v>
      </c>
      <c r="BG115" s="26">
        <v>2.0193021221020193</v>
      </c>
      <c r="BH115" s="30">
        <v>16.376710268895522</v>
      </c>
      <c r="BI115" s="26">
        <v>0.65551699913463923</v>
      </c>
      <c r="BJ115" s="26">
        <v>1.5148000814274076</v>
      </c>
      <c r="BK115" s="26">
        <v>0</v>
      </c>
      <c r="BL115" s="26">
        <v>11.886314175097597</v>
      </c>
      <c r="BM115" s="26">
        <v>14.056631255659644</v>
      </c>
      <c r="BN115" s="26">
        <v>36.462246172892293</v>
      </c>
      <c r="BO115" s="26">
        <v>0</v>
      </c>
      <c r="BP115" s="26">
        <v>0.15558320375001988</v>
      </c>
      <c r="BQ115" s="26">
        <v>0</v>
      </c>
      <c r="BR115" s="26">
        <v>0</v>
      </c>
      <c r="BS115" s="26">
        <v>0</v>
      </c>
      <c r="BT115" s="26">
        <v>0</v>
      </c>
      <c r="BU115" s="26">
        <v>0</v>
      </c>
      <c r="BV115" s="26">
        <v>0</v>
      </c>
      <c r="BW115" s="26">
        <v>0</v>
      </c>
      <c r="BX115" s="26">
        <v>14.481848334693515</v>
      </c>
      <c r="BY115" s="26"/>
      <c r="BZ115" s="26">
        <v>0</v>
      </c>
      <c r="CA115" s="26">
        <v>0</v>
      </c>
      <c r="CB115" s="26">
        <v>36.617829376642312</v>
      </c>
      <c r="CC115" s="26">
        <v>14.481848334693515</v>
      </c>
      <c r="CD115" s="30">
        <v>2.52853285922893</v>
      </c>
      <c r="CE115" s="26">
        <v>13.905616297199616</v>
      </c>
      <c r="CF115" s="26">
        <v>0.72018211700208545</v>
      </c>
      <c r="CG115" s="26">
        <v>0</v>
      </c>
      <c r="CH115" s="26">
        <v>0.72018211700208545</v>
      </c>
      <c r="CI115" s="26">
        <v>3.6008619086094006E-2</v>
      </c>
      <c r="CJ115" s="26">
        <v>0</v>
      </c>
      <c r="CK115" s="26">
        <v>3.6008619086094006E-2</v>
      </c>
      <c r="CL115" s="26"/>
      <c r="CM115" s="26">
        <v>0</v>
      </c>
      <c r="CN115" s="26"/>
      <c r="CO115" s="26">
        <v>0</v>
      </c>
      <c r="CP115" s="26">
        <v>0</v>
      </c>
      <c r="CQ115" s="26">
        <v>0</v>
      </c>
      <c r="CR115" s="26">
        <v>0</v>
      </c>
      <c r="CS115" s="26">
        <v>0</v>
      </c>
      <c r="CT115" s="26">
        <v>0</v>
      </c>
      <c r="CU115" s="26">
        <v>0</v>
      </c>
      <c r="CV115" s="26">
        <v>9999</v>
      </c>
      <c r="CW115" s="30">
        <v>9999</v>
      </c>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row>
    <row r="116" spans="1:131">
      <c r="A116" s="7" t="s">
        <v>1330</v>
      </c>
      <c r="B116" s="7" t="s">
        <v>1294</v>
      </c>
      <c r="C116" s="26">
        <v>5</v>
      </c>
      <c r="D116" s="26">
        <v>62.327826960526821</v>
      </c>
      <c r="E116" s="26">
        <v>0</v>
      </c>
      <c r="F116" s="26">
        <v>19.733333333333334</v>
      </c>
      <c r="G116" s="26">
        <v>0</v>
      </c>
      <c r="H116" s="26">
        <v>0</v>
      </c>
      <c r="I116" s="26" t="s">
        <v>1288</v>
      </c>
      <c r="J116" s="26"/>
      <c r="K116" s="26"/>
      <c r="L116" s="26">
        <v>66.641912508276818</v>
      </c>
      <c r="M116" s="26">
        <v>1.7725588785829057E-4</v>
      </c>
      <c r="N116" s="26">
        <v>1.75976534348994E-4</v>
      </c>
      <c r="O116" s="26">
        <v>0</v>
      </c>
      <c r="P116" s="26">
        <v>0</v>
      </c>
      <c r="Q116" s="26">
        <v>0</v>
      </c>
      <c r="R116" s="26">
        <v>3.9350902744428655</v>
      </c>
      <c r="S116" s="26">
        <v>9.0933951003853757</v>
      </c>
      <c r="T116" s="26">
        <v>0</v>
      </c>
      <c r="U116" s="26">
        <v>55.412445960270915</v>
      </c>
      <c r="V116" s="26" t="s">
        <v>1516</v>
      </c>
      <c r="W116" s="26" t="s">
        <v>1516</v>
      </c>
      <c r="X116" s="26" t="s">
        <v>1516</v>
      </c>
      <c r="Y116" s="26" t="s">
        <v>1516</v>
      </c>
      <c r="Z116" s="26">
        <v>0</v>
      </c>
      <c r="AA116" s="26">
        <v>0</v>
      </c>
      <c r="AB116" s="26">
        <v>0</v>
      </c>
      <c r="AC116" s="26">
        <v>0</v>
      </c>
      <c r="AD116" s="26">
        <v>0</v>
      </c>
      <c r="AE116" s="26">
        <v>0</v>
      </c>
      <c r="AF116" s="26">
        <v>0</v>
      </c>
      <c r="AG116" s="26">
        <v>0</v>
      </c>
      <c r="AH116" s="26">
        <v>3.9350902744428655</v>
      </c>
      <c r="AI116" s="26">
        <v>9.0933951003853757</v>
      </c>
      <c r="AJ116" s="26">
        <v>0</v>
      </c>
      <c r="AK116" s="26">
        <v>55.412445960270915</v>
      </c>
      <c r="AL116" s="26">
        <v>68.440931335099151</v>
      </c>
      <c r="AM116" s="26">
        <v>32.05368862971968</v>
      </c>
      <c r="AN116" s="26">
        <v>6.2633099426590261E-2</v>
      </c>
      <c r="AO116" s="26">
        <v>0</v>
      </c>
      <c r="AP116" s="26">
        <v>0</v>
      </c>
      <c r="AQ116" s="26">
        <v>32.116321729146271</v>
      </c>
      <c r="AR116" s="26">
        <v>3.9350902744428655</v>
      </c>
      <c r="AS116" s="30">
        <v>8.1615209535932021</v>
      </c>
      <c r="AT116" s="26">
        <v>32.05368862971968</v>
      </c>
      <c r="AU116" s="26">
        <v>7.4138934456636538E-2</v>
      </c>
      <c r="AV116" s="26">
        <v>0</v>
      </c>
      <c r="AW116" s="26">
        <v>0</v>
      </c>
      <c r="AX116" s="26">
        <v>32.127827564176314</v>
      </c>
      <c r="AY116" s="26">
        <v>9.0933951003853757</v>
      </c>
      <c r="AZ116" s="30">
        <v>3.5330948682538543</v>
      </c>
      <c r="BA116" s="26">
        <v>32.05368862971968</v>
      </c>
      <c r="BB116" s="26">
        <v>0.13677203388322678</v>
      </c>
      <c r="BC116" s="26">
        <v>0</v>
      </c>
      <c r="BD116" s="26">
        <v>0</v>
      </c>
      <c r="BE116" s="26">
        <v>32.190460663602906</v>
      </c>
      <c r="BF116" s="26">
        <v>13.028485374828241</v>
      </c>
      <c r="BG116" s="26">
        <v>14.234207822950099</v>
      </c>
      <c r="BH116" s="30">
        <v>2.4707753616392485</v>
      </c>
      <c r="BI116" s="26">
        <v>4.3448757575603603</v>
      </c>
      <c r="BJ116" s="26">
        <v>10.040347023849765</v>
      </c>
      <c r="BK116" s="26">
        <v>0</v>
      </c>
      <c r="BL116" s="26">
        <v>61.182889420241246</v>
      </c>
      <c r="BM116" s="26">
        <v>75.568112201651374</v>
      </c>
      <c r="BN116" s="26">
        <v>32.05368862971968</v>
      </c>
      <c r="BO116" s="26">
        <v>0</v>
      </c>
      <c r="BP116" s="26">
        <v>0.13677203388322678</v>
      </c>
      <c r="BQ116" s="26">
        <v>0</v>
      </c>
      <c r="BR116" s="26">
        <v>0</v>
      </c>
      <c r="BS116" s="26">
        <v>0</v>
      </c>
      <c r="BT116" s="26">
        <v>0</v>
      </c>
      <c r="BU116" s="26">
        <v>0</v>
      </c>
      <c r="BV116" s="26">
        <v>0</v>
      </c>
      <c r="BW116" s="26">
        <v>0</v>
      </c>
      <c r="BX116" s="26">
        <v>68.440931335099151</v>
      </c>
      <c r="BY116" s="26"/>
      <c r="BZ116" s="26">
        <v>0</v>
      </c>
      <c r="CA116" s="26">
        <v>0</v>
      </c>
      <c r="CB116" s="26">
        <v>32.190460663602906</v>
      </c>
      <c r="CC116" s="26">
        <v>68.440931335099151</v>
      </c>
      <c r="CD116" s="742">
        <v>0.47033931356066155</v>
      </c>
      <c r="CE116" s="26">
        <v>75.417097243191321</v>
      </c>
      <c r="CF116" s="26">
        <v>0.63310672704084014</v>
      </c>
      <c r="CG116" s="26">
        <v>0</v>
      </c>
      <c r="CH116" s="26">
        <v>0.63310672704084014</v>
      </c>
      <c r="CI116" s="26">
        <v>3.1654908441431491E-2</v>
      </c>
      <c r="CJ116" s="26">
        <v>0</v>
      </c>
      <c r="CK116" s="26">
        <v>3.1654908441431491E-2</v>
      </c>
      <c r="CL116" s="26"/>
      <c r="CM116" s="26">
        <v>0</v>
      </c>
      <c r="CN116" s="26"/>
      <c r="CO116" s="26">
        <v>0</v>
      </c>
      <c r="CP116" s="26">
        <v>0</v>
      </c>
      <c r="CQ116" s="26">
        <v>0</v>
      </c>
      <c r="CR116" s="26">
        <v>0</v>
      </c>
      <c r="CS116" s="26">
        <v>0</v>
      </c>
      <c r="CT116" s="26">
        <v>0</v>
      </c>
      <c r="CU116" s="26">
        <v>0</v>
      </c>
      <c r="CV116" s="26">
        <v>9999</v>
      </c>
      <c r="CW116" s="30">
        <v>9999</v>
      </c>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row>
    <row r="117" spans="1:131">
      <c r="A117" s="7" t="s">
        <v>1331</v>
      </c>
      <c r="B117" s="7" t="s">
        <v>1296</v>
      </c>
      <c r="C117" s="26">
        <v>5</v>
      </c>
      <c r="D117" s="26">
        <v>372.94092628248404</v>
      </c>
      <c r="E117" s="26">
        <v>0</v>
      </c>
      <c r="F117" s="26">
        <v>6.2666666666666666</v>
      </c>
      <c r="G117" s="26">
        <v>0</v>
      </c>
      <c r="H117" s="26">
        <v>0</v>
      </c>
      <c r="I117" s="26" t="s">
        <v>1288</v>
      </c>
      <c r="J117" s="26"/>
      <c r="K117" s="26"/>
      <c r="L117" s="26">
        <v>398.75442145308739</v>
      </c>
      <c r="M117" s="26">
        <v>1.0606173555314377E-3</v>
      </c>
      <c r="N117" s="26">
        <v>1.0529622950862536E-3</v>
      </c>
      <c r="O117" s="26">
        <v>0</v>
      </c>
      <c r="P117" s="26">
        <v>0</v>
      </c>
      <c r="Q117" s="26">
        <v>0</v>
      </c>
      <c r="R117" s="26">
        <v>1.2496570466136128</v>
      </c>
      <c r="S117" s="26">
        <v>2.8877673629602212</v>
      </c>
      <c r="T117" s="26">
        <v>0</v>
      </c>
      <c r="U117" s="26">
        <v>17.597195676572522</v>
      </c>
      <c r="V117" s="26" t="s">
        <v>1516</v>
      </c>
      <c r="W117" s="26" t="s">
        <v>1516</v>
      </c>
      <c r="X117" s="26" t="s">
        <v>1516</v>
      </c>
      <c r="Y117" s="26" t="s">
        <v>1516</v>
      </c>
      <c r="Z117" s="26">
        <v>0</v>
      </c>
      <c r="AA117" s="26">
        <v>0</v>
      </c>
      <c r="AB117" s="26">
        <v>0</v>
      </c>
      <c r="AC117" s="26">
        <v>0</v>
      </c>
      <c r="AD117" s="26">
        <v>0</v>
      </c>
      <c r="AE117" s="26">
        <v>0</v>
      </c>
      <c r="AF117" s="26">
        <v>0</v>
      </c>
      <c r="AG117" s="26">
        <v>0</v>
      </c>
      <c r="AH117" s="26">
        <v>1.2496570466136128</v>
      </c>
      <c r="AI117" s="26">
        <v>2.8877673629602212</v>
      </c>
      <c r="AJ117" s="26">
        <v>0</v>
      </c>
      <c r="AK117" s="26">
        <v>17.597195676572522</v>
      </c>
      <c r="AL117" s="26">
        <v>21.734620086146357</v>
      </c>
      <c r="AM117" s="26">
        <v>191.79446663379949</v>
      </c>
      <c r="AN117" s="26">
        <v>0.37476753570903026</v>
      </c>
      <c r="AO117" s="26">
        <v>0</v>
      </c>
      <c r="AP117" s="26">
        <v>0</v>
      </c>
      <c r="AQ117" s="26">
        <v>192.16923416950851</v>
      </c>
      <c r="AR117" s="26">
        <v>1.2496570466136128</v>
      </c>
      <c r="AS117" s="30">
        <v>153.77757816855348</v>
      </c>
      <c r="AT117" s="26">
        <v>191.79446663379949</v>
      </c>
      <c r="AU117" s="26">
        <v>0.44361313779421879</v>
      </c>
      <c r="AV117" s="26">
        <v>0</v>
      </c>
      <c r="AW117" s="26">
        <v>0</v>
      </c>
      <c r="AX117" s="26">
        <v>192.2380797715937</v>
      </c>
      <c r="AY117" s="26">
        <v>2.8877673629602212</v>
      </c>
      <c r="AZ117" s="30">
        <v>66.569794449969962</v>
      </c>
      <c r="BA117" s="26">
        <v>191.79446663379949</v>
      </c>
      <c r="BB117" s="26">
        <v>0.81838067350324906</v>
      </c>
      <c r="BC117" s="26">
        <v>0</v>
      </c>
      <c r="BD117" s="26">
        <v>0</v>
      </c>
      <c r="BE117" s="26">
        <v>192.61284730730273</v>
      </c>
      <c r="BF117" s="26">
        <v>4.1374244095738337</v>
      </c>
      <c r="BG117" s="26">
        <v>0.61245978571820858</v>
      </c>
      <c r="BH117" s="30">
        <v>46.553804550870908</v>
      </c>
      <c r="BI117" s="26">
        <v>0.23059795165469404</v>
      </c>
      <c r="BJ117" s="26">
        <v>0.53287679252354203</v>
      </c>
      <c r="BK117" s="26">
        <v>0</v>
      </c>
      <c r="BL117" s="26">
        <v>3.2471927309022215</v>
      </c>
      <c r="BM117" s="26">
        <v>4.0106674750804574</v>
      </c>
      <c r="BN117" s="26">
        <v>191.79446663379949</v>
      </c>
      <c r="BO117" s="26">
        <v>0</v>
      </c>
      <c r="BP117" s="26">
        <v>0.81838067350324906</v>
      </c>
      <c r="BQ117" s="26">
        <v>0</v>
      </c>
      <c r="BR117" s="26">
        <v>0</v>
      </c>
      <c r="BS117" s="26">
        <v>0</v>
      </c>
      <c r="BT117" s="26">
        <v>0</v>
      </c>
      <c r="BU117" s="26">
        <v>0</v>
      </c>
      <c r="BV117" s="26">
        <v>0</v>
      </c>
      <c r="BW117" s="26">
        <v>0</v>
      </c>
      <c r="BX117" s="26">
        <v>21.734620086146357</v>
      </c>
      <c r="BY117" s="26"/>
      <c r="BZ117" s="26">
        <v>0</v>
      </c>
      <c r="CA117" s="26">
        <v>0</v>
      </c>
      <c r="CB117" s="26">
        <v>192.61284730730273</v>
      </c>
      <c r="CC117" s="26">
        <v>21.734620086146357</v>
      </c>
      <c r="CD117" s="30">
        <v>8.8620296349267278</v>
      </c>
      <c r="CE117" s="26">
        <v>3.8596525166204283</v>
      </c>
      <c r="CF117" s="26">
        <v>3.7882182121930161</v>
      </c>
      <c r="CG117" s="26">
        <v>0</v>
      </c>
      <c r="CH117" s="26">
        <v>3.7882182121930161</v>
      </c>
      <c r="CI117" s="26">
        <v>0.18940835019021646</v>
      </c>
      <c r="CJ117" s="26">
        <v>0</v>
      </c>
      <c r="CK117" s="26">
        <v>0.18940835019021646</v>
      </c>
      <c r="CL117" s="26"/>
      <c r="CM117" s="26">
        <v>0</v>
      </c>
      <c r="CN117" s="26"/>
      <c r="CO117" s="26">
        <v>0</v>
      </c>
      <c r="CP117" s="26">
        <v>0</v>
      </c>
      <c r="CQ117" s="26">
        <v>0</v>
      </c>
      <c r="CR117" s="26">
        <v>0</v>
      </c>
      <c r="CS117" s="26">
        <v>0</v>
      </c>
      <c r="CT117" s="26">
        <v>0</v>
      </c>
      <c r="CU117" s="26">
        <v>0</v>
      </c>
      <c r="CV117" s="26">
        <v>9999</v>
      </c>
      <c r="CW117" s="30">
        <v>9999</v>
      </c>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row>
    <row r="118" spans="1:131">
      <c r="A118" s="7" t="s">
        <v>1332</v>
      </c>
      <c r="B118" s="7" t="s">
        <v>1298</v>
      </c>
      <c r="C118" s="26">
        <v>5</v>
      </c>
      <c r="D118" s="26">
        <v>386.52682892371809</v>
      </c>
      <c r="E118" s="26">
        <v>0</v>
      </c>
      <c r="F118" s="26">
        <v>21.866666666666667</v>
      </c>
      <c r="G118" s="26">
        <v>0</v>
      </c>
      <c r="H118" s="26">
        <v>0</v>
      </c>
      <c r="I118" s="26" t="s">
        <v>1288</v>
      </c>
      <c r="J118" s="26"/>
      <c r="K118" s="26"/>
      <c r="L118" s="26">
        <v>413.28068651502326</v>
      </c>
      <c r="M118" s="26">
        <v>1.0992546922149928E-3</v>
      </c>
      <c r="N118" s="26">
        <v>1.0913207648002923E-3</v>
      </c>
      <c r="O118" s="26">
        <v>0</v>
      </c>
      <c r="P118" s="26">
        <v>0</v>
      </c>
      <c r="Q118" s="26">
        <v>0</v>
      </c>
      <c r="R118" s="26">
        <v>4.3605054392474996</v>
      </c>
      <c r="S118" s="26">
        <v>10.07646484096758</v>
      </c>
      <c r="T118" s="26">
        <v>0</v>
      </c>
      <c r="U118" s="26">
        <v>61.40298065867858</v>
      </c>
      <c r="V118" s="26" t="s">
        <v>1516</v>
      </c>
      <c r="W118" s="26" t="s">
        <v>1516</v>
      </c>
      <c r="X118" s="26" t="s">
        <v>1516</v>
      </c>
      <c r="Y118" s="26" t="s">
        <v>1516</v>
      </c>
      <c r="Z118" s="26">
        <v>0</v>
      </c>
      <c r="AA118" s="26">
        <v>0</v>
      </c>
      <c r="AB118" s="26">
        <v>0</v>
      </c>
      <c r="AC118" s="26">
        <v>0</v>
      </c>
      <c r="AD118" s="26">
        <v>0</v>
      </c>
      <c r="AE118" s="26">
        <v>0</v>
      </c>
      <c r="AF118" s="26">
        <v>0</v>
      </c>
      <c r="AG118" s="26">
        <v>0</v>
      </c>
      <c r="AH118" s="26">
        <v>4.3605054392474996</v>
      </c>
      <c r="AI118" s="26">
        <v>10.07646484096758</v>
      </c>
      <c r="AJ118" s="26">
        <v>0</v>
      </c>
      <c r="AK118" s="26">
        <v>61.40298065867858</v>
      </c>
      <c r="AL118" s="26">
        <v>75.839950938893651</v>
      </c>
      <c r="AM118" s="26">
        <v>198.78136661495245</v>
      </c>
      <c r="AN118" s="26">
        <v>0.38841998008940776</v>
      </c>
      <c r="AO118" s="26">
        <v>0</v>
      </c>
      <c r="AP118" s="26">
        <v>0</v>
      </c>
      <c r="AQ118" s="26">
        <v>199.16978659504184</v>
      </c>
      <c r="AR118" s="26">
        <v>4.3605054392474996</v>
      </c>
      <c r="AS118" s="30">
        <v>45.675848676251839</v>
      </c>
      <c r="AT118" s="26">
        <v>198.78136661495245</v>
      </c>
      <c r="AU118" s="26">
        <v>0.45977356556094645</v>
      </c>
      <c r="AV118" s="26">
        <v>0</v>
      </c>
      <c r="AW118" s="26">
        <v>0</v>
      </c>
      <c r="AX118" s="26">
        <v>199.24114018051338</v>
      </c>
      <c r="AY118" s="26">
        <v>10.07646484096758</v>
      </c>
      <c r="AZ118" s="30">
        <v>19.772920694415038</v>
      </c>
      <c r="BA118" s="26">
        <v>198.78136661495245</v>
      </c>
      <c r="BB118" s="26">
        <v>0.84819354565035421</v>
      </c>
      <c r="BC118" s="26">
        <v>0</v>
      </c>
      <c r="BD118" s="26">
        <v>0</v>
      </c>
      <c r="BE118" s="26">
        <v>199.62956016060278</v>
      </c>
      <c r="BF118" s="26">
        <v>14.436970280215078</v>
      </c>
      <c r="BG118" s="26">
        <v>2.4193871370707702</v>
      </c>
      <c r="BH118" s="30">
        <v>13.82766302665193</v>
      </c>
      <c r="BI118" s="26">
        <v>0.77635764991324874</v>
      </c>
      <c r="BJ118" s="26">
        <v>1.7940444456175446</v>
      </c>
      <c r="BK118" s="26">
        <v>0</v>
      </c>
      <c r="BL118" s="26">
        <v>10.932373420010453</v>
      </c>
      <c r="BM118" s="26">
        <v>13.502775515541247</v>
      </c>
      <c r="BN118" s="26">
        <v>198.78136661495245</v>
      </c>
      <c r="BO118" s="26">
        <v>0</v>
      </c>
      <c r="BP118" s="26">
        <v>0.84819354565035421</v>
      </c>
      <c r="BQ118" s="26">
        <v>0</v>
      </c>
      <c r="BR118" s="26">
        <v>0</v>
      </c>
      <c r="BS118" s="26">
        <v>0</v>
      </c>
      <c r="BT118" s="26">
        <v>0</v>
      </c>
      <c r="BU118" s="26">
        <v>0</v>
      </c>
      <c r="BV118" s="26">
        <v>0</v>
      </c>
      <c r="BW118" s="26">
        <v>0</v>
      </c>
      <c r="BX118" s="26">
        <v>75.839950938893651</v>
      </c>
      <c r="BY118" s="26"/>
      <c r="BZ118" s="26">
        <v>0</v>
      </c>
      <c r="CA118" s="26">
        <v>0</v>
      </c>
      <c r="CB118" s="26">
        <v>199.62956016060278</v>
      </c>
      <c r="CC118" s="26">
        <v>75.839950938893651</v>
      </c>
      <c r="CD118" s="30">
        <v>2.6322480129430708</v>
      </c>
      <c r="CE118" s="26">
        <v>13.351760557081219</v>
      </c>
      <c r="CF118" s="26">
        <v>3.9262195957569674</v>
      </c>
      <c r="CG118" s="26">
        <v>0</v>
      </c>
      <c r="CH118" s="26">
        <v>3.9262195957569674</v>
      </c>
      <c r="CI118" s="26">
        <v>0.19630832609463603</v>
      </c>
      <c r="CJ118" s="26">
        <v>0</v>
      </c>
      <c r="CK118" s="26">
        <v>0.19630832609463603</v>
      </c>
      <c r="CL118" s="26"/>
      <c r="CM118" s="26">
        <v>0</v>
      </c>
      <c r="CN118" s="26"/>
      <c r="CO118" s="26">
        <v>0</v>
      </c>
      <c r="CP118" s="26">
        <v>0</v>
      </c>
      <c r="CQ118" s="26">
        <v>0</v>
      </c>
      <c r="CR118" s="26">
        <v>0</v>
      </c>
      <c r="CS118" s="26">
        <v>0</v>
      </c>
      <c r="CT118" s="26">
        <v>0</v>
      </c>
      <c r="CU118" s="26">
        <v>0</v>
      </c>
      <c r="CV118" s="26">
        <v>9999</v>
      </c>
      <c r="CW118" s="30">
        <v>9999</v>
      </c>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row>
    <row r="119" spans="1:131">
      <c r="A119" s="7" t="s">
        <v>1333</v>
      </c>
      <c r="B119" s="7" t="s">
        <v>1300</v>
      </c>
      <c r="C119" s="26">
        <v>8</v>
      </c>
      <c r="D119" s="26">
        <v>185.56558812777402</v>
      </c>
      <c r="E119" s="26">
        <v>0</v>
      </c>
      <c r="F119" s="26">
        <v>28.8</v>
      </c>
      <c r="G119" s="26">
        <v>0</v>
      </c>
      <c r="H119" s="26">
        <v>0</v>
      </c>
      <c r="I119" s="26" t="s">
        <v>1288</v>
      </c>
      <c r="J119" s="26"/>
      <c r="K119" s="26"/>
      <c r="L119" s="26">
        <v>198.409703845281</v>
      </c>
      <c r="M119" s="26">
        <v>5.2773527786177817E-4</v>
      </c>
      <c r="N119" s="26">
        <v>5.2392632128566807E-4</v>
      </c>
      <c r="O119" s="26">
        <v>0</v>
      </c>
      <c r="P119" s="26">
        <v>0</v>
      </c>
      <c r="Q119" s="26">
        <v>0</v>
      </c>
      <c r="R119" s="26">
        <v>5.74310472486256</v>
      </c>
      <c r="S119" s="26">
        <v>13.271441497859739</v>
      </c>
      <c r="T119" s="26">
        <v>0</v>
      </c>
      <c r="U119" s="26">
        <v>46.062527454630569</v>
      </c>
      <c r="V119" s="26" t="s">
        <v>1516</v>
      </c>
      <c r="W119" s="26" t="s">
        <v>1516</v>
      </c>
      <c r="X119" s="26" t="s">
        <v>1516</v>
      </c>
      <c r="Y119" s="26" t="s">
        <v>1516</v>
      </c>
      <c r="Z119" s="26">
        <v>0</v>
      </c>
      <c r="AA119" s="26">
        <v>0</v>
      </c>
      <c r="AB119" s="26">
        <v>0</v>
      </c>
      <c r="AC119" s="26">
        <v>0</v>
      </c>
      <c r="AD119" s="26">
        <v>0</v>
      </c>
      <c r="AE119" s="26">
        <v>0</v>
      </c>
      <c r="AF119" s="26">
        <v>0</v>
      </c>
      <c r="AG119" s="26">
        <v>0</v>
      </c>
      <c r="AH119" s="26">
        <v>5.74310472486256</v>
      </c>
      <c r="AI119" s="26">
        <v>13.271441497859739</v>
      </c>
      <c r="AJ119" s="26">
        <v>0</v>
      </c>
      <c r="AK119" s="26">
        <v>46.062527454630569</v>
      </c>
      <c r="AL119" s="26">
        <v>65.077073677352871</v>
      </c>
      <c r="AM119" s="26">
        <v>95.431878059947152</v>
      </c>
      <c r="AN119" s="26">
        <v>0.18647446089723788</v>
      </c>
      <c r="AO119" s="26">
        <v>0</v>
      </c>
      <c r="AP119" s="26">
        <v>0</v>
      </c>
      <c r="AQ119" s="26">
        <v>95.618352520844397</v>
      </c>
      <c r="AR119" s="26">
        <v>5.74310472486256</v>
      </c>
      <c r="AS119" s="30">
        <v>16.649244111273397</v>
      </c>
      <c r="AT119" s="26">
        <v>95.431878059947152</v>
      </c>
      <c r="AU119" s="26">
        <v>0.22073022029670916</v>
      </c>
      <c r="AV119" s="26">
        <v>0</v>
      </c>
      <c r="AW119" s="26">
        <v>0</v>
      </c>
      <c r="AX119" s="26">
        <v>95.652608280243868</v>
      </c>
      <c r="AY119" s="26">
        <v>13.271441497859739</v>
      </c>
      <c r="AZ119" s="30">
        <v>7.2074015694278266</v>
      </c>
      <c r="BA119" s="26">
        <v>95.431878059947152</v>
      </c>
      <c r="BB119" s="26">
        <v>0.40720468119394704</v>
      </c>
      <c r="BC119" s="26">
        <v>0</v>
      </c>
      <c r="BD119" s="26">
        <v>0</v>
      </c>
      <c r="BE119" s="26">
        <v>95.839082741141112</v>
      </c>
      <c r="BF119" s="26">
        <v>19.014546222722299</v>
      </c>
      <c r="BG119" s="26">
        <v>6.9006743775794739</v>
      </c>
      <c r="BH119" s="30">
        <v>5.0403034402479632</v>
      </c>
      <c r="BI119" s="26">
        <v>2.1298741431796984</v>
      </c>
      <c r="BJ119" s="26">
        <v>4.9218151928598086</v>
      </c>
      <c r="BK119" s="26">
        <v>0</v>
      </c>
      <c r="BL119" s="26">
        <v>17.082639250927198</v>
      </c>
      <c r="BM119" s="26">
        <v>24.134328586966706</v>
      </c>
      <c r="BN119" s="26">
        <v>95.431878059947152</v>
      </c>
      <c r="BO119" s="26">
        <v>0</v>
      </c>
      <c r="BP119" s="26">
        <v>0.40720468119394704</v>
      </c>
      <c r="BQ119" s="26">
        <v>0</v>
      </c>
      <c r="BR119" s="26">
        <v>0</v>
      </c>
      <c r="BS119" s="26">
        <v>0</v>
      </c>
      <c r="BT119" s="26">
        <v>0</v>
      </c>
      <c r="BU119" s="26">
        <v>0</v>
      </c>
      <c r="BV119" s="26">
        <v>0</v>
      </c>
      <c r="BW119" s="26">
        <v>0</v>
      </c>
      <c r="BX119" s="26">
        <v>65.077073677352871</v>
      </c>
      <c r="BY119" s="26"/>
      <c r="BZ119" s="26">
        <v>0</v>
      </c>
      <c r="CA119" s="26">
        <v>0</v>
      </c>
      <c r="CB119" s="26">
        <v>95.839082741141112</v>
      </c>
      <c r="CC119" s="26">
        <v>65.077073677352871</v>
      </c>
      <c r="CD119" s="30">
        <v>1.4727011730168433</v>
      </c>
      <c r="CE119" s="26">
        <v>23.983313628506671</v>
      </c>
      <c r="CF119" s="26">
        <v>1.8849176664764418</v>
      </c>
      <c r="CG119" s="26">
        <v>0</v>
      </c>
      <c r="CH119" s="26">
        <v>1.8849176664764418</v>
      </c>
      <c r="CI119" s="26">
        <v>9.4244609326508466E-2</v>
      </c>
      <c r="CJ119" s="26">
        <v>0</v>
      </c>
      <c r="CK119" s="26">
        <v>9.4244609326508466E-2</v>
      </c>
      <c r="CL119" s="26"/>
      <c r="CM119" s="26">
        <v>0</v>
      </c>
      <c r="CN119" s="26"/>
      <c r="CO119" s="26">
        <v>0</v>
      </c>
      <c r="CP119" s="26">
        <v>0</v>
      </c>
      <c r="CQ119" s="26">
        <v>0</v>
      </c>
      <c r="CR119" s="26">
        <v>0</v>
      </c>
      <c r="CS119" s="26">
        <v>0</v>
      </c>
      <c r="CT119" s="26">
        <v>0</v>
      </c>
      <c r="CU119" s="26">
        <v>0</v>
      </c>
      <c r="CV119" s="26">
        <v>9999</v>
      </c>
      <c r="CW119" s="30">
        <v>9999</v>
      </c>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row>
    <row r="120" spans="1:131">
      <c r="A120" s="7" t="s">
        <v>1334</v>
      </c>
      <c r="B120" s="7" t="s">
        <v>1302</v>
      </c>
      <c r="C120" s="26">
        <v>10</v>
      </c>
      <c r="D120" s="26">
        <v>321.16441941429207</v>
      </c>
      <c r="E120" s="26">
        <v>0</v>
      </c>
      <c r="F120" s="26">
        <v>160</v>
      </c>
      <c r="G120" s="26">
        <v>0</v>
      </c>
      <c r="H120" s="26">
        <v>0</v>
      </c>
      <c r="I120" s="26" t="s">
        <v>1288</v>
      </c>
      <c r="J120" s="26"/>
      <c r="K120" s="26"/>
      <c r="L120" s="26">
        <v>343.39414966181369</v>
      </c>
      <c r="M120" s="26">
        <v>9.133686683449805E-4</v>
      </c>
      <c r="N120" s="26">
        <v>9.0677638289118011E-4</v>
      </c>
      <c r="O120" s="26">
        <v>0</v>
      </c>
      <c r="P120" s="26">
        <v>0</v>
      </c>
      <c r="Q120" s="26">
        <v>0</v>
      </c>
      <c r="R120" s="26">
        <v>31.906137360347557</v>
      </c>
      <c r="S120" s="26">
        <v>73.730230543665215</v>
      </c>
      <c r="T120" s="26">
        <v>0</v>
      </c>
      <c r="U120" s="26">
        <v>191.76973147720528</v>
      </c>
      <c r="V120" s="26" t="s">
        <v>1516</v>
      </c>
      <c r="W120" s="26" t="s">
        <v>1516</v>
      </c>
      <c r="X120" s="26" t="s">
        <v>1516</v>
      </c>
      <c r="Y120" s="26" t="s">
        <v>1516</v>
      </c>
      <c r="Z120" s="26">
        <v>0</v>
      </c>
      <c r="AA120" s="26">
        <v>0</v>
      </c>
      <c r="AB120" s="26">
        <v>0</v>
      </c>
      <c r="AC120" s="26">
        <v>0</v>
      </c>
      <c r="AD120" s="26">
        <v>0</v>
      </c>
      <c r="AE120" s="26">
        <v>0</v>
      </c>
      <c r="AF120" s="26">
        <v>0</v>
      </c>
      <c r="AG120" s="26">
        <v>0</v>
      </c>
      <c r="AH120" s="26">
        <v>31.906137360347557</v>
      </c>
      <c r="AI120" s="26">
        <v>73.730230543665215</v>
      </c>
      <c r="AJ120" s="26">
        <v>0</v>
      </c>
      <c r="AK120" s="26">
        <v>191.76973147720528</v>
      </c>
      <c r="AL120" s="26">
        <v>297.40609938121804</v>
      </c>
      <c r="AM120" s="26">
        <v>165.16706583353366</v>
      </c>
      <c r="AN120" s="26">
        <v>0.32273743517799786</v>
      </c>
      <c r="AO120" s="26">
        <v>0</v>
      </c>
      <c r="AP120" s="26">
        <v>0</v>
      </c>
      <c r="AQ120" s="26">
        <v>165.48980326871165</v>
      </c>
      <c r="AR120" s="26">
        <v>31.906137360347557</v>
      </c>
      <c r="AS120" s="30">
        <v>5.1867702254168746</v>
      </c>
      <c r="AT120" s="26">
        <v>165.16706583353366</v>
      </c>
      <c r="AU120" s="26">
        <v>0.38202499592741579</v>
      </c>
      <c r="AV120" s="26">
        <v>0</v>
      </c>
      <c r="AW120" s="26">
        <v>0</v>
      </c>
      <c r="AX120" s="26">
        <v>165.54909082946108</v>
      </c>
      <c r="AY120" s="26">
        <v>73.730230543665215</v>
      </c>
      <c r="AZ120" s="30">
        <v>2.2453353205157556</v>
      </c>
      <c r="BA120" s="26">
        <v>165.16706583353366</v>
      </c>
      <c r="BB120" s="26">
        <v>0.7047624311054137</v>
      </c>
      <c r="BC120" s="26">
        <v>0</v>
      </c>
      <c r="BD120" s="26">
        <v>0</v>
      </c>
      <c r="BE120" s="26">
        <v>165.87182826463908</v>
      </c>
      <c r="BF120" s="26">
        <v>105.63636790401277</v>
      </c>
      <c r="BG120" s="26">
        <v>22.484515834336747</v>
      </c>
      <c r="BH120" s="30">
        <v>1.5702151783120721</v>
      </c>
      <c r="BI120" s="26">
        <v>6.8367776082153284</v>
      </c>
      <c r="BJ120" s="26">
        <v>15.79875318458145</v>
      </c>
      <c r="BK120" s="26">
        <v>0</v>
      </c>
      <c r="BL120" s="26">
        <v>41.092000303559828</v>
      </c>
      <c r="BM120" s="26">
        <v>63.7275310963566</v>
      </c>
      <c r="BN120" s="26">
        <v>165.16706583353366</v>
      </c>
      <c r="BO120" s="26">
        <v>0</v>
      </c>
      <c r="BP120" s="26">
        <v>0.7047624311054137</v>
      </c>
      <c r="BQ120" s="26">
        <v>0</v>
      </c>
      <c r="BR120" s="26">
        <v>0</v>
      </c>
      <c r="BS120" s="26">
        <v>0</v>
      </c>
      <c r="BT120" s="26">
        <v>0</v>
      </c>
      <c r="BU120" s="26">
        <v>0</v>
      </c>
      <c r="BV120" s="26">
        <v>0</v>
      </c>
      <c r="BW120" s="26">
        <v>0</v>
      </c>
      <c r="BX120" s="26">
        <v>297.40609938121804</v>
      </c>
      <c r="BY120" s="26"/>
      <c r="BZ120" s="26">
        <v>0</v>
      </c>
      <c r="CA120" s="26">
        <v>0</v>
      </c>
      <c r="CB120" s="26">
        <v>165.87182826463908</v>
      </c>
      <c r="CC120" s="26">
        <v>297.40609938121804</v>
      </c>
      <c r="CD120" s="742">
        <v>0.55772840103061549</v>
      </c>
      <c r="CE120" s="26">
        <v>63.576516137896562</v>
      </c>
      <c r="CF120" s="26">
        <v>3.2622885207617998</v>
      </c>
      <c r="CG120" s="26">
        <v>0</v>
      </c>
      <c r="CH120" s="26">
        <v>3.2622885207617998</v>
      </c>
      <c r="CI120" s="26">
        <v>0.16311222108936146</v>
      </c>
      <c r="CJ120" s="26">
        <v>0</v>
      </c>
      <c r="CK120" s="26">
        <v>0.16311222108936146</v>
      </c>
      <c r="CL120" s="26"/>
      <c r="CM120" s="26">
        <v>0</v>
      </c>
      <c r="CN120" s="26"/>
      <c r="CO120" s="26">
        <v>0</v>
      </c>
      <c r="CP120" s="26">
        <v>0</v>
      </c>
      <c r="CQ120" s="26">
        <v>0</v>
      </c>
      <c r="CR120" s="26">
        <v>0</v>
      </c>
      <c r="CS120" s="26">
        <v>0</v>
      </c>
      <c r="CT120" s="26">
        <v>0</v>
      </c>
      <c r="CU120" s="26">
        <v>0</v>
      </c>
      <c r="CV120" s="26">
        <v>9999</v>
      </c>
      <c r="CW120" s="30">
        <v>9999</v>
      </c>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row>
    <row r="121" spans="1:131">
      <c r="A121" s="7" t="s">
        <v>1335</v>
      </c>
      <c r="B121" s="7" t="s">
        <v>1304</v>
      </c>
      <c r="C121" s="26">
        <v>5</v>
      </c>
      <c r="D121" s="26">
        <v>92.479777249884535</v>
      </c>
      <c r="E121" s="26">
        <v>0</v>
      </c>
      <c r="F121" s="26">
        <v>5.2</v>
      </c>
      <c r="G121" s="26">
        <v>0</v>
      </c>
      <c r="H121" s="26">
        <v>0</v>
      </c>
      <c r="I121" s="26" t="s">
        <v>1288</v>
      </c>
      <c r="J121" s="26"/>
      <c r="K121" s="26"/>
      <c r="L121" s="26">
        <v>98.880861483826095</v>
      </c>
      <c r="M121" s="26">
        <v>2.6300588075606906E-4</v>
      </c>
      <c r="N121" s="26">
        <v>2.6110762225206997E-4</v>
      </c>
      <c r="O121" s="26">
        <v>0</v>
      </c>
      <c r="P121" s="26">
        <v>0</v>
      </c>
      <c r="Q121" s="26">
        <v>0</v>
      </c>
      <c r="R121" s="26">
        <v>1.0369494642112955</v>
      </c>
      <c r="S121" s="26">
        <v>2.3962324926691196</v>
      </c>
      <c r="T121" s="26">
        <v>0</v>
      </c>
      <c r="U121" s="26">
        <v>14.601928327368688</v>
      </c>
      <c r="V121" s="26" t="s">
        <v>1516</v>
      </c>
      <c r="W121" s="26" t="s">
        <v>1516</v>
      </c>
      <c r="X121" s="26" t="s">
        <v>1516</v>
      </c>
      <c r="Y121" s="26" t="s">
        <v>1516</v>
      </c>
      <c r="Z121" s="26">
        <v>0</v>
      </c>
      <c r="AA121" s="26">
        <v>0</v>
      </c>
      <c r="AB121" s="26">
        <v>0</v>
      </c>
      <c r="AC121" s="26">
        <v>0</v>
      </c>
      <c r="AD121" s="26">
        <v>0</v>
      </c>
      <c r="AE121" s="26">
        <v>0</v>
      </c>
      <c r="AF121" s="26">
        <v>0</v>
      </c>
      <c r="AG121" s="26">
        <v>0</v>
      </c>
      <c r="AH121" s="26">
        <v>1.0369494642112955</v>
      </c>
      <c r="AI121" s="26">
        <v>2.3962324926691196</v>
      </c>
      <c r="AJ121" s="26">
        <v>0</v>
      </c>
      <c r="AK121" s="26">
        <v>14.601928327368688</v>
      </c>
      <c r="AL121" s="26">
        <v>18.035110284249104</v>
      </c>
      <c r="AM121" s="26">
        <v>47.560104837137736</v>
      </c>
      <c r="AN121" s="26">
        <v>9.293272950313651E-2</v>
      </c>
      <c r="AO121" s="26">
        <v>0</v>
      </c>
      <c r="AP121" s="26">
        <v>0</v>
      </c>
      <c r="AQ121" s="26">
        <v>47.653037566640876</v>
      </c>
      <c r="AR121" s="26">
        <v>1.0369494642112955</v>
      </c>
      <c r="AS121" s="30">
        <v>45.955024050169897</v>
      </c>
      <c r="AT121" s="26">
        <v>47.560104837137736</v>
      </c>
      <c r="AU121" s="26">
        <v>0.11000467172448949</v>
      </c>
      <c r="AV121" s="26">
        <v>0</v>
      </c>
      <c r="AW121" s="26">
        <v>0</v>
      </c>
      <c r="AX121" s="26">
        <v>47.670109508862225</v>
      </c>
      <c r="AY121" s="26">
        <v>2.3962324926691196</v>
      </c>
      <c r="AZ121" s="30">
        <v>19.893774771313346</v>
      </c>
      <c r="BA121" s="26">
        <v>47.560104837137736</v>
      </c>
      <c r="BB121" s="26">
        <v>0.20293740122762599</v>
      </c>
      <c r="BC121" s="26">
        <v>0</v>
      </c>
      <c r="BD121" s="26">
        <v>0</v>
      </c>
      <c r="BE121" s="26">
        <v>47.763042238365365</v>
      </c>
      <c r="BF121" s="26">
        <v>3.4331819568804152</v>
      </c>
      <c r="BG121" s="26">
        <v>2.4037720224892505</v>
      </c>
      <c r="BH121" s="30">
        <v>13.912179091656879</v>
      </c>
      <c r="BI121" s="26">
        <v>0.7716413007938997</v>
      </c>
      <c r="BJ121" s="26">
        <v>1.7831456801553809</v>
      </c>
      <c r="BK121" s="26">
        <v>0</v>
      </c>
      <c r="BL121" s="26">
        <v>10.865959583864676</v>
      </c>
      <c r="BM121" s="26">
        <v>13.420746564813959</v>
      </c>
      <c r="BN121" s="26">
        <v>47.560104837137736</v>
      </c>
      <c r="BO121" s="26">
        <v>0</v>
      </c>
      <c r="BP121" s="26">
        <v>0.20293740122762599</v>
      </c>
      <c r="BQ121" s="26">
        <v>0</v>
      </c>
      <c r="BR121" s="26">
        <v>0</v>
      </c>
      <c r="BS121" s="26">
        <v>0</v>
      </c>
      <c r="BT121" s="26">
        <v>0</v>
      </c>
      <c r="BU121" s="26">
        <v>0</v>
      </c>
      <c r="BV121" s="26">
        <v>0</v>
      </c>
      <c r="BW121" s="26">
        <v>0</v>
      </c>
      <c r="BX121" s="26">
        <v>18.035110284249104</v>
      </c>
      <c r="BY121" s="26"/>
      <c r="BZ121" s="26">
        <v>0</v>
      </c>
      <c r="CA121" s="26">
        <v>0</v>
      </c>
      <c r="CB121" s="26">
        <v>47.763042238365365</v>
      </c>
      <c r="CC121" s="26">
        <v>18.035110284249104</v>
      </c>
      <c r="CD121" s="30">
        <v>2.6483365771308334</v>
      </c>
      <c r="CE121" s="26">
        <v>13.269731606353925</v>
      </c>
      <c r="CF121" s="26">
        <v>0.93938088246235063</v>
      </c>
      <c r="CG121" s="26">
        <v>0</v>
      </c>
      <c r="CH121" s="26">
        <v>0.93938088246235063</v>
      </c>
      <c r="CI121" s="26">
        <v>4.6968409204817388E-2</v>
      </c>
      <c r="CJ121" s="26">
        <v>0</v>
      </c>
      <c r="CK121" s="26">
        <v>4.6968409204817388E-2</v>
      </c>
      <c r="CL121" s="26"/>
      <c r="CM121" s="26">
        <v>0</v>
      </c>
      <c r="CN121" s="26"/>
      <c r="CO121" s="26">
        <v>0</v>
      </c>
      <c r="CP121" s="26">
        <v>0</v>
      </c>
      <c r="CQ121" s="26">
        <v>0</v>
      </c>
      <c r="CR121" s="26">
        <v>0</v>
      </c>
      <c r="CS121" s="26">
        <v>0</v>
      </c>
      <c r="CT121" s="26">
        <v>0</v>
      </c>
      <c r="CU121" s="26">
        <v>0</v>
      </c>
      <c r="CV121" s="26">
        <v>9999</v>
      </c>
      <c r="CW121" s="30">
        <v>9999</v>
      </c>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row>
    <row r="122" spans="1:131">
      <c r="A122" s="7" t="s">
        <v>1336</v>
      </c>
      <c r="B122" s="7" t="s">
        <v>1306</v>
      </c>
      <c r="C122" s="26">
        <v>5</v>
      </c>
      <c r="D122" s="26">
        <v>122.56941681015363</v>
      </c>
      <c r="E122" s="26">
        <v>0</v>
      </c>
      <c r="F122" s="26">
        <v>24.253499999999999</v>
      </c>
      <c r="G122" s="26">
        <v>0</v>
      </c>
      <c r="H122" s="26">
        <v>0</v>
      </c>
      <c r="I122" s="26" t="s">
        <v>1288</v>
      </c>
      <c r="J122" s="26"/>
      <c r="K122" s="26"/>
      <c r="L122" s="26">
        <v>131.05318682818603</v>
      </c>
      <c r="M122" s="26">
        <v>3.4857866639111573E-4</v>
      </c>
      <c r="N122" s="26">
        <v>3.4606278189496903E-4</v>
      </c>
      <c r="O122" s="26">
        <v>0</v>
      </c>
      <c r="P122" s="26">
        <v>0</v>
      </c>
      <c r="Q122" s="26">
        <v>0</v>
      </c>
      <c r="R122" s="26">
        <v>4.836471890432434</v>
      </c>
      <c r="S122" s="26">
        <v>11.176350915567401</v>
      </c>
      <c r="T122" s="26">
        <v>0</v>
      </c>
      <c r="U122" s="26">
        <v>68.105359363045466</v>
      </c>
      <c r="V122" s="26" t="s">
        <v>1516</v>
      </c>
      <c r="W122" s="26" t="s">
        <v>1516</v>
      </c>
      <c r="X122" s="26" t="s">
        <v>1516</v>
      </c>
      <c r="Y122" s="26" t="s">
        <v>1516</v>
      </c>
      <c r="Z122" s="26">
        <v>0</v>
      </c>
      <c r="AA122" s="26">
        <v>0</v>
      </c>
      <c r="AB122" s="26">
        <v>0</v>
      </c>
      <c r="AC122" s="26">
        <v>0</v>
      </c>
      <c r="AD122" s="26">
        <v>0</v>
      </c>
      <c r="AE122" s="26">
        <v>0</v>
      </c>
      <c r="AF122" s="26">
        <v>0</v>
      </c>
      <c r="AG122" s="26">
        <v>0</v>
      </c>
      <c r="AH122" s="26">
        <v>4.836471890432434</v>
      </c>
      <c r="AI122" s="26">
        <v>11.176350915567401</v>
      </c>
      <c r="AJ122" s="26">
        <v>0</v>
      </c>
      <c r="AK122" s="26">
        <v>68.105359363045466</v>
      </c>
      <c r="AL122" s="26">
        <v>84.118182169045298</v>
      </c>
      <c r="AM122" s="26">
        <v>63.03447614894656</v>
      </c>
      <c r="AN122" s="26">
        <v>0.12316974366187095</v>
      </c>
      <c r="AO122" s="26">
        <v>0</v>
      </c>
      <c r="AP122" s="26">
        <v>0</v>
      </c>
      <c r="AQ122" s="26">
        <v>63.157645892608429</v>
      </c>
      <c r="AR122" s="26">
        <v>4.836471890432434</v>
      </c>
      <c r="AS122" s="30">
        <v>13.05861944893087</v>
      </c>
      <c r="AT122" s="26">
        <v>63.03447614894656</v>
      </c>
      <c r="AU122" s="26">
        <v>0.14579629039580011</v>
      </c>
      <c r="AV122" s="26">
        <v>0</v>
      </c>
      <c r="AW122" s="26">
        <v>0</v>
      </c>
      <c r="AX122" s="26">
        <v>63.18027243934236</v>
      </c>
      <c r="AY122" s="26">
        <v>11.176350915567401</v>
      </c>
      <c r="AZ122" s="30">
        <v>5.653032274723885</v>
      </c>
      <c r="BA122" s="26">
        <v>63.03447614894656</v>
      </c>
      <c r="BB122" s="26">
        <v>0.26896603405767106</v>
      </c>
      <c r="BC122" s="26">
        <v>0</v>
      </c>
      <c r="BD122" s="26">
        <v>0</v>
      </c>
      <c r="BE122" s="26">
        <v>63.303442183004229</v>
      </c>
      <c r="BF122" s="26">
        <v>16.012822805999836</v>
      </c>
      <c r="BG122" s="26">
        <v>8.8396212731668378</v>
      </c>
      <c r="BH122" s="30">
        <v>3.9532968640160746</v>
      </c>
      <c r="BI122" s="26">
        <v>2.7155086856437394</v>
      </c>
      <c r="BJ122" s="26">
        <v>6.2751275459831239</v>
      </c>
      <c r="BK122" s="26">
        <v>0</v>
      </c>
      <c r="BL122" s="26">
        <v>38.238761452349188</v>
      </c>
      <c r="BM122" s="26">
        <v>47.229397683976046</v>
      </c>
      <c r="BN122" s="26">
        <v>63.03447614894656</v>
      </c>
      <c r="BO122" s="26">
        <v>0</v>
      </c>
      <c r="BP122" s="26">
        <v>0.26896603405767106</v>
      </c>
      <c r="BQ122" s="26">
        <v>0</v>
      </c>
      <c r="BR122" s="26">
        <v>0</v>
      </c>
      <c r="BS122" s="26">
        <v>0</v>
      </c>
      <c r="BT122" s="26">
        <v>0</v>
      </c>
      <c r="BU122" s="26">
        <v>0</v>
      </c>
      <c r="BV122" s="26">
        <v>0</v>
      </c>
      <c r="BW122" s="26">
        <v>0</v>
      </c>
      <c r="BX122" s="26">
        <v>84.118182169045298</v>
      </c>
      <c r="BY122" s="26"/>
      <c r="BZ122" s="26">
        <v>0</v>
      </c>
      <c r="CA122" s="26">
        <v>0</v>
      </c>
      <c r="CB122" s="26">
        <v>63.303442183004229</v>
      </c>
      <c r="CC122" s="26">
        <v>84.118182169045298</v>
      </c>
      <c r="CD122" s="742">
        <v>0.75255361624183204</v>
      </c>
      <c r="CE122" s="26">
        <v>47.078382725516022</v>
      </c>
      <c r="CF122" s="26">
        <v>1.2450221048316961</v>
      </c>
      <c r="CG122" s="26">
        <v>0</v>
      </c>
      <c r="CH122" s="26">
        <v>1.2450221048316961</v>
      </c>
      <c r="CI122" s="26">
        <v>6.2250263743388358E-2</v>
      </c>
      <c r="CJ122" s="26">
        <v>0</v>
      </c>
      <c r="CK122" s="26">
        <v>6.2250263743388358E-2</v>
      </c>
      <c r="CL122" s="26"/>
      <c r="CM122" s="26">
        <v>0</v>
      </c>
      <c r="CN122" s="26"/>
      <c r="CO122" s="26">
        <v>0</v>
      </c>
      <c r="CP122" s="26">
        <v>0</v>
      </c>
      <c r="CQ122" s="26">
        <v>0</v>
      </c>
      <c r="CR122" s="26">
        <v>0</v>
      </c>
      <c r="CS122" s="26">
        <v>0</v>
      </c>
      <c r="CT122" s="26">
        <v>0</v>
      </c>
      <c r="CU122" s="26">
        <v>0</v>
      </c>
      <c r="CV122" s="26">
        <v>9999</v>
      </c>
      <c r="CW122" s="30">
        <v>9999</v>
      </c>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row>
    <row r="123" spans="1:131">
      <c r="A123" s="7" t="s">
        <v>1337</v>
      </c>
      <c r="B123" s="7" t="s">
        <v>1308</v>
      </c>
      <c r="C123" s="26">
        <v>15</v>
      </c>
      <c r="D123" s="26">
        <v>9.3563524639531614</v>
      </c>
      <c r="E123" s="26">
        <v>0</v>
      </c>
      <c r="F123" s="26">
        <v>3.9583333333333335</v>
      </c>
      <c r="G123" s="26">
        <v>0</v>
      </c>
      <c r="H123" s="26">
        <v>0</v>
      </c>
      <c r="I123" s="26" t="s">
        <v>1288</v>
      </c>
      <c r="J123" s="26"/>
      <c r="K123" s="26"/>
      <c r="L123" s="26">
        <v>10.003962157933968</v>
      </c>
      <c r="M123" s="26">
        <v>2.6608798092117926E-5</v>
      </c>
      <c r="N123" s="26">
        <v>2.6416747720033641E-5</v>
      </c>
      <c r="O123" s="26">
        <v>0</v>
      </c>
      <c r="P123" s="26">
        <v>0</v>
      </c>
      <c r="Q123" s="26">
        <v>0</v>
      </c>
      <c r="R123" s="26">
        <v>0.78934454407109844</v>
      </c>
      <c r="S123" s="26">
        <v>1.8240551827208842</v>
      </c>
      <c r="T123" s="26">
        <v>0</v>
      </c>
      <c r="U123" s="26">
        <v>2.647617742752244</v>
      </c>
      <c r="V123" s="26" t="s">
        <v>1516</v>
      </c>
      <c r="W123" s="26" t="s">
        <v>1516</v>
      </c>
      <c r="X123" s="26" t="s">
        <v>1516</v>
      </c>
      <c r="Y123" s="26" t="s">
        <v>1516</v>
      </c>
      <c r="Z123" s="26">
        <v>0</v>
      </c>
      <c r="AA123" s="26">
        <v>0</v>
      </c>
      <c r="AB123" s="26">
        <v>0</v>
      </c>
      <c r="AC123" s="26">
        <v>0</v>
      </c>
      <c r="AD123" s="26">
        <v>0</v>
      </c>
      <c r="AE123" s="26">
        <v>0</v>
      </c>
      <c r="AF123" s="26">
        <v>0</v>
      </c>
      <c r="AG123" s="26">
        <v>0</v>
      </c>
      <c r="AH123" s="26">
        <v>0.78934454407109844</v>
      </c>
      <c r="AI123" s="26">
        <v>1.8240551827208842</v>
      </c>
      <c r="AJ123" s="26">
        <v>0</v>
      </c>
      <c r="AK123" s="26">
        <v>2.647617742752244</v>
      </c>
      <c r="AL123" s="26">
        <v>5.2610174695442264</v>
      </c>
      <c r="AM123" s="26">
        <v>4.8117449815697988</v>
      </c>
      <c r="AN123" s="26">
        <v>9.40217849270014E-3</v>
      </c>
      <c r="AO123" s="26">
        <v>0</v>
      </c>
      <c r="AP123" s="26">
        <v>0</v>
      </c>
      <c r="AQ123" s="26">
        <v>4.8211471600624991</v>
      </c>
      <c r="AR123" s="26">
        <v>0.78934454407109844</v>
      </c>
      <c r="AS123" s="30">
        <v>6.107785499089033</v>
      </c>
      <c r="AT123" s="26">
        <v>4.8117449815697988</v>
      </c>
      <c r="AU123" s="26">
        <v>1.1129378897126081E-2</v>
      </c>
      <c r="AV123" s="26">
        <v>0</v>
      </c>
      <c r="AW123" s="26">
        <v>0</v>
      </c>
      <c r="AX123" s="26">
        <v>4.8228743604669253</v>
      </c>
      <c r="AY123" s="26">
        <v>1.8240551827208842</v>
      </c>
      <c r="AZ123" s="30">
        <v>2.6440397232241621</v>
      </c>
      <c r="BA123" s="26">
        <v>4.8117449815697988</v>
      </c>
      <c r="BB123" s="26">
        <v>2.0531557389826219E-2</v>
      </c>
      <c r="BC123" s="26">
        <v>0</v>
      </c>
      <c r="BD123" s="26">
        <v>0</v>
      </c>
      <c r="BE123" s="26">
        <v>4.8322765389596256</v>
      </c>
      <c r="BF123" s="26">
        <v>2.6133997267919824</v>
      </c>
      <c r="BG123" s="26">
        <v>19.071221508438821</v>
      </c>
      <c r="BH123" s="30">
        <v>1.8490384342740303</v>
      </c>
      <c r="BI123" s="26">
        <v>5.8058349530082562</v>
      </c>
      <c r="BJ123" s="26">
        <v>13.416401513890602</v>
      </c>
      <c r="BK123" s="26">
        <v>0</v>
      </c>
      <c r="BL123" s="26">
        <v>19.473918897058006</v>
      </c>
      <c r="BM123" s="26">
        <v>38.696155363956862</v>
      </c>
      <c r="BN123" s="26">
        <v>4.8117449815697988</v>
      </c>
      <c r="BO123" s="26">
        <v>0</v>
      </c>
      <c r="BP123" s="26">
        <v>2.0531557389826219E-2</v>
      </c>
      <c r="BQ123" s="26">
        <v>0</v>
      </c>
      <c r="BR123" s="26">
        <v>0</v>
      </c>
      <c r="BS123" s="26">
        <v>0</v>
      </c>
      <c r="BT123" s="26">
        <v>0</v>
      </c>
      <c r="BU123" s="26">
        <v>0</v>
      </c>
      <c r="BV123" s="26">
        <v>0</v>
      </c>
      <c r="BW123" s="26">
        <v>0</v>
      </c>
      <c r="BX123" s="26">
        <v>5.2610174695442264</v>
      </c>
      <c r="BY123" s="26"/>
      <c r="BZ123" s="26">
        <v>0</v>
      </c>
      <c r="CA123" s="26">
        <v>0</v>
      </c>
      <c r="CB123" s="26">
        <v>4.8322765389596256</v>
      </c>
      <c r="CC123" s="26">
        <v>5.2610174695442264</v>
      </c>
      <c r="CD123" s="742">
        <v>0.91850608117791643</v>
      </c>
      <c r="CE123" s="26">
        <v>38.545140405496831</v>
      </c>
      <c r="CF123" s="26">
        <v>9.5038925217870746E-2</v>
      </c>
      <c r="CG123" s="26">
        <v>0</v>
      </c>
      <c r="CH123" s="26">
        <v>9.5038925217870746E-2</v>
      </c>
      <c r="CI123" s="26">
        <v>4.7518820250186337E-3</v>
      </c>
      <c r="CJ123" s="26">
        <v>0</v>
      </c>
      <c r="CK123" s="26">
        <v>4.7518820250186337E-3</v>
      </c>
      <c r="CL123" s="26"/>
      <c r="CM123" s="26">
        <v>0</v>
      </c>
      <c r="CN123" s="26"/>
      <c r="CO123" s="26">
        <v>0</v>
      </c>
      <c r="CP123" s="26">
        <v>0</v>
      </c>
      <c r="CQ123" s="26">
        <v>0</v>
      </c>
      <c r="CR123" s="26">
        <v>0</v>
      </c>
      <c r="CS123" s="26">
        <v>0</v>
      </c>
      <c r="CT123" s="26">
        <v>0</v>
      </c>
      <c r="CU123" s="26">
        <v>0</v>
      </c>
      <c r="CV123" s="26">
        <v>9999</v>
      </c>
      <c r="CW123" s="30">
        <v>9999</v>
      </c>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row>
    <row r="124" spans="1:131">
      <c r="A124" s="7" t="s">
        <v>1338</v>
      </c>
      <c r="B124" s="7" t="s">
        <v>1310</v>
      </c>
      <c r="C124" s="26">
        <v>10</v>
      </c>
      <c r="D124" s="26">
        <v>9.3563524639531614</v>
      </c>
      <c r="E124" s="26">
        <v>0</v>
      </c>
      <c r="F124" s="26">
        <v>6.1749999999999998</v>
      </c>
      <c r="G124" s="26">
        <v>0</v>
      </c>
      <c r="H124" s="26">
        <v>0</v>
      </c>
      <c r="I124" s="26" t="s">
        <v>1288</v>
      </c>
      <c r="J124" s="26"/>
      <c r="K124" s="26"/>
      <c r="L124" s="26">
        <v>10.003962157933968</v>
      </c>
      <c r="M124" s="26">
        <v>2.6608798092117926E-5</v>
      </c>
      <c r="N124" s="26">
        <v>2.6416747720033641E-5</v>
      </c>
      <c r="O124" s="26">
        <v>0</v>
      </c>
      <c r="P124" s="26">
        <v>0</v>
      </c>
      <c r="Q124" s="26">
        <v>0</v>
      </c>
      <c r="R124" s="26">
        <v>1.2313774887509135</v>
      </c>
      <c r="S124" s="26">
        <v>2.8455260850445794</v>
      </c>
      <c r="T124" s="26">
        <v>0</v>
      </c>
      <c r="U124" s="26">
        <v>7.4011130741983902</v>
      </c>
      <c r="V124" s="26" t="s">
        <v>1516</v>
      </c>
      <c r="W124" s="26" t="s">
        <v>1516</v>
      </c>
      <c r="X124" s="26" t="s">
        <v>1516</v>
      </c>
      <c r="Y124" s="26" t="s">
        <v>1516</v>
      </c>
      <c r="Z124" s="26">
        <v>0</v>
      </c>
      <c r="AA124" s="26">
        <v>0</v>
      </c>
      <c r="AB124" s="26">
        <v>0</v>
      </c>
      <c r="AC124" s="26">
        <v>0</v>
      </c>
      <c r="AD124" s="26">
        <v>0</v>
      </c>
      <c r="AE124" s="26">
        <v>0</v>
      </c>
      <c r="AF124" s="26">
        <v>0</v>
      </c>
      <c r="AG124" s="26">
        <v>0</v>
      </c>
      <c r="AH124" s="26">
        <v>1.2313774887509135</v>
      </c>
      <c r="AI124" s="26">
        <v>2.8455260850445794</v>
      </c>
      <c r="AJ124" s="26">
        <v>0</v>
      </c>
      <c r="AK124" s="26">
        <v>7.4011130741983902</v>
      </c>
      <c r="AL124" s="26">
        <v>11.478016647993883</v>
      </c>
      <c r="AM124" s="26">
        <v>4.8117449815697988</v>
      </c>
      <c r="AN124" s="26">
        <v>9.40217849270014E-3</v>
      </c>
      <c r="AO124" s="26">
        <v>0</v>
      </c>
      <c r="AP124" s="26">
        <v>0</v>
      </c>
      <c r="AQ124" s="26">
        <v>4.8211471600624991</v>
      </c>
      <c r="AR124" s="26">
        <v>1.2313774887509135</v>
      </c>
      <c r="AS124" s="30">
        <v>3.9152471148006622</v>
      </c>
      <c r="AT124" s="26">
        <v>4.8117449815697988</v>
      </c>
      <c r="AU124" s="26">
        <v>1.1129378897126081E-2</v>
      </c>
      <c r="AV124" s="26">
        <v>0</v>
      </c>
      <c r="AW124" s="26">
        <v>0</v>
      </c>
      <c r="AX124" s="26">
        <v>4.8228743604669253</v>
      </c>
      <c r="AY124" s="26">
        <v>2.8455260850445794</v>
      </c>
      <c r="AZ124" s="30">
        <v>1.694897258477027</v>
      </c>
      <c r="BA124" s="26">
        <v>4.8117449815697988</v>
      </c>
      <c r="BB124" s="26">
        <v>2.0531557389826219E-2</v>
      </c>
      <c r="BC124" s="26">
        <v>0</v>
      </c>
      <c r="BD124" s="26">
        <v>0</v>
      </c>
      <c r="BE124" s="26">
        <v>4.8322765389596256</v>
      </c>
      <c r="BF124" s="26">
        <v>4.0769035737954926</v>
      </c>
      <c r="BG124" s="26">
        <v>29.835673929902182</v>
      </c>
      <c r="BH124" s="30">
        <v>1.1852810476115578</v>
      </c>
      <c r="BI124" s="26">
        <v>9.05710252669288</v>
      </c>
      <c r="BJ124" s="26">
        <v>20.929586361669337</v>
      </c>
      <c r="BK124" s="26">
        <v>0</v>
      </c>
      <c r="BL124" s="26">
        <v>54.437116592620683</v>
      </c>
      <c r="BM124" s="26">
        <v>84.423805480982907</v>
      </c>
      <c r="BN124" s="26">
        <v>4.8117449815697988</v>
      </c>
      <c r="BO124" s="26">
        <v>0</v>
      </c>
      <c r="BP124" s="26">
        <v>2.0531557389826219E-2</v>
      </c>
      <c r="BQ124" s="26">
        <v>0</v>
      </c>
      <c r="BR124" s="26">
        <v>0</v>
      </c>
      <c r="BS124" s="26">
        <v>0</v>
      </c>
      <c r="BT124" s="26">
        <v>0</v>
      </c>
      <c r="BU124" s="26">
        <v>0</v>
      </c>
      <c r="BV124" s="26">
        <v>0</v>
      </c>
      <c r="BW124" s="26">
        <v>0</v>
      </c>
      <c r="BX124" s="26">
        <v>11.478016647993883</v>
      </c>
      <c r="BY124" s="26"/>
      <c r="BZ124" s="26">
        <v>0</v>
      </c>
      <c r="CA124" s="26">
        <v>0</v>
      </c>
      <c r="CB124" s="26">
        <v>4.8322765389596256</v>
      </c>
      <c r="CC124" s="26">
        <v>11.478016647993883</v>
      </c>
      <c r="CD124" s="742">
        <v>0.4210027470037</v>
      </c>
      <c r="CE124" s="26">
        <v>84.272790522522868</v>
      </c>
      <c r="CF124" s="26">
        <v>9.5038925217870746E-2</v>
      </c>
      <c r="CG124" s="26">
        <v>0</v>
      </c>
      <c r="CH124" s="26">
        <v>9.5038925217870746E-2</v>
      </c>
      <c r="CI124" s="26">
        <v>4.7518820250186337E-3</v>
      </c>
      <c r="CJ124" s="26">
        <v>0</v>
      </c>
      <c r="CK124" s="26">
        <v>4.7518820250186337E-3</v>
      </c>
      <c r="CL124" s="26"/>
      <c r="CM124" s="26">
        <v>0</v>
      </c>
      <c r="CN124" s="26"/>
      <c r="CO124" s="26">
        <v>0</v>
      </c>
      <c r="CP124" s="26">
        <v>0</v>
      </c>
      <c r="CQ124" s="26">
        <v>0</v>
      </c>
      <c r="CR124" s="26">
        <v>0</v>
      </c>
      <c r="CS124" s="26">
        <v>0</v>
      </c>
      <c r="CT124" s="26">
        <v>0</v>
      </c>
      <c r="CU124" s="26">
        <v>0</v>
      </c>
      <c r="CV124" s="26">
        <v>9999</v>
      </c>
      <c r="CW124" s="30">
        <v>9999</v>
      </c>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row>
    <row r="125" spans="1:131">
      <c r="A125" s="7" t="s">
        <v>1339</v>
      </c>
      <c r="B125" s="7" t="s">
        <v>1312</v>
      </c>
      <c r="C125" s="26">
        <v>8</v>
      </c>
      <c r="D125" s="26">
        <v>15.570471268333081</v>
      </c>
      <c r="E125" s="26">
        <v>0</v>
      </c>
      <c r="F125" s="26">
        <v>2.0750000000000002</v>
      </c>
      <c r="G125" s="26">
        <v>0</v>
      </c>
      <c r="H125" s="26">
        <v>0</v>
      </c>
      <c r="I125" s="26" t="s">
        <v>1288</v>
      </c>
      <c r="J125" s="26"/>
      <c r="K125" s="26"/>
      <c r="L125" s="26">
        <v>16.648197676361288</v>
      </c>
      <c r="M125" s="26">
        <v>4.4281308103173689E-5</v>
      </c>
      <c r="N125" s="26">
        <v>4.3961705478953232E-5</v>
      </c>
      <c r="O125" s="26">
        <v>0</v>
      </c>
      <c r="P125" s="26">
        <v>0</v>
      </c>
      <c r="Q125" s="26">
        <v>0</v>
      </c>
      <c r="R125" s="26">
        <v>0.41378271889200746</v>
      </c>
      <c r="S125" s="26">
        <v>0.9561889273631583</v>
      </c>
      <c r="T125" s="26">
        <v>0</v>
      </c>
      <c r="U125" s="26">
        <v>3.3187411273735563</v>
      </c>
      <c r="V125" s="26" t="s">
        <v>1516</v>
      </c>
      <c r="W125" s="26" t="s">
        <v>1516</v>
      </c>
      <c r="X125" s="26" t="s">
        <v>1516</v>
      </c>
      <c r="Y125" s="26" t="s">
        <v>1516</v>
      </c>
      <c r="Z125" s="26">
        <v>0</v>
      </c>
      <c r="AA125" s="26">
        <v>0</v>
      </c>
      <c r="AB125" s="26">
        <v>0</v>
      </c>
      <c r="AC125" s="26">
        <v>0</v>
      </c>
      <c r="AD125" s="26">
        <v>0</v>
      </c>
      <c r="AE125" s="26">
        <v>0</v>
      </c>
      <c r="AF125" s="26">
        <v>0</v>
      </c>
      <c r="AG125" s="26">
        <v>0</v>
      </c>
      <c r="AH125" s="26">
        <v>0.41378271889200746</v>
      </c>
      <c r="AI125" s="26">
        <v>0.9561889273631583</v>
      </c>
      <c r="AJ125" s="26">
        <v>0</v>
      </c>
      <c r="AK125" s="26">
        <v>3.3187411273735563</v>
      </c>
      <c r="AL125" s="26">
        <v>4.6887127736287226</v>
      </c>
      <c r="AM125" s="26">
        <v>8.0075154580509835</v>
      </c>
      <c r="AN125" s="26">
        <v>1.5646733130709006E-2</v>
      </c>
      <c r="AO125" s="26">
        <v>0</v>
      </c>
      <c r="AP125" s="26">
        <v>0</v>
      </c>
      <c r="AQ125" s="26">
        <v>8.0231621911816919</v>
      </c>
      <c r="AR125" s="26">
        <v>0.41378271889200746</v>
      </c>
      <c r="AS125" s="30">
        <v>19.389795235203248</v>
      </c>
      <c r="AT125" s="26">
        <v>8.0075154580509835</v>
      </c>
      <c r="AU125" s="26">
        <v>1.8521071648350176E-2</v>
      </c>
      <c r="AV125" s="26">
        <v>0</v>
      </c>
      <c r="AW125" s="26">
        <v>0</v>
      </c>
      <c r="AX125" s="26">
        <v>8.0260365296993346</v>
      </c>
      <c r="AY125" s="26">
        <v>0.9561889273631583</v>
      </c>
      <c r="AZ125" s="30">
        <v>8.3937768991243136</v>
      </c>
      <c r="BA125" s="26">
        <v>8.0075154580509835</v>
      </c>
      <c r="BB125" s="26">
        <v>3.4167804779059181E-2</v>
      </c>
      <c r="BC125" s="26">
        <v>0</v>
      </c>
      <c r="BD125" s="26">
        <v>0</v>
      </c>
      <c r="BE125" s="26">
        <v>8.041683262830043</v>
      </c>
      <c r="BF125" s="26">
        <v>1.3699716462551659</v>
      </c>
      <c r="BG125" s="26">
        <v>5.9039895286131117</v>
      </c>
      <c r="BH125" s="30">
        <v>5.8699632834096107</v>
      </c>
      <c r="BI125" s="26">
        <v>1.8288380101976012</v>
      </c>
      <c r="BJ125" s="26">
        <v>4.22616647687554</v>
      </c>
      <c r="BK125" s="26">
        <v>0</v>
      </c>
      <c r="BL125" s="26">
        <v>14.668181252225887</v>
      </c>
      <c r="BM125" s="26">
        <v>20.723185739299034</v>
      </c>
      <c r="BN125" s="26">
        <v>8.0075154580509835</v>
      </c>
      <c r="BO125" s="26">
        <v>0</v>
      </c>
      <c r="BP125" s="26">
        <v>3.4167804779059181E-2</v>
      </c>
      <c r="BQ125" s="26">
        <v>0</v>
      </c>
      <c r="BR125" s="26">
        <v>0</v>
      </c>
      <c r="BS125" s="26">
        <v>0</v>
      </c>
      <c r="BT125" s="26">
        <v>0</v>
      </c>
      <c r="BU125" s="26">
        <v>0</v>
      </c>
      <c r="BV125" s="26">
        <v>0</v>
      </c>
      <c r="BW125" s="26">
        <v>0</v>
      </c>
      <c r="BX125" s="26">
        <v>4.6887127736287226</v>
      </c>
      <c r="BY125" s="26"/>
      <c r="BZ125" s="26">
        <v>0</v>
      </c>
      <c r="CA125" s="26">
        <v>0</v>
      </c>
      <c r="CB125" s="26">
        <v>8.041683262830043</v>
      </c>
      <c r="CC125" s="26">
        <v>4.6887127736287226</v>
      </c>
      <c r="CD125" s="30">
        <v>1.7151153527807943</v>
      </c>
      <c r="CE125" s="26">
        <v>20.572170780838999</v>
      </c>
      <c r="CF125" s="26">
        <v>0.15816001590141862</v>
      </c>
      <c r="CG125" s="26">
        <v>0</v>
      </c>
      <c r="CH125" s="26">
        <v>0.15816001590141862</v>
      </c>
      <c r="CI125" s="26">
        <v>7.9078938962716117E-3</v>
      </c>
      <c r="CJ125" s="26">
        <v>0</v>
      </c>
      <c r="CK125" s="26">
        <v>7.9078938962716117E-3</v>
      </c>
      <c r="CL125" s="26"/>
      <c r="CM125" s="26">
        <v>0</v>
      </c>
      <c r="CN125" s="26"/>
      <c r="CO125" s="26">
        <v>0</v>
      </c>
      <c r="CP125" s="26">
        <v>0</v>
      </c>
      <c r="CQ125" s="26">
        <v>0</v>
      </c>
      <c r="CR125" s="26">
        <v>0</v>
      </c>
      <c r="CS125" s="26">
        <v>0</v>
      </c>
      <c r="CT125" s="26">
        <v>0</v>
      </c>
      <c r="CU125" s="26">
        <v>0</v>
      </c>
      <c r="CV125" s="26">
        <v>9999</v>
      </c>
      <c r="CW125" s="30">
        <v>9999</v>
      </c>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row>
    <row r="126" spans="1:131">
      <c r="A126" s="7" t="s">
        <v>1340</v>
      </c>
      <c r="B126" s="7" t="s">
        <v>1314</v>
      </c>
      <c r="C126" s="26">
        <v>8</v>
      </c>
      <c r="D126" s="26">
        <v>3.8926178170832704</v>
      </c>
      <c r="E126" s="26">
        <v>0</v>
      </c>
      <c r="F126" s="26">
        <v>4.9800000000000004</v>
      </c>
      <c r="G126" s="26">
        <v>0</v>
      </c>
      <c r="H126" s="26">
        <v>0</v>
      </c>
      <c r="I126" s="26" t="s">
        <v>1288</v>
      </c>
      <c r="J126" s="26"/>
      <c r="K126" s="26"/>
      <c r="L126" s="26">
        <v>4.1620494190903221</v>
      </c>
      <c r="M126" s="26">
        <v>1.1070327025793422E-5</v>
      </c>
      <c r="N126" s="26">
        <v>1.0990426369738308E-5</v>
      </c>
      <c r="O126" s="26">
        <v>0</v>
      </c>
      <c r="P126" s="26">
        <v>0</v>
      </c>
      <c r="Q126" s="26">
        <v>0</v>
      </c>
      <c r="R126" s="26">
        <v>0.99307852534081786</v>
      </c>
      <c r="S126" s="26">
        <v>2.29485342567158</v>
      </c>
      <c r="T126" s="26">
        <v>0</v>
      </c>
      <c r="U126" s="26">
        <v>7.9649787056965353</v>
      </c>
      <c r="V126" s="26" t="s">
        <v>1516</v>
      </c>
      <c r="W126" s="26" t="s">
        <v>1516</v>
      </c>
      <c r="X126" s="26" t="s">
        <v>1516</v>
      </c>
      <c r="Y126" s="26" t="s">
        <v>1516</v>
      </c>
      <c r="Z126" s="26">
        <v>0</v>
      </c>
      <c r="AA126" s="26">
        <v>0</v>
      </c>
      <c r="AB126" s="26">
        <v>0</v>
      </c>
      <c r="AC126" s="26">
        <v>0</v>
      </c>
      <c r="AD126" s="26">
        <v>0</v>
      </c>
      <c r="AE126" s="26">
        <v>0</v>
      </c>
      <c r="AF126" s="26">
        <v>0</v>
      </c>
      <c r="AG126" s="26">
        <v>0</v>
      </c>
      <c r="AH126" s="26">
        <v>0.99307852534081786</v>
      </c>
      <c r="AI126" s="26">
        <v>2.29485342567158</v>
      </c>
      <c r="AJ126" s="26">
        <v>0</v>
      </c>
      <c r="AK126" s="26">
        <v>7.9649787056965353</v>
      </c>
      <c r="AL126" s="26">
        <v>11.252910656708934</v>
      </c>
      <c r="AM126" s="26">
        <v>2.0018788645127459</v>
      </c>
      <c r="AN126" s="26">
        <v>3.9116832826772514E-3</v>
      </c>
      <c r="AO126" s="26">
        <v>0</v>
      </c>
      <c r="AP126" s="26">
        <v>0</v>
      </c>
      <c r="AQ126" s="26">
        <v>2.005790547795423</v>
      </c>
      <c r="AR126" s="26">
        <v>0.99307852534081786</v>
      </c>
      <c r="AS126" s="30">
        <v>2.0197703370003386</v>
      </c>
      <c r="AT126" s="26">
        <v>2.0018788645127459</v>
      </c>
      <c r="AU126" s="26">
        <v>4.6302679120875439E-3</v>
      </c>
      <c r="AV126" s="26">
        <v>0</v>
      </c>
      <c r="AW126" s="26">
        <v>0</v>
      </c>
      <c r="AX126" s="26">
        <v>2.0065091324248336</v>
      </c>
      <c r="AY126" s="26">
        <v>2.29485342567158</v>
      </c>
      <c r="AZ126" s="742">
        <v>0.87435176032544937</v>
      </c>
      <c r="BA126" s="26">
        <v>2.0018788645127459</v>
      </c>
      <c r="BB126" s="26">
        <v>8.5419511947647953E-3</v>
      </c>
      <c r="BC126" s="26">
        <v>0</v>
      </c>
      <c r="BD126" s="26">
        <v>0</v>
      </c>
      <c r="BE126" s="26">
        <v>2.0104208157075107</v>
      </c>
      <c r="BF126" s="26">
        <v>3.2879319510123981</v>
      </c>
      <c r="BG126" s="26">
        <v>57.977028117442131</v>
      </c>
      <c r="BH126" s="742">
        <v>0.61145450868850115</v>
      </c>
      <c r="BI126" s="26">
        <v>17.556844897896973</v>
      </c>
      <c r="BJ126" s="26">
        <v>40.57119817800519</v>
      </c>
      <c r="BK126" s="26">
        <v>0</v>
      </c>
      <c r="BL126" s="26">
        <v>140.81454002136851</v>
      </c>
      <c r="BM126" s="26">
        <v>198.9425830972707</v>
      </c>
      <c r="BN126" s="26">
        <v>2.0018788645127459</v>
      </c>
      <c r="BO126" s="26">
        <v>0</v>
      </c>
      <c r="BP126" s="26">
        <v>8.5419511947647953E-3</v>
      </c>
      <c r="BQ126" s="26">
        <v>0</v>
      </c>
      <c r="BR126" s="26">
        <v>0</v>
      </c>
      <c r="BS126" s="26">
        <v>0</v>
      </c>
      <c r="BT126" s="26">
        <v>0</v>
      </c>
      <c r="BU126" s="26">
        <v>0</v>
      </c>
      <c r="BV126" s="26">
        <v>0</v>
      </c>
      <c r="BW126" s="26">
        <v>0</v>
      </c>
      <c r="BX126" s="26">
        <v>11.252910656708934</v>
      </c>
      <c r="BY126" s="26"/>
      <c r="BZ126" s="26">
        <v>0</v>
      </c>
      <c r="CA126" s="26">
        <v>0</v>
      </c>
      <c r="CB126" s="26">
        <v>2.0104208157075107</v>
      </c>
      <c r="CC126" s="26">
        <v>11.252910656708934</v>
      </c>
      <c r="CD126" s="742">
        <v>0.17865784924799941</v>
      </c>
      <c r="CE126" s="26">
        <v>198.79156813881065</v>
      </c>
      <c r="CF126" s="26">
        <v>3.9540003975354655E-2</v>
      </c>
      <c r="CG126" s="26">
        <v>0</v>
      </c>
      <c r="CH126" s="26">
        <v>3.9540003975354655E-2</v>
      </c>
      <c r="CI126" s="26">
        <v>1.9769734740679029E-3</v>
      </c>
      <c r="CJ126" s="26">
        <v>0</v>
      </c>
      <c r="CK126" s="26">
        <v>1.9769734740679029E-3</v>
      </c>
      <c r="CL126" s="26"/>
      <c r="CM126" s="26">
        <v>0</v>
      </c>
      <c r="CN126" s="26"/>
      <c r="CO126" s="26">
        <v>0</v>
      </c>
      <c r="CP126" s="26">
        <v>0</v>
      </c>
      <c r="CQ126" s="26">
        <v>0</v>
      </c>
      <c r="CR126" s="26">
        <v>0</v>
      </c>
      <c r="CS126" s="26">
        <v>0</v>
      </c>
      <c r="CT126" s="26">
        <v>0</v>
      </c>
      <c r="CU126" s="26">
        <v>0</v>
      </c>
      <c r="CV126" s="26">
        <v>9999</v>
      </c>
      <c r="CW126" s="30">
        <v>9999</v>
      </c>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row>
    <row r="127" spans="1:131">
      <c r="A127" s="7" t="s">
        <v>1341</v>
      </c>
      <c r="B127" s="7" t="s">
        <v>1290</v>
      </c>
      <c r="C127" s="26">
        <v>4</v>
      </c>
      <c r="D127" s="26">
        <v>9.6412896030408817</v>
      </c>
      <c r="E127" s="26">
        <v>0</v>
      </c>
      <c r="F127" s="26">
        <v>9.0666666666666664</v>
      </c>
      <c r="G127" s="26">
        <v>0</v>
      </c>
      <c r="H127" s="26">
        <v>0</v>
      </c>
      <c r="I127" s="26" t="s">
        <v>1288</v>
      </c>
      <c r="J127" s="26"/>
      <c r="K127" s="26"/>
      <c r="L127" s="26">
        <v>10.308621518278239</v>
      </c>
      <c r="M127" s="26">
        <v>2.7419138962894343E-5</v>
      </c>
      <c r="N127" s="26">
        <v>2.7221239913796954E-5</v>
      </c>
      <c r="O127" s="26">
        <v>0</v>
      </c>
      <c r="P127" s="26">
        <v>0</v>
      </c>
      <c r="Q127" s="26">
        <v>0</v>
      </c>
      <c r="R127" s="26">
        <v>1.8080144504196949</v>
      </c>
      <c r="S127" s="26">
        <v>4.178046397474362</v>
      </c>
      <c r="T127" s="26">
        <v>0</v>
      </c>
      <c r="U127" s="26">
        <v>32.784241780419279</v>
      </c>
      <c r="V127" s="26" t="s">
        <v>1516</v>
      </c>
      <c r="W127" s="26" t="s">
        <v>1516</v>
      </c>
      <c r="X127" s="26" t="s">
        <v>1516</v>
      </c>
      <c r="Y127" s="26" t="s">
        <v>1516</v>
      </c>
      <c r="Z127" s="26">
        <v>0</v>
      </c>
      <c r="AA127" s="26">
        <v>0</v>
      </c>
      <c r="AB127" s="26">
        <v>0</v>
      </c>
      <c r="AC127" s="26">
        <v>0</v>
      </c>
      <c r="AD127" s="26">
        <v>0</v>
      </c>
      <c r="AE127" s="26">
        <v>0</v>
      </c>
      <c r="AF127" s="26">
        <v>0</v>
      </c>
      <c r="AG127" s="26">
        <v>0</v>
      </c>
      <c r="AH127" s="26">
        <v>1.8080144504196949</v>
      </c>
      <c r="AI127" s="26">
        <v>4.178046397474362</v>
      </c>
      <c r="AJ127" s="26">
        <v>0</v>
      </c>
      <c r="AK127" s="26">
        <v>32.784241780419279</v>
      </c>
      <c r="AL127" s="26">
        <v>38.770302628313338</v>
      </c>
      <c r="AM127" s="26">
        <v>4.9582812364138018</v>
      </c>
      <c r="AN127" s="26">
        <v>9.6885112116975713E-3</v>
      </c>
      <c r="AO127" s="26">
        <v>0</v>
      </c>
      <c r="AP127" s="26">
        <v>0</v>
      </c>
      <c r="AQ127" s="26">
        <v>4.9679697476254994</v>
      </c>
      <c r="AR127" s="26">
        <v>1.8080144504196949</v>
      </c>
      <c r="AS127" s="30">
        <v>2.7477489167590909</v>
      </c>
      <c r="AT127" s="26">
        <v>4.9582812364138018</v>
      </c>
      <c r="AU127" s="26">
        <v>1.1468311552237978E-2</v>
      </c>
      <c r="AV127" s="26">
        <v>0</v>
      </c>
      <c r="AW127" s="26">
        <v>0</v>
      </c>
      <c r="AX127" s="26">
        <v>4.9697495479660398</v>
      </c>
      <c r="AY127" s="26">
        <v>4.178046397474362</v>
      </c>
      <c r="AZ127" s="30">
        <v>1.1894912299131633</v>
      </c>
      <c r="BA127" s="26">
        <v>4.9582812364138018</v>
      </c>
      <c r="BB127" s="26">
        <v>2.1156822763935549E-2</v>
      </c>
      <c r="BC127" s="26">
        <v>0</v>
      </c>
      <c r="BD127" s="26">
        <v>0</v>
      </c>
      <c r="BE127" s="26">
        <v>4.9794380591777374</v>
      </c>
      <c r="BF127" s="26">
        <v>5.9860608478940573</v>
      </c>
      <c r="BG127" s="26">
        <v>42.576796318802572</v>
      </c>
      <c r="BH127" s="742">
        <v>0.83183886460652035</v>
      </c>
      <c r="BI127" s="26">
        <v>12.90539842261617</v>
      </c>
      <c r="BJ127" s="26">
        <v>29.822412854646423</v>
      </c>
      <c r="BK127" s="26">
        <v>0</v>
      </c>
      <c r="BL127" s="26">
        <v>234.01013308354769</v>
      </c>
      <c r="BM127" s="26">
        <v>276.73794436081027</v>
      </c>
      <c r="BN127" s="26">
        <v>4.9582812364138018</v>
      </c>
      <c r="BO127" s="26">
        <v>0</v>
      </c>
      <c r="BP127" s="26">
        <v>2.1156822763935549E-2</v>
      </c>
      <c r="BQ127" s="26">
        <v>0</v>
      </c>
      <c r="BR127" s="26">
        <v>0</v>
      </c>
      <c r="BS127" s="26">
        <v>0</v>
      </c>
      <c r="BT127" s="26">
        <v>0</v>
      </c>
      <c r="BU127" s="26">
        <v>0</v>
      </c>
      <c r="BV127" s="26">
        <v>0</v>
      </c>
      <c r="BW127" s="26">
        <v>0</v>
      </c>
      <c r="BX127" s="26">
        <v>38.770302628313338</v>
      </c>
      <c r="BY127" s="26"/>
      <c r="BZ127" s="26">
        <v>0</v>
      </c>
      <c r="CA127" s="26">
        <v>0</v>
      </c>
      <c r="CB127" s="26">
        <v>4.9794380591777374</v>
      </c>
      <c r="CC127" s="26">
        <v>38.770302628313338</v>
      </c>
      <c r="CD127" s="742">
        <v>0.12843433560256332</v>
      </c>
      <c r="CE127" s="26">
        <v>276.58692940235022</v>
      </c>
      <c r="CF127" s="26">
        <v>9.7933228265760314E-2</v>
      </c>
      <c r="CG127" s="26">
        <v>0</v>
      </c>
      <c r="CH127" s="26">
        <v>9.7933228265760314E-2</v>
      </c>
      <c r="CI127" s="26">
        <v>4.8965952211821647E-3</v>
      </c>
      <c r="CJ127" s="26">
        <v>0</v>
      </c>
      <c r="CK127" s="26">
        <v>4.8965952211821647E-3</v>
      </c>
      <c r="CL127" s="26"/>
      <c r="CM127" s="26">
        <v>0</v>
      </c>
      <c r="CN127" s="26"/>
      <c r="CO127" s="26">
        <v>0</v>
      </c>
      <c r="CP127" s="26">
        <v>0</v>
      </c>
      <c r="CQ127" s="26">
        <v>0</v>
      </c>
      <c r="CR127" s="26">
        <v>0</v>
      </c>
      <c r="CS127" s="26">
        <v>0</v>
      </c>
      <c r="CT127" s="26">
        <v>0</v>
      </c>
      <c r="CU127" s="26">
        <v>0</v>
      </c>
      <c r="CV127" s="26">
        <v>9999</v>
      </c>
      <c r="CW127" s="30">
        <v>9999</v>
      </c>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row>
    <row r="128" spans="1:131">
      <c r="A128" s="7" t="s">
        <v>1342</v>
      </c>
      <c r="B128" s="7" t="s">
        <v>1292</v>
      </c>
      <c r="C128" s="26">
        <v>4</v>
      </c>
      <c r="D128" s="26">
        <v>9.6412896030408817</v>
      </c>
      <c r="E128" s="26">
        <v>0</v>
      </c>
      <c r="F128" s="26">
        <v>3.3866666666666667</v>
      </c>
      <c r="G128" s="26">
        <v>0</v>
      </c>
      <c r="H128" s="26">
        <v>0</v>
      </c>
      <c r="I128" s="26" t="s">
        <v>1288</v>
      </c>
      <c r="J128" s="26"/>
      <c r="K128" s="26"/>
      <c r="L128" s="26">
        <v>10.308621518278239</v>
      </c>
      <c r="M128" s="26">
        <v>2.7419138962894343E-5</v>
      </c>
      <c r="N128" s="26">
        <v>2.7221239913796954E-5</v>
      </c>
      <c r="O128" s="26">
        <v>0</v>
      </c>
      <c r="P128" s="26">
        <v>0</v>
      </c>
      <c r="Q128" s="26">
        <v>0</v>
      </c>
      <c r="R128" s="26">
        <v>0.67534657412735666</v>
      </c>
      <c r="S128" s="26">
        <v>1.560623213174247</v>
      </c>
      <c r="T128" s="26">
        <v>0</v>
      </c>
      <c r="U128" s="26">
        <v>12.245878547391911</v>
      </c>
      <c r="V128" s="26" t="s">
        <v>1516</v>
      </c>
      <c r="W128" s="26" t="s">
        <v>1516</v>
      </c>
      <c r="X128" s="26" t="s">
        <v>1516</v>
      </c>
      <c r="Y128" s="26" t="s">
        <v>1516</v>
      </c>
      <c r="Z128" s="26">
        <v>0</v>
      </c>
      <c r="AA128" s="26">
        <v>0</v>
      </c>
      <c r="AB128" s="26">
        <v>0</v>
      </c>
      <c r="AC128" s="26">
        <v>0</v>
      </c>
      <c r="AD128" s="26">
        <v>0</v>
      </c>
      <c r="AE128" s="26">
        <v>0</v>
      </c>
      <c r="AF128" s="26">
        <v>0</v>
      </c>
      <c r="AG128" s="26">
        <v>0</v>
      </c>
      <c r="AH128" s="26">
        <v>0.67534657412735666</v>
      </c>
      <c r="AI128" s="26">
        <v>1.560623213174247</v>
      </c>
      <c r="AJ128" s="26">
        <v>0</v>
      </c>
      <c r="AK128" s="26">
        <v>12.245878547391911</v>
      </c>
      <c r="AL128" s="26">
        <v>14.481848334693515</v>
      </c>
      <c r="AM128" s="26">
        <v>4.9582812364138018</v>
      </c>
      <c r="AN128" s="26">
        <v>9.6885112116975713E-3</v>
      </c>
      <c r="AO128" s="26">
        <v>0</v>
      </c>
      <c r="AP128" s="26">
        <v>0</v>
      </c>
      <c r="AQ128" s="26">
        <v>4.9679697476254994</v>
      </c>
      <c r="AR128" s="26">
        <v>0.67534657412735666</v>
      </c>
      <c r="AS128" s="30">
        <v>7.3561782023471718</v>
      </c>
      <c r="AT128" s="26">
        <v>4.9582812364138018</v>
      </c>
      <c r="AU128" s="26">
        <v>1.1468311552237978E-2</v>
      </c>
      <c r="AV128" s="26">
        <v>0</v>
      </c>
      <c r="AW128" s="26">
        <v>0</v>
      </c>
      <c r="AX128" s="26">
        <v>4.9697495479660398</v>
      </c>
      <c r="AY128" s="26">
        <v>1.560623213174247</v>
      </c>
      <c r="AZ128" s="30">
        <v>3.184464710003744</v>
      </c>
      <c r="BA128" s="26">
        <v>4.9582812364138018</v>
      </c>
      <c r="BB128" s="26">
        <v>2.1156822763935549E-2</v>
      </c>
      <c r="BC128" s="26">
        <v>0</v>
      </c>
      <c r="BD128" s="26">
        <v>0</v>
      </c>
      <c r="BE128" s="26">
        <v>4.9794380591777374</v>
      </c>
      <c r="BF128" s="26">
        <v>2.2359697873016038</v>
      </c>
      <c r="BG128" s="26">
        <v>15.809079253929234</v>
      </c>
      <c r="BH128" s="30">
        <v>2.2269701887103697</v>
      </c>
      <c r="BI128" s="26">
        <v>4.8205458813889814</v>
      </c>
      <c r="BJ128" s="26">
        <v>11.139548331000283</v>
      </c>
      <c r="BK128" s="26">
        <v>0</v>
      </c>
      <c r="BL128" s="26">
        <v>87.409667357678131</v>
      </c>
      <c r="BM128" s="26">
        <v>103.3697615700674</v>
      </c>
      <c r="BN128" s="26">
        <v>4.9582812364138018</v>
      </c>
      <c r="BO128" s="26">
        <v>0</v>
      </c>
      <c r="BP128" s="26">
        <v>2.1156822763935549E-2</v>
      </c>
      <c r="BQ128" s="26">
        <v>0</v>
      </c>
      <c r="BR128" s="26">
        <v>0</v>
      </c>
      <c r="BS128" s="26">
        <v>0</v>
      </c>
      <c r="BT128" s="26">
        <v>0</v>
      </c>
      <c r="BU128" s="26">
        <v>0</v>
      </c>
      <c r="BV128" s="26">
        <v>0</v>
      </c>
      <c r="BW128" s="26">
        <v>0</v>
      </c>
      <c r="BX128" s="26">
        <v>14.481848334693515</v>
      </c>
      <c r="BY128" s="26"/>
      <c r="BZ128" s="26">
        <v>0</v>
      </c>
      <c r="CA128" s="26">
        <v>0</v>
      </c>
      <c r="CB128" s="26">
        <v>4.9794380591777374</v>
      </c>
      <c r="CC128" s="26">
        <v>14.481848334693515</v>
      </c>
      <c r="CD128" s="742">
        <v>0.34383995358166547</v>
      </c>
      <c r="CE128" s="26">
        <v>103.21874661160737</v>
      </c>
      <c r="CF128" s="26">
        <v>9.7933228265760314E-2</v>
      </c>
      <c r="CG128" s="26">
        <v>0</v>
      </c>
      <c r="CH128" s="26">
        <v>9.7933228265760314E-2</v>
      </c>
      <c r="CI128" s="26">
        <v>4.8965952211821647E-3</v>
      </c>
      <c r="CJ128" s="26">
        <v>0</v>
      </c>
      <c r="CK128" s="26">
        <v>4.8965952211821647E-3</v>
      </c>
      <c r="CL128" s="26"/>
      <c r="CM128" s="26">
        <v>0</v>
      </c>
      <c r="CN128" s="26"/>
      <c r="CO128" s="26">
        <v>0</v>
      </c>
      <c r="CP128" s="26">
        <v>0</v>
      </c>
      <c r="CQ128" s="26">
        <v>0</v>
      </c>
      <c r="CR128" s="26">
        <v>0</v>
      </c>
      <c r="CS128" s="26">
        <v>0</v>
      </c>
      <c r="CT128" s="26">
        <v>0</v>
      </c>
      <c r="CU128" s="26">
        <v>0</v>
      </c>
      <c r="CV128" s="26">
        <v>9999</v>
      </c>
      <c r="CW128" s="30">
        <v>9999</v>
      </c>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row>
    <row r="129" spans="1:131">
      <c r="A129" s="7" t="s">
        <v>1343</v>
      </c>
      <c r="B129" s="7" t="s">
        <v>1294</v>
      </c>
      <c r="C129" s="26">
        <v>5</v>
      </c>
      <c r="D129" s="26">
        <v>8.4755857732807609</v>
      </c>
      <c r="E129" s="26">
        <v>0</v>
      </c>
      <c r="F129" s="26">
        <v>19.733333333333334</v>
      </c>
      <c r="G129" s="26">
        <v>0</v>
      </c>
      <c r="H129" s="26">
        <v>0</v>
      </c>
      <c r="I129" s="26" t="s">
        <v>1288</v>
      </c>
      <c r="J129" s="26"/>
      <c r="K129" s="26"/>
      <c r="L129" s="26">
        <v>9.0622322821728929</v>
      </c>
      <c r="M129" s="26">
        <v>2.4103960536173311E-5</v>
      </c>
      <c r="N129" s="26">
        <v>2.3929988958289522E-5</v>
      </c>
      <c r="O129" s="26">
        <v>0</v>
      </c>
      <c r="P129" s="26">
        <v>0</v>
      </c>
      <c r="Q129" s="26">
        <v>0</v>
      </c>
      <c r="R129" s="26">
        <v>3.9350902744428655</v>
      </c>
      <c r="S129" s="26">
        <v>9.0933951003853757</v>
      </c>
      <c r="T129" s="26">
        <v>0</v>
      </c>
      <c r="U129" s="26">
        <v>55.412445960270915</v>
      </c>
      <c r="V129" s="26" t="s">
        <v>1516</v>
      </c>
      <c r="W129" s="26" t="s">
        <v>1516</v>
      </c>
      <c r="X129" s="26" t="s">
        <v>1516</v>
      </c>
      <c r="Y129" s="26" t="s">
        <v>1516</v>
      </c>
      <c r="Z129" s="26">
        <v>0</v>
      </c>
      <c r="AA129" s="26">
        <v>0</v>
      </c>
      <c r="AB129" s="26">
        <v>0</v>
      </c>
      <c r="AC129" s="26">
        <v>0</v>
      </c>
      <c r="AD129" s="26">
        <v>0</v>
      </c>
      <c r="AE129" s="26">
        <v>0</v>
      </c>
      <c r="AF129" s="26">
        <v>0</v>
      </c>
      <c r="AG129" s="26">
        <v>0</v>
      </c>
      <c r="AH129" s="26">
        <v>3.9350902744428655</v>
      </c>
      <c r="AI129" s="26">
        <v>9.0933951003853757</v>
      </c>
      <c r="AJ129" s="26">
        <v>0</v>
      </c>
      <c r="AK129" s="26">
        <v>55.412445960270915</v>
      </c>
      <c r="AL129" s="26">
        <v>68.440931335099151</v>
      </c>
      <c r="AM129" s="26">
        <v>4.3587880498910803</v>
      </c>
      <c r="AN129" s="26">
        <v>8.5170979372132562E-3</v>
      </c>
      <c r="AO129" s="26">
        <v>0</v>
      </c>
      <c r="AP129" s="26">
        <v>0</v>
      </c>
      <c r="AQ129" s="26">
        <v>4.3673051478282936</v>
      </c>
      <c r="AR129" s="26">
        <v>3.9350902744428655</v>
      </c>
      <c r="AS129" s="30">
        <v>1.1098360757293229</v>
      </c>
      <c r="AT129" s="26">
        <v>4.3587880498910803</v>
      </c>
      <c r="AU129" s="26">
        <v>1.0081707140613464E-2</v>
      </c>
      <c r="AV129" s="26">
        <v>0</v>
      </c>
      <c r="AW129" s="26">
        <v>0</v>
      </c>
      <c r="AX129" s="26">
        <v>4.3688697570316934</v>
      </c>
      <c r="AY129" s="26">
        <v>9.0933951003853757</v>
      </c>
      <c r="AZ129" s="742">
        <v>0.48044429047700149</v>
      </c>
      <c r="BA129" s="26">
        <v>4.3587880498910803</v>
      </c>
      <c r="BB129" s="26">
        <v>1.859880507782672E-2</v>
      </c>
      <c r="BC129" s="26">
        <v>0</v>
      </c>
      <c r="BD129" s="26">
        <v>0</v>
      </c>
      <c r="BE129" s="26">
        <v>4.3773868549689068</v>
      </c>
      <c r="BF129" s="26">
        <v>13.028485374828241</v>
      </c>
      <c r="BG129" s="26">
        <v>105.63514546656739</v>
      </c>
      <c r="BH129" s="742">
        <v>0.33598585937136344</v>
      </c>
      <c r="BI129" s="26">
        <v>31.951380308830878</v>
      </c>
      <c r="BJ129" s="26">
        <v>73.834780116196541</v>
      </c>
      <c r="BK129" s="26">
        <v>0</v>
      </c>
      <c r="BL129" s="26">
        <v>449.92719638937007</v>
      </c>
      <c r="BM129" s="26">
        <v>555.71335681439746</v>
      </c>
      <c r="BN129" s="26">
        <v>4.3587880498910803</v>
      </c>
      <c r="BO129" s="26">
        <v>0</v>
      </c>
      <c r="BP129" s="26">
        <v>1.859880507782672E-2</v>
      </c>
      <c r="BQ129" s="26">
        <v>0</v>
      </c>
      <c r="BR129" s="26">
        <v>0</v>
      </c>
      <c r="BS129" s="26">
        <v>0</v>
      </c>
      <c r="BT129" s="26">
        <v>0</v>
      </c>
      <c r="BU129" s="26">
        <v>0</v>
      </c>
      <c r="BV129" s="26">
        <v>0</v>
      </c>
      <c r="BW129" s="26">
        <v>0</v>
      </c>
      <c r="BX129" s="26">
        <v>68.440931335099151</v>
      </c>
      <c r="BY129" s="26"/>
      <c r="BZ129" s="26">
        <v>0</v>
      </c>
      <c r="CA129" s="26">
        <v>0</v>
      </c>
      <c r="CB129" s="26">
        <v>4.3773868549689068</v>
      </c>
      <c r="CC129" s="26">
        <v>68.440931335099151</v>
      </c>
      <c r="CD129" s="742">
        <v>6.3958610287408721E-2</v>
      </c>
      <c r="CE129" s="26">
        <v>555.56234185593735</v>
      </c>
      <c r="CF129" s="26">
        <v>8.6092370460372866E-2</v>
      </c>
      <c r="CG129" s="26">
        <v>0</v>
      </c>
      <c r="CH129" s="26">
        <v>8.6092370460372866E-2</v>
      </c>
      <c r="CI129" s="26">
        <v>4.3045603340321247E-3</v>
      </c>
      <c r="CJ129" s="26">
        <v>0</v>
      </c>
      <c r="CK129" s="26">
        <v>4.3045603340321247E-3</v>
      </c>
      <c r="CL129" s="26"/>
      <c r="CM129" s="26">
        <v>0</v>
      </c>
      <c r="CN129" s="26"/>
      <c r="CO129" s="26">
        <v>0</v>
      </c>
      <c r="CP129" s="26">
        <v>0</v>
      </c>
      <c r="CQ129" s="26">
        <v>0</v>
      </c>
      <c r="CR129" s="26">
        <v>0</v>
      </c>
      <c r="CS129" s="26">
        <v>0</v>
      </c>
      <c r="CT129" s="26">
        <v>0</v>
      </c>
      <c r="CU129" s="26">
        <v>0</v>
      </c>
      <c r="CV129" s="26">
        <v>9999</v>
      </c>
      <c r="CW129" s="30">
        <v>9999</v>
      </c>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row>
    <row r="130" spans="1:131">
      <c r="A130" s="7" t="s">
        <v>1546</v>
      </c>
      <c r="B130" s="7" t="s">
        <v>1296</v>
      </c>
      <c r="C130" s="26">
        <v>5</v>
      </c>
      <c r="D130" s="26">
        <v>50.713990254719022</v>
      </c>
      <c r="E130" s="26">
        <v>0</v>
      </c>
      <c r="F130" s="26">
        <v>6.2666666666666666</v>
      </c>
      <c r="G130" s="26">
        <v>0</v>
      </c>
      <c r="H130" s="26">
        <v>0</v>
      </c>
      <c r="I130" s="26" t="s">
        <v>1288</v>
      </c>
      <c r="J130" s="26"/>
      <c r="K130" s="26"/>
      <c r="L130" s="26">
        <v>54.224211982249763</v>
      </c>
      <c r="M130" s="26">
        <v>1.4422696583229208E-4</v>
      </c>
      <c r="N130" s="26">
        <v>1.4318600027057123E-4</v>
      </c>
      <c r="O130" s="26">
        <v>0</v>
      </c>
      <c r="P130" s="26">
        <v>0</v>
      </c>
      <c r="Q130" s="26">
        <v>0</v>
      </c>
      <c r="R130" s="26">
        <v>1.2496570466136128</v>
      </c>
      <c r="S130" s="26">
        <v>2.8877673629602212</v>
      </c>
      <c r="T130" s="26">
        <v>0</v>
      </c>
      <c r="U130" s="26">
        <v>17.597195676572522</v>
      </c>
      <c r="V130" s="26" t="s">
        <v>1516</v>
      </c>
      <c r="W130" s="26" t="s">
        <v>1516</v>
      </c>
      <c r="X130" s="26" t="s">
        <v>1516</v>
      </c>
      <c r="Y130" s="26" t="s">
        <v>1516</v>
      </c>
      <c r="Z130" s="26">
        <v>0</v>
      </c>
      <c r="AA130" s="26">
        <v>0</v>
      </c>
      <c r="AB130" s="26">
        <v>0</v>
      </c>
      <c r="AC130" s="26">
        <v>0</v>
      </c>
      <c r="AD130" s="26">
        <v>0</v>
      </c>
      <c r="AE130" s="26">
        <v>0</v>
      </c>
      <c r="AF130" s="26">
        <v>0</v>
      </c>
      <c r="AG130" s="26">
        <v>0</v>
      </c>
      <c r="AH130" s="26">
        <v>1.2496570466136128</v>
      </c>
      <c r="AI130" s="26">
        <v>2.8877673629602212</v>
      </c>
      <c r="AJ130" s="26">
        <v>0</v>
      </c>
      <c r="AK130" s="26">
        <v>17.597195676572522</v>
      </c>
      <c r="AL130" s="26">
        <v>21.734620086146357</v>
      </c>
      <c r="AM130" s="26">
        <v>26.080974294593982</v>
      </c>
      <c r="AN130" s="26">
        <v>5.0962379868539166E-2</v>
      </c>
      <c r="AO130" s="26">
        <v>0</v>
      </c>
      <c r="AP130" s="26">
        <v>0</v>
      </c>
      <c r="AQ130" s="26">
        <v>26.131936674462523</v>
      </c>
      <c r="AR130" s="26">
        <v>1.2496570466136128</v>
      </c>
      <c r="AS130" s="30">
        <v>20.911286616817179</v>
      </c>
      <c r="AT130" s="26">
        <v>26.080974294593982</v>
      </c>
      <c r="AU130" s="26">
        <v>6.0324278622938522E-2</v>
      </c>
      <c r="AV130" s="26">
        <v>0</v>
      </c>
      <c r="AW130" s="26">
        <v>0</v>
      </c>
      <c r="AX130" s="26">
        <v>26.141298573216922</v>
      </c>
      <c r="AY130" s="26">
        <v>2.8877673629602212</v>
      </c>
      <c r="AZ130" s="30">
        <v>9.0524253818076748</v>
      </c>
      <c r="BA130" s="26">
        <v>26.080974294593982</v>
      </c>
      <c r="BB130" s="26">
        <v>0.11128665849147769</v>
      </c>
      <c r="BC130" s="26">
        <v>0</v>
      </c>
      <c r="BD130" s="26">
        <v>0</v>
      </c>
      <c r="BE130" s="26">
        <v>26.192260953085462</v>
      </c>
      <c r="BF130" s="26">
        <v>4.1374244095738337</v>
      </c>
      <c r="BG130" s="26">
        <v>5.4634314074640002</v>
      </c>
      <c r="BH130" s="30">
        <v>6.3305714764184264</v>
      </c>
      <c r="BI130" s="26">
        <v>1.6957729663353138</v>
      </c>
      <c r="BJ130" s="26">
        <v>3.9186733995887169</v>
      </c>
      <c r="BK130" s="26">
        <v>0</v>
      </c>
      <c r="BL130" s="26">
        <v>23.879230539697808</v>
      </c>
      <c r="BM130" s="26">
        <v>29.49367690562184</v>
      </c>
      <c r="BN130" s="26">
        <v>26.080974294593982</v>
      </c>
      <c r="BO130" s="26">
        <v>0</v>
      </c>
      <c r="BP130" s="26">
        <v>0.11128665849147769</v>
      </c>
      <c r="BQ130" s="26">
        <v>0</v>
      </c>
      <c r="BR130" s="26">
        <v>0</v>
      </c>
      <c r="BS130" s="26">
        <v>0</v>
      </c>
      <c r="BT130" s="26">
        <v>0</v>
      </c>
      <c r="BU130" s="26">
        <v>0</v>
      </c>
      <c r="BV130" s="26">
        <v>0</v>
      </c>
      <c r="BW130" s="26">
        <v>0</v>
      </c>
      <c r="BX130" s="26">
        <v>21.734620086146357</v>
      </c>
      <c r="BY130" s="26"/>
      <c r="BZ130" s="26">
        <v>0</v>
      </c>
      <c r="CA130" s="26">
        <v>0</v>
      </c>
      <c r="CB130" s="26">
        <v>26.192260953085462</v>
      </c>
      <c r="CC130" s="26">
        <v>21.734620086146357</v>
      </c>
      <c r="CD130" s="30">
        <v>1.2050940319762204</v>
      </c>
      <c r="CE130" s="26">
        <v>29.342661947161808</v>
      </c>
      <c r="CF130" s="26">
        <v>0.5151369773517106</v>
      </c>
      <c r="CG130" s="26">
        <v>0</v>
      </c>
      <c r="CH130" s="26">
        <v>0.5151369773517106</v>
      </c>
      <c r="CI130" s="26">
        <v>2.5756500691568634E-2</v>
      </c>
      <c r="CJ130" s="26">
        <v>0</v>
      </c>
      <c r="CK130" s="26">
        <v>2.5756500691568634E-2</v>
      </c>
      <c r="CL130" s="26"/>
      <c r="CM130" s="26">
        <v>0</v>
      </c>
      <c r="CN130" s="26"/>
      <c r="CO130" s="26">
        <v>0</v>
      </c>
      <c r="CP130" s="26">
        <v>0</v>
      </c>
      <c r="CQ130" s="26">
        <v>0</v>
      </c>
      <c r="CR130" s="26">
        <v>0</v>
      </c>
      <c r="CS130" s="26">
        <v>0</v>
      </c>
      <c r="CT130" s="26">
        <v>0</v>
      </c>
      <c r="CU130" s="26">
        <v>0</v>
      </c>
      <c r="CV130" s="26">
        <v>9999</v>
      </c>
      <c r="CW130" s="30">
        <v>9999</v>
      </c>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row>
    <row r="131" spans="1:131">
      <c r="A131" s="7" t="s">
        <v>1547</v>
      </c>
      <c r="B131" s="7" t="s">
        <v>1298</v>
      </c>
      <c r="C131" s="26">
        <v>5</v>
      </c>
      <c r="D131" s="26">
        <v>52.561455323830856</v>
      </c>
      <c r="E131" s="26">
        <v>0</v>
      </c>
      <c r="F131" s="26">
        <v>21.866666666666667</v>
      </c>
      <c r="G131" s="26">
        <v>0</v>
      </c>
      <c r="H131" s="26">
        <v>0</v>
      </c>
      <c r="I131" s="26" t="s">
        <v>1288</v>
      </c>
      <c r="J131" s="26"/>
      <c r="K131" s="26"/>
      <c r="L131" s="26">
        <v>56.199551272930009</v>
      </c>
      <c r="M131" s="26">
        <v>1.4948102452617197E-4</v>
      </c>
      <c r="N131" s="26">
        <v>1.4840213752494755E-4</v>
      </c>
      <c r="O131" s="26">
        <v>0</v>
      </c>
      <c r="P131" s="26">
        <v>0</v>
      </c>
      <c r="Q131" s="26">
        <v>0</v>
      </c>
      <c r="R131" s="26">
        <v>4.3605054392474996</v>
      </c>
      <c r="S131" s="26">
        <v>10.07646484096758</v>
      </c>
      <c r="T131" s="26">
        <v>0</v>
      </c>
      <c r="U131" s="26">
        <v>61.40298065867858</v>
      </c>
      <c r="V131" s="26" t="s">
        <v>1516</v>
      </c>
      <c r="W131" s="26" t="s">
        <v>1516</v>
      </c>
      <c r="X131" s="26" t="s">
        <v>1516</v>
      </c>
      <c r="Y131" s="26" t="s">
        <v>1516</v>
      </c>
      <c r="Z131" s="26">
        <v>0</v>
      </c>
      <c r="AA131" s="26">
        <v>0</v>
      </c>
      <c r="AB131" s="26">
        <v>0</v>
      </c>
      <c r="AC131" s="26">
        <v>0</v>
      </c>
      <c r="AD131" s="26">
        <v>0</v>
      </c>
      <c r="AE131" s="26">
        <v>0</v>
      </c>
      <c r="AF131" s="26">
        <v>0</v>
      </c>
      <c r="AG131" s="26">
        <v>0</v>
      </c>
      <c r="AH131" s="26">
        <v>4.3605054392474996</v>
      </c>
      <c r="AI131" s="26">
        <v>10.07646484096758</v>
      </c>
      <c r="AJ131" s="26">
        <v>0</v>
      </c>
      <c r="AK131" s="26">
        <v>61.40298065867858</v>
      </c>
      <c r="AL131" s="26">
        <v>75.839950938893651</v>
      </c>
      <c r="AM131" s="26">
        <v>27.031080739298062</v>
      </c>
      <c r="AN131" s="26">
        <v>5.2818893547960689E-2</v>
      </c>
      <c r="AO131" s="26">
        <v>0</v>
      </c>
      <c r="AP131" s="26">
        <v>0</v>
      </c>
      <c r="AQ131" s="26">
        <v>27.083899632846023</v>
      </c>
      <c r="AR131" s="26">
        <v>4.3605054392474996</v>
      </c>
      <c r="AS131" s="30">
        <v>6.2111835451625863</v>
      </c>
      <c r="AT131" s="26">
        <v>27.031080739298062</v>
      </c>
      <c r="AU131" s="26">
        <v>6.2521837856899187E-2</v>
      </c>
      <c r="AV131" s="26">
        <v>0</v>
      </c>
      <c r="AW131" s="26">
        <v>0</v>
      </c>
      <c r="AX131" s="26">
        <v>27.093602577154961</v>
      </c>
      <c r="AY131" s="26">
        <v>10.07646484096758</v>
      </c>
      <c r="AZ131" s="30">
        <v>2.6888003883069502</v>
      </c>
      <c r="BA131" s="26">
        <v>27.031080739298062</v>
      </c>
      <c r="BB131" s="26">
        <v>0.11534073140485987</v>
      </c>
      <c r="BC131" s="26">
        <v>0</v>
      </c>
      <c r="BD131" s="26">
        <v>0</v>
      </c>
      <c r="BE131" s="26">
        <v>27.146421470702922</v>
      </c>
      <c r="BF131" s="26">
        <v>14.436970280215078</v>
      </c>
      <c r="BG131" s="26">
        <v>18.751227472295895</v>
      </c>
      <c r="BH131" s="30">
        <v>1.880340607745471</v>
      </c>
      <c r="BI131" s="26">
        <v>5.7091847758557668</v>
      </c>
      <c r="BJ131" s="26">
        <v>13.193057654900159</v>
      </c>
      <c r="BK131" s="26">
        <v>0</v>
      </c>
      <c r="BL131" s="26">
        <v>80.394570595740561</v>
      </c>
      <c r="BM131" s="26">
        <v>99.296813026496494</v>
      </c>
      <c r="BN131" s="26">
        <v>27.031080739298062</v>
      </c>
      <c r="BO131" s="26">
        <v>0</v>
      </c>
      <c r="BP131" s="26">
        <v>0.11534073140485987</v>
      </c>
      <c r="BQ131" s="26">
        <v>0</v>
      </c>
      <c r="BR131" s="26">
        <v>0</v>
      </c>
      <c r="BS131" s="26">
        <v>0</v>
      </c>
      <c r="BT131" s="26">
        <v>0</v>
      </c>
      <c r="BU131" s="26">
        <v>0</v>
      </c>
      <c r="BV131" s="26">
        <v>0</v>
      </c>
      <c r="BW131" s="26">
        <v>0</v>
      </c>
      <c r="BX131" s="26">
        <v>75.839950938893651</v>
      </c>
      <c r="BY131" s="26"/>
      <c r="BZ131" s="26">
        <v>0</v>
      </c>
      <c r="CA131" s="26">
        <v>0</v>
      </c>
      <c r="CB131" s="26">
        <v>27.146421470702922</v>
      </c>
      <c r="CC131" s="26">
        <v>75.839950938893651</v>
      </c>
      <c r="CD131" s="742">
        <v>0.35794355263462058</v>
      </c>
      <c r="CE131" s="26">
        <v>99.145798068036456</v>
      </c>
      <c r="CF131" s="26">
        <v>0.53390295428795753</v>
      </c>
      <c r="CG131" s="26">
        <v>0</v>
      </c>
      <c r="CH131" s="26">
        <v>0.53390295428795753</v>
      </c>
      <c r="CI131" s="26">
        <v>2.6694786854641751E-2</v>
      </c>
      <c r="CJ131" s="26">
        <v>0</v>
      </c>
      <c r="CK131" s="26">
        <v>2.6694786854641751E-2</v>
      </c>
      <c r="CL131" s="26"/>
      <c r="CM131" s="26">
        <v>0</v>
      </c>
      <c r="CN131" s="26"/>
      <c r="CO131" s="26">
        <v>0</v>
      </c>
      <c r="CP131" s="26">
        <v>0</v>
      </c>
      <c r="CQ131" s="26">
        <v>0</v>
      </c>
      <c r="CR131" s="26">
        <v>0</v>
      </c>
      <c r="CS131" s="26">
        <v>0</v>
      </c>
      <c r="CT131" s="26">
        <v>0</v>
      </c>
      <c r="CU131" s="26">
        <v>0</v>
      </c>
      <c r="CV131" s="26">
        <v>9999</v>
      </c>
      <c r="CW131" s="30">
        <v>9999</v>
      </c>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row>
    <row r="132" spans="1:131">
      <c r="A132" s="7" t="s">
        <v>1548</v>
      </c>
      <c r="B132" s="7" t="s">
        <v>1300</v>
      </c>
      <c r="C132" s="26">
        <v>8</v>
      </c>
      <c r="D132" s="26">
        <v>25.233946624551866</v>
      </c>
      <c r="E132" s="26">
        <v>0</v>
      </c>
      <c r="F132" s="26">
        <v>28.8</v>
      </c>
      <c r="G132" s="26">
        <v>0</v>
      </c>
      <c r="H132" s="26">
        <v>0</v>
      </c>
      <c r="I132" s="26" t="s">
        <v>1288</v>
      </c>
      <c r="J132" s="26"/>
      <c r="K132" s="26"/>
      <c r="L132" s="26">
        <v>26.980540557862223</v>
      </c>
      <c r="M132" s="26">
        <v>7.176354176339872E-5</v>
      </c>
      <c r="N132" s="26">
        <v>7.1245584700849952E-5</v>
      </c>
      <c r="O132" s="26">
        <v>0</v>
      </c>
      <c r="P132" s="26">
        <v>0</v>
      </c>
      <c r="Q132" s="26">
        <v>0</v>
      </c>
      <c r="R132" s="26">
        <v>5.74310472486256</v>
      </c>
      <c r="S132" s="26">
        <v>13.271441497859739</v>
      </c>
      <c r="T132" s="26">
        <v>0</v>
      </c>
      <c r="U132" s="26">
        <v>46.062527454630569</v>
      </c>
      <c r="V132" s="26" t="s">
        <v>1516</v>
      </c>
      <c r="W132" s="26" t="s">
        <v>1516</v>
      </c>
      <c r="X132" s="26" t="s">
        <v>1516</v>
      </c>
      <c r="Y132" s="26" t="s">
        <v>1516</v>
      </c>
      <c r="Z132" s="26">
        <v>0</v>
      </c>
      <c r="AA132" s="26">
        <v>0</v>
      </c>
      <c r="AB132" s="26">
        <v>0</v>
      </c>
      <c r="AC132" s="26">
        <v>0</v>
      </c>
      <c r="AD132" s="26">
        <v>0</v>
      </c>
      <c r="AE132" s="26">
        <v>0</v>
      </c>
      <c r="AF132" s="26">
        <v>0</v>
      </c>
      <c r="AG132" s="26">
        <v>0</v>
      </c>
      <c r="AH132" s="26">
        <v>5.74310472486256</v>
      </c>
      <c r="AI132" s="26">
        <v>13.271441497859739</v>
      </c>
      <c r="AJ132" s="26">
        <v>0</v>
      </c>
      <c r="AK132" s="26">
        <v>46.062527454630569</v>
      </c>
      <c r="AL132" s="26">
        <v>65.077073677352871</v>
      </c>
      <c r="AM132" s="26">
        <v>12.977206288847581</v>
      </c>
      <c r="AN132" s="26">
        <v>2.5357538758117963E-2</v>
      </c>
      <c r="AO132" s="26">
        <v>0</v>
      </c>
      <c r="AP132" s="26">
        <v>0</v>
      </c>
      <c r="AQ132" s="26">
        <v>13.0025638276057</v>
      </c>
      <c r="AR132" s="26">
        <v>5.74310472486256</v>
      </c>
      <c r="AS132" s="30">
        <v>2.2640304244002563</v>
      </c>
      <c r="AT132" s="26">
        <v>12.977206288847581</v>
      </c>
      <c r="AU132" s="26">
        <v>3.0015773148400218E-2</v>
      </c>
      <c r="AV132" s="26">
        <v>0</v>
      </c>
      <c r="AW132" s="26">
        <v>0</v>
      </c>
      <c r="AX132" s="26">
        <v>13.007222061995982</v>
      </c>
      <c r="AY132" s="26">
        <v>13.271441497859739</v>
      </c>
      <c r="AZ132" s="742">
        <v>0.98009112756090844</v>
      </c>
      <c r="BA132" s="26">
        <v>12.977206288847581</v>
      </c>
      <c r="BB132" s="26">
        <v>5.5373311906518181E-2</v>
      </c>
      <c r="BC132" s="26">
        <v>0</v>
      </c>
      <c r="BD132" s="26">
        <v>0</v>
      </c>
      <c r="BE132" s="26">
        <v>13.032579600754101</v>
      </c>
      <c r="BF132" s="26">
        <v>19.014546222722299</v>
      </c>
      <c r="BG132" s="26">
        <v>51.705751579333274</v>
      </c>
      <c r="BH132" s="742">
        <v>0.68540050591269042</v>
      </c>
      <c r="BI132" s="26">
        <v>15.662684632642097</v>
      </c>
      <c r="BJ132" s="26">
        <v>36.194081905151201</v>
      </c>
      <c r="BK132" s="26">
        <v>0</v>
      </c>
      <c r="BL132" s="26">
        <v>125.62244212281232</v>
      </c>
      <c r="BM132" s="26">
        <v>177.47920866060562</v>
      </c>
      <c r="BN132" s="26">
        <v>12.977206288847581</v>
      </c>
      <c r="BO132" s="26">
        <v>0</v>
      </c>
      <c r="BP132" s="26">
        <v>5.5373311906518181E-2</v>
      </c>
      <c r="BQ132" s="26">
        <v>0</v>
      </c>
      <c r="BR132" s="26">
        <v>0</v>
      </c>
      <c r="BS132" s="26">
        <v>0</v>
      </c>
      <c r="BT132" s="26">
        <v>0</v>
      </c>
      <c r="BU132" s="26">
        <v>0</v>
      </c>
      <c r="BV132" s="26">
        <v>0</v>
      </c>
      <c r="BW132" s="26">
        <v>0</v>
      </c>
      <c r="BX132" s="26">
        <v>65.077073677352871</v>
      </c>
      <c r="BY132" s="26"/>
      <c r="BZ132" s="26">
        <v>0</v>
      </c>
      <c r="CA132" s="26">
        <v>0</v>
      </c>
      <c r="CB132" s="26">
        <v>13.032579600754101</v>
      </c>
      <c r="CC132" s="26">
        <v>65.077073677352871</v>
      </c>
      <c r="CD132" s="742">
        <v>0.20026376209490654</v>
      </c>
      <c r="CE132" s="26">
        <v>177.3281937021456</v>
      </c>
      <c r="CF132" s="26">
        <v>0.25631860016411295</v>
      </c>
      <c r="CG132" s="26">
        <v>0</v>
      </c>
      <c r="CH132" s="26">
        <v>0.25631860016411295</v>
      </c>
      <c r="CI132" s="26">
        <v>1.2815756764984559E-2</v>
      </c>
      <c r="CJ132" s="26">
        <v>0</v>
      </c>
      <c r="CK132" s="26">
        <v>1.2815756764984559E-2</v>
      </c>
      <c r="CL132" s="26"/>
      <c r="CM132" s="26">
        <v>0</v>
      </c>
      <c r="CN132" s="26"/>
      <c r="CO132" s="26">
        <v>0</v>
      </c>
      <c r="CP132" s="26">
        <v>0</v>
      </c>
      <c r="CQ132" s="26">
        <v>0</v>
      </c>
      <c r="CR132" s="26">
        <v>0</v>
      </c>
      <c r="CS132" s="26">
        <v>0</v>
      </c>
      <c r="CT132" s="26">
        <v>0</v>
      </c>
      <c r="CU132" s="26">
        <v>0</v>
      </c>
      <c r="CV132" s="26">
        <v>9999</v>
      </c>
      <c r="CW132" s="30">
        <v>9999</v>
      </c>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row>
    <row r="133" spans="1:131">
      <c r="A133" s="7" t="s">
        <v>1549</v>
      </c>
      <c r="B133" s="7" t="s">
        <v>1302</v>
      </c>
      <c r="C133" s="26">
        <v>10</v>
      </c>
      <c r="D133" s="26">
        <v>43.673214947725825</v>
      </c>
      <c r="E133" s="26">
        <v>0</v>
      </c>
      <c r="F133" s="26">
        <v>160</v>
      </c>
      <c r="G133" s="26">
        <v>0</v>
      </c>
      <c r="H133" s="26">
        <v>0</v>
      </c>
      <c r="I133" s="26" t="s">
        <v>1288</v>
      </c>
      <c r="J133" s="26"/>
      <c r="K133" s="26"/>
      <c r="L133" s="26">
        <v>46.696102069221105</v>
      </c>
      <c r="M133" s="26">
        <v>1.2420350377509255E-4</v>
      </c>
      <c r="N133" s="26">
        <v>1.2330705858310757E-4</v>
      </c>
      <c r="O133" s="26">
        <v>0</v>
      </c>
      <c r="P133" s="26">
        <v>0</v>
      </c>
      <c r="Q133" s="26">
        <v>0</v>
      </c>
      <c r="R133" s="26">
        <v>31.906137360347557</v>
      </c>
      <c r="S133" s="26">
        <v>73.730230543665215</v>
      </c>
      <c r="T133" s="26">
        <v>0</v>
      </c>
      <c r="U133" s="26">
        <v>191.76973147720528</v>
      </c>
      <c r="V133" s="26" t="s">
        <v>1516</v>
      </c>
      <c r="W133" s="26" t="s">
        <v>1516</v>
      </c>
      <c r="X133" s="26" t="s">
        <v>1516</v>
      </c>
      <c r="Y133" s="26" t="s">
        <v>1516</v>
      </c>
      <c r="Z133" s="26">
        <v>0</v>
      </c>
      <c r="AA133" s="26">
        <v>0</v>
      </c>
      <c r="AB133" s="26">
        <v>0</v>
      </c>
      <c r="AC133" s="26">
        <v>0</v>
      </c>
      <c r="AD133" s="26">
        <v>0</v>
      </c>
      <c r="AE133" s="26">
        <v>0</v>
      </c>
      <c r="AF133" s="26">
        <v>0</v>
      </c>
      <c r="AG133" s="26">
        <v>0</v>
      </c>
      <c r="AH133" s="26">
        <v>31.906137360347557</v>
      </c>
      <c r="AI133" s="26">
        <v>73.730230543665215</v>
      </c>
      <c r="AJ133" s="26">
        <v>0</v>
      </c>
      <c r="AK133" s="26">
        <v>191.76973147720528</v>
      </c>
      <c r="AL133" s="26">
        <v>297.40609938121804</v>
      </c>
      <c r="AM133" s="26">
        <v>22.460074442829466</v>
      </c>
      <c r="AN133" s="26">
        <v>4.3887119886790268E-2</v>
      </c>
      <c r="AO133" s="26">
        <v>0</v>
      </c>
      <c r="AP133" s="26">
        <v>0</v>
      </c>
      <c r="AQ133" s="26">
        <v>22.503961562716256</v>
      </c>
      <c r="AR133" s="26">
        <v>31.906137360347557</v>
      </c>
      <c r="AS133" s="742">
        <v>0.70531764182410317</v>
      </c>
      <c r="AT133" s="26">
        <v>22.460074442829466</v>
      </c>
      <c r="AU133" s="26">
        <v>5.1949278170256893E-2</v>
      </c>
      <c r="AV133" s="26">
        <v>0</v>
      </c>
      <c r="AW133" s="26">
        <v>0</v>
      </c>
      <c r="AX133" s="26">
        <v>22.512023720999721</v>
      </c>
      <c r="AY133" s="26">
        <v>73.730230543665215</v>
      </c>
      <c r="AZ133" s="742">
        <v>0.30532962605708169</v>
      </c>
      <c r="BA133" s="26">
        <v>22.460074442829466</v>
      </c>
      <c r="BB133" s="26">
        <v>9.5836398057047162E-2</v>
      </c>
      <c r="BC133" s="26">
        <v>0</v>
      </c>
      <c r="BD133" s="26">
        <v>0</v>
      </c>
      <c r="BE133" s="26">
        <v>22.555910840886511</v>
      </c>
      <c r="BF133" s="26">
        <v>105.63636790401277</v>
      </c>
      <c r="BG133" s="26">
        <v>166.30632311258259</v>
      </c>
      <c r="BH133" s="742">
        <v>0.21352410432534086</v>
      </c>
      <c r="BI133" s="26">
        <v>50.276347043268125</v>
      </c>
      <c r="BJ133" s="26">
        <v>116.18099102777447</v>
      </c>
      <c r="BK133" s="26">
        <v>0</v>
      </c>
      <c r="BL133" s="26">
        <v>302.18266358135196</v>
      </c>
      <c r="BM133" s="26">
        <v>468.64000165239452</v>
      </c>
      <c r="BN133" s="26">
        <v>22.460074442829466</v>
      </c>
      <c r="BO133" s="26">
        <v>0</v>
      </c>
      <c r="BP133" s="26">
        <v>9.5836398057047162E-2</v>
      </c>
      <c r="BQ133" s="26">
        <v>0</v>
      </c>
      <c r="BR133" s="26">
        <v>0</v>
      </c>
      <c r="BS133" s="26">
        <v>0</v>
      </c>
      <c r="BT133" s="26">
        <v>0</v>
      </c>
      <c r="BU133" s="26">
        <v>0</v>
      </c>
      <c r="BV133" s="26">
        <v>0</v>
      </c>
      <c r="BW133" s="26">
        <v>0</v>
      </c>
      <c r="BX133" s="26">
        <v>297.40609938121804</v>
      </c>
      <c r="BY133" s="26"/>
      <c r="BZ133" s="26">
        <v>0</v>
      </c>
      <c r="CA133" s="26">
        <v>0</v>
      </c>
      <c r="CB133" s="26">
        <v>22.555910840886511</v>
      </c>
      <c r="CC133" s="26">
        <v>297.40609938121804</v>
      </c>
      <c r="CD133" s="742">
        <v>7.5842125927532256E-2</v>
      </c>
      <c r="CE133" s="26">
        <v>468.48898669393458</v>
      </c>
      <c r="CF133" s="26">
        <v>0.44361896641153331</v>
      </c>
      <c r="CG133" s="26">
        <v>0</v>
      </c>
      <c r="CH133" s="26">
        <v>0.44361896641153331</v>
      </c>
      <c r="CI133" s="26">
        <v>2.2180648482880028E-2</v>
      </c>
      <c r="CJ133" s="26">
        <v>0</v>
      </c>
      <c r="CK133" s="26">
        <v>2.2180648482880028E-2</v>
      </c>
      <c r="CL133" s="26"/>
      <c r="CM133" s="26">
        <v>0</v>
      </c>
      <c r="CN133" s="26"/>
      <c r="CO133" s="26">
        <v>0</v>
      </c>
      <c r="CP133" s="26">
        <v>0</v>
      </c>
      <c r="CQ133" s="26">
        <v>0</v>
      </c>
      <c r="CR133" s="26">
        <v>0</v>
      </c>
      <c r="CS133" s="26">
        <v>0</v>
      </c>
      <c r="CT133" s="26">
        <v>0</v>
      </c>
      <c r="CU133" s="26">
        <v>0</v>
      </c>
      <c r="CV133" s="26">
        <v>9999</v>
      </c>
      <c r="CW133" s="30">
        <v>9999</v>
      </c>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row>
    <row r="134" spans="1:131">
      <c r="A134" s="7" t="s">
        <v>1550</v>
      </c>
      <c r="B134" s="7" t="s">
        <v>1304</v>
      </c>
      <c r="C134" s="26">
        <v>5</v>
      </c>
      <c r="D134" s="26">
        <v>12.575767880880889</v>
      </c>
      <c r="E134" s="26">
        <v>0</v>
      </c>
      <c r="F134" s="26">
        <v>5.2</v>
      </c>
      <c r="G134" s="26">
        <v>0</v>
      </c>
      <c r="H134" s="26">
        <v>0</v>
      </c>
      <c r="I134" s="26" t="s">
        <v>1288</v>
      </c>
      <c r="J134" s="26"/>
      <c r="K134" s="26"/>
      <c r="L134" s="26">
        <v>13.446212770626941</v>
      </c>
      <c r="M134" s="26">
        <v>3.5764585578076661E-5</v>
      </c>
      <c r="N134" s="26">
        <v>3.5506452837772829E-5</v>
      </c>
      <c r="O134" s="26">
        <v>0</v>
      </c>
      <c r="P134" s="26">
        <v>0</v>
      </c>
      <c r="Q134" s="26">
        <v>0</v>
      </c>
      <c r="R134" s="26">
        <v>1.0369494642112955</v>
      </c>
      <c r="S134" s="26">
        <v>2.3962324926691196</v>
      </c>
      <c r="T134" s="26">
        <v>0</v>
      </c>
      <c r="U134" s="26">
        <v>14.601928327368688</v>
      </c>
      <c r="V134" s="26" t="s">
        <v>1516</v>
      </c>
      <c r="W134" s="26" t="s">
        <v>1516</v>
      </c>
      <c r="X134" s="26" t="s">
        <v>1516</v>
      </c>
      <c r="Y134" s="26" t="s">
        <v>1516</v>
      </c>
      <c r="Z134" s="26">
        <v>0</v>
      </c>
      <c r="AA134" s="26">
        <v>0</v>
      </c>
      <c r="AB134" s="26">
        <v>0</v>
      </c>
      <c r="AC134" s="26">
        <v>0</v>
      </c>
      <c r="AD134" s="26">
        <v>0</v>
      </c>
      <c r="AE134" s="26">
        <v>0</v>
      </c>
      <c r="AF134" s="26">
        <v>0</v>
      </c>
      <c r="AG134" s="26">
        <v>0</v>
      </c>
      <c r="AH134" s="26">
        <v>1.0369494642112955</v>
      </c>
      <c r="AI134" s="26">
        <v>2.3962324926691196</v>
      </c>
      <c r="AJ134" s="26">
        <v>0</v>
      </c>
      <c r="AK134" s="26">
        <v>14.601928327368688</v>
      </c>
      <c r="AL134" s="26">
        <v>18.035110284249104</v>
      </c>
      <c r="AM134" s="26">
        <v>6.46741219116584</v>
      </c>
      <c r="AN134" s="26">
        <v>1.263736212956325E-2</v>
      </c>
      <c r="AO134" s="26">
        <v>0</v>
      </c>
      <c r="AP134" s="26">
        <v>0</v>
      </c>
      <c r="AQ134" s="26">
        <v>6.4800495532954034</v>
      </c>
      <c r="AR134" s="26">
        <v>1.0369494642112955</v>
      </c>
      <c r="AS134" s="30">
        <v>6.249146922723118</v>
      </c>
      <c r="AT134" s="26">
        <v>6.46741219116584</v>
      </c>
      <c r="AU134" s="26">
        <v>1.4958872723943639E-2</v>
      </c>
      <c r="AV134" s="26">
        <v>0</v>
      </c>
      <c r="AW134" s="26">
        <v>0</v>
      </c>
      <c r="AX134" s="26">
        <v>6.4823710638897838</v>
      </c>
      <c r="AY134" s="26">
        <v>2.3962324926691196</v>
      </c>
      <c r="AZ134" s="30">
        <v>2.7052346062919752</v>
      </c>
      <c r="BA134" s="26">
        <v>6.46741219116584</v>
      </c>
      <c r="BB134" s="26">
        <v>2.7596234853506887E-2</v>
      </c>
      <c r="BC134" s="26">
        <v>0</v>
      </c>
      <c r="BD134" s="26">
        <v>0</v>
      </c>
      <c r="BE134" s="26">
        <v>6.4950084260193472</v>
      </c>
      <c r="BF134" s="26">
        <v>3.4331819568804152</v>
      </c>
      <c r="BG134" s="26">
        <v>18.636396924220559</v>
      </c>
      <c r="BH134" s="30">
        <v>1.8918334383654638</v>
      </c>
      <c r="BI134" s="26">
        <v>5.6745016519207896</v>
      </c>
      <c r="BJ134" s="26">
        <v>13.1129102307598</v>
      </c>
      <c r="BK134" s="26">
        <v>0</v>
      </c>
      <c r="BL134" s="26">
        <v>79.90617602363578</v>
      </c>
      <c r="BM134" s="26">
        <v>98.693587906316381</v>
      </c>
      <c r="BN134" s="26">
        <v>6.46741219116584</v>
      </c>
      <c r="BO134" s="26">
        <v>0</v>
      </c>
      <c r="BP134" s="26">
        <v>2.7596234853506887E-2</v>
      </c>
      <c r="BQ134" s="26">
        <v>0</v>
      </c>
      <c r="BR134" s="26">
        <v>0</v>
      </c>
      <c r="BS134" s="26">
        <v>0</v>
      </c>
      <c r="BT134" s="26">
        <v>0</v>
      </c>
      <c r="BU134" s="26">
        <v>0</v>
      </c>
      <c r="BV134" s="26">
        <v>0</v>
      </c>
      <c r="BW134" s="26">
        <v>0</v>
      </c>
      <c r="BX134" s="26">
        <v>18.035110284249104</v>
      </c>
      <c r="BY134" s="26"/>
      <c r="BZ134" s="26">
        <v>0</v>
      </c>
      <c r="CA134" s="26">
        <v>0</v>
      </c>
      <c r="CB134" s="26">
        <v>6.4950084260193472</v>
      </c>
      <c r="CC134" s="26">
        <v>18.035110284249104</v>
      </c>
      <c r="CD134" s="742">
        <v>0.36013133957332871</v>
      </c>
      <c r="CE134" s="26">
        <v>98.542572947856343</v>
      </c>
      <c r="CF134" s="26">
        <v>0.12774074809526337</v>
      </c>
      <c r="CG134" s="26">
        <v>0</v>
      </c>
      <c r="CH134" s="26">
        <v>0.12774074809526337</v>
      </c>
      <c r="CI134" s="26">
        <v>6.3869510660477949E-3</v>
      </c>
      <c r="CJ134" s="26">
        <v>0</v>
      </c>
      <c r="CK134" s="26">
        <v>6.3869510660477949E-3</v>
      </c>
      <c r="CL134" s="26"/>
      <c r="CM134" s="26">
        <v>0</v>
      </c>
      <c r="CN134" s="26"/>
      <c r="CO134" s="26">
        <v>0</v>
      </c>
      <c r="CP134" s="26">
        <v>0</v>
      </c>
      <c r="CQ134" s="26">
        <v>0</v>
      </c>
      <c r="CR134" s="26">
        <v>0</v>
      </c>
      <c r="CS134" s="26">
        <v>0</v>
      </c>
      <c r="CT134" s="26">
        <v>0</v>
      </c>
      <c r="CU134" s="26">
        <v>0</v>
      </c>
      <c r="CV134" s="26">
        <v>9999</v>
      </c>
      <c r="CW134" s="30">
        <v>9999</v>
      </c>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row>
    <row r="135" spans="1:131">
      <c r="A135" s="7" t="s">
        <v>1551</v>
      </c>
      <c r="B135" s="7" t="s">
        <v>1306</v>
      </c>
      <c r="C135" s="26">
        <v>5</v>
      </c>
      <c r="D135" s="26">
        <v>20.850219658493057</v>
      </c>
      <c r="E135" s="26">
        <v>0</v>
      </c>
      <c r="F135" s="26">
        <v>24.253499999999999</v>
      </c>
      <c r="G135" s="26">
        <v>0</v>
      </c>
      <c r="H135" s="26">
        <v>0</v>
      </c>
      <c r="I135" s="26" t="s">
        <v>1288</v>
      </c>
      <c r="J135" s="26"/>
      <c r="K135" s="26"/>
      <c r="L135" s="26">
        <v>22.29338935784876</v>
      </c>
      <c r="M135" s="26">
        <v>5.9296535397378663E-5</v>
      </c>
      <c r="N135" s="26">
        <v>5.8868559596030883E-5</v>
      </c>
      <c r="O135" s="26">
        <v>0</v>
      </c>
      <c r="P135" s="26">
        <v>0</v>
      </c>
      <c r="Q135" s="26">
        <v>0</v>
      </c>
      <c r="R135" s="26">
        <v>4.836471890432434</v>
      </c>
      <c r="S135" s="26">
        <v>11.176350915567401</v>
      </c>
      <c r="T135" s="26">
        <v>0</v>
      </c>
      <c r="U135" s="26">
        <v>68.105359363045466</v>
      </c>
      <c r="V135" s="26" t="s">
        <v>1516</v>
      </c>
      <c r="W135" s="26" t="s">
        <v>1516</v>
      </c>
      <c r="X135" s="26" t="s">
        <v>1516</v>
      </c>
      <c r="Y135" s="26" t="s">
        <v>1516</v>
      </c>
      <c r="Z135" s="26">
        <v>0</v>
      </c>
      <c r="AA135" s="26">
        <v>0</v>
      </c>
      <c r="AB135" s="26">
        <v>0</v>
      </c>
      <c r="AC135" s="26">
        <v>0</v>
      </c>
      <c r="AD135" s="26">
        <v>0</v>
      </c>
      <c r="AE135" s="26">
        <v>0</v>
      </c>
      <c r="AF135" s="26">
        <v>0</v>
      </c>
      <c r="AG135" s="26">
        <v>0</v>
      </c>
      <c r="AH135" s="26">
        <v>4.836471890432434</v>
      </c>
      <c r="AI135" s="26">
        <v>11.176350915567401</v>
      </c>
      <c r="AJ135" s="26">
        <v>0</v>
      </c>
      <c r="AK135" s="26">
        <v>68.105359363045466</v>
      </c>
      <c r="AL135" s="26">
        <v>84.118182169045298</v>
      </c>
      <c r="AM135" s="26">
        <v>10.722761908863896</v>
      </c>
      <c r="AN135" s="26">
        <v>2.0952340946583905E-2</v>
      </c>
      <c r="AO135" s="26">
        <v>0</v>
      </c>
      <c r="AP135" s="26">
        <v>0</v>
      </c>
      <c r="AQ135" s="26">
        <v>10.743714249810481</v>
      </c>
      <c r="AR135" s="26">
        <v>4.836471890432434</v>
      </c>
      <c r="AS135" s="30">
        <v>2.2213949534295492</v>
      </c>
      <c r="AT135" s="26">
        <v>10.722761908863896</v>
      </c>
      <c r="AU135" s="26">
        <v>2.4801331027415399E-2</v>
      </c>
      <c r="AV135" s="26">
        <v>0</v>
      </c>
      <c r="AW135" s="26">
        <v>0</v>
      </c>
      <c r="AX135" s="26">
        <v>10.747563239891312</v>
      </c>
      <c r="AY135" s="26">
        <v>11.176350915567401</v>
      </c>
      <c r="AZ135" s="742">
        <v>0.96163437611118352</v>
      </c>
      <c r="BA135" s="26">
        <v>10.722761908863896</v>
      </c>
      <c r="BB135" s="26">
        <v>4.5753671973999308E-2</v>
      </c>
      <c r="BC135" s="26">
        <v>0</v>
      </c>
      <c r="BD135" s="26">
        <v>0</v>
      </c>
      <c r="BE135" s="26">
        <v>10.768515580837896</v>
      </c>
      <c r="BF135" s="26">
        <v>16.012822805999836</v>
      </c>
      <c r="BG135" s="26">
        <v>52.701044046772871</v>
      </c>
      <c r="BH135" s="742">
        <v>0.67249327063077513</v>
      </c>
      <c r="BI135" s="26">
        <v>15.963300214282526</v>
      </c>
      <c r="BJ135" s="26">
        <v>36.888758790950369</v>
      </c>
      <c r="BK135" s="26">
        <v>0</v>
      </c>
      <c r="BL135" s="26">
        <v>224.78912776575362</v>
      </c>
      <c r="BM135" s="26">
        <v>277.64118677098645</v>
      </c>
      <c r="BN135" s="26">
        <v>10.722761908863896</v>
      </c>
      <c r="BO135" s="26">
        <v>0</v>
      </c>
      <c r="BP135" s="26">
        <v>4.5753671973999308E-2</v>
      </c>
      <c r="BQ135" s="26">
        <v>0</v>
      </c>
      <c r="BR135" s="26">
        <v>0</v>
      </c>
      <c r="BS135" s="26">
        <v>0</v>
      </c>
      <c r="BT135" s="26">
        <v>0</v>
      </c>
      <c r="BU135" s="26">
        <v>0</v>
      </c>
      <c r="BV135" s="26">
        <v>0</v>
      </c>
      <c r="BW135" s="26">
        <v>0</v>
      </c>
      <c r="BX135" s="26">
        <v>84.118182169045298</v>
      </c>
      <c r="BY135" s="26"/>
      <c r="BZ135" s="26">
        <v>0</v>
      </c>
      <c r="CA135" s="26">
        <v>0</v>
      </c>
      <c r="CB135" s="26">
        <v>10.768515580837896</v>
      </c>
      <c r="CC135" s="26">
        <v>84.118182169045298</v>
      </c>
      <c r="CD135" s="742">
        <v>0.12801650372326528</v>
      </c>
      <c r="CE135" s="26">
        <v>277.49017181252646</v>
      </c>
      <c r="CF135" s="26">
        <v>0.21179006183596191</v>
      </c>
      <c r="CG135" s="26">
        <v>0</v>
      </c>
      <c r="CH135" s="26">
        <v>0.21179006183596191</v>
      </c>
      <c r="CI135" s="26">
        <v>1.0589359944978161E-2</v>
      </c>
      <c r="CJ135" s="26">
        <v>0</v>
      </c>
      <c r="CK135" s="26">
        <v>1.0589359944978161E-2</v>
      </c>
      <c r="CL135" s="26"/>
      <c r="CM135" s="26">
        <v>0</v>
      </c>
      <c r="CN135" s="26"/>
      <c r="CO135" s="26">
        <v>0</v>
      </c>
      <c r="CP135" s="26">
        <v>0</v>
      </c>
      <c r="CQ135" s="26">
        <v>0</v>
      </c>
      <c r="CR135" s="26">
        <v>0</v>
      </c>
      <c r="CS135" s="26">
        <v>0</v>
      </c>
      <c r="CT135" s="26">
        <v>0</v>
      </c>
      <c r="CU135" s="26">
        <v>0</v>
      </c>
      <c r="CV135" s="26">
        <v>9999</v>
      </c>
      <c r="CW135" s="30">
        <v>9999</v>
      </c>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row>
    <row r="136" spans="1:131">
      <c r="A136" s="7" t="s">
        <v>1552</v>
      </c>
      <c r="B136" s="7" t="s">
        <v>1308</v>
      </c>
      <c r="C136" s="26">
        <v>15</v>
      </c>
      <c r="D136" s="26">
        <v>1.591604244783726</v>
      </c>
      <c r="E136" s="26">
        <v>0</v>
      </c>
      <c r="F136" s="26">
        <v>3.9583333333333335</v>
      </c>
      <c r="G136" s="26">
        <v>0</v>
      </c>
      <c r="H136" s="26">
        <v>0</v>
      </c>
      <c r="I136" s="26" t="s">
        <v>1288</v>
      </c>
      <c r="J136" s="26"/>
      <c r="K136" s="26"/>
      <c r="L136" s="26">
        <v>1.7017687925467591</v>
      </c>
      <c r="M136" s="26">
        <v>4.5264087853862627E-6</v>
      </c>
      <c r="N136" s="26">
        <v>4.4937391966122966E-6</v>
      </c>
      <c r="O136" s="26">
        <v>0</v>
      </c>
      <c r="P136" s="26">
        <v>0</v>
      </c>
      <c r="Q136" s="26">
        <v>0</v>
      </c>
      <c r="R136" s="26">
        <v>0.78934454407109844</v>
      </c>
      <c r="S136" s="26">
        <v>1.8240551827208842</v>
      </c>
      <c r="T136" s="26">
        <v>0</v>
      </c>
      <c r="U136" s="26">
        <v>2.647617742752244</v>
      </c>
      <c r="V136" s="26" t="s">
        <v>1516</v>
      </c>
      <c r="W136" s="26" t="s">
        <v>1516</v>
      </c>
      <c r="X136" s="26" t="s">
        <v>1516</v>
      </c>
      <c r="Y136" s="26" t="s">
        <v>1516</v>
      </c>
      <c r="Z136" s="26">
        <v>0</v>
      </c>
      <c r="AA136" s="26">
        <v>0</v>
      </c>
      <c r="AB136" s="26">
        <v>0</v>
      </c>
      <c r="AC136" s="26">
        <v>0</v>
      </c>
      <c r="AD136" s="26">
        <v>0</v>
      </c>
      <c r="AE136" s="26">
        <v>0</v>
      </c>
      <c r="AF136" s="26">
        <v>0</v>
      </c>
      <c r="AG136" s="26">
        <v>0</v>
      </c>
      <c r="AH136" s="26">
        <v>0.78934454407109844</v>
      </c>
      <c r="AI136" s="26">
        <v>1.8240551827208842</v>
      </c>
      <c r="AJ136" s="26">
        <v>0</v>
      </c>
      <c r="AK136" s="26">
        <v>2.647617742752244</v>
      </c>
      <c r="AL136" s="26">
        <v>5.2610174695442264</v>
      </c>
      <c r="AM136" s="26">
        <v>0.81852343282154549</v>
      </c>
      <c r="AN136" s="26">
        <v>1.5993996866673307E-3</v>
      </c>
      <c r="AO136" s="26">
        <v>0</v>
      </c>
      <c r="AP136" s="26">
        <v>0</v>
      </c>
      <c r="AQ136" s="26">
        <v>0.82012283250821283</v>
      </c>
      <c r="AR136" s="26">
        <v>0.78934454407109844</v>
      </c>
      <c r="AS136" s="30">
        <v>1.0389922102690079</v>
      </c>
      <c r="AT136" s="26">
        <v>0.81852343282154549</v>
      </c>
      <c r="AU136" s="26">
        <v>1.8932128479251542E-3</v>
      </c>
      <c r="AV136" s="26">
        <v>0</v>
      </c>
      <c r="AW136" s="26">
        <v>0</v>
      </c>
      <c r="AX136" s="26">
        <v>0.8204166456694707</v>
      </c>
      <c r="AY136" s="26">
        <v>1.8240551827208842</v>
      </c>
      <c r="AZ136" s="742">
        <v>0.4497762202817141</v>
      </c>
      <c r="BA136" s="26">
        <v>0.81852343282154549</v>
      </c>
      <c r="BB136" s="26">
        <v>3.4926125345924848E-3</v>
      </c>
      <c r="BC136" s="26">
        <v>0</v>
      </c>
      <c r="BD136" s="26">
        <v>0</v>
      </c>
      <c r="BE136" s="26">
        <v>0.82201604535613804</v>
      </c>
      <c r="BF136" s="26">
        <v>2.6133997267919824</v>
      </c>
      <c r="BG136" s="26">
        <v>112.84819330527404</v>
      </c>
      <c r="BH136" s="742">
        <v>0.31453896506111012</v>
      </c>
      <c r="BI136" s="26">
        <v>34.129990759898746</v>
      </c>
      <c r="BJ136" s="26">
        <v>78.86921750383533</v>
      </c>
      <c r="BK136" s="26">
        <v>0</v>
      </c>
      <c r="BL136" s="26">
        <v>114.47874033539756</v>
      </c>
      <c r="BM136" s="26">
        <v>227.47794859913165</v>
      </c>
      <c r="BN136" s="26">
        <v>0.81852343282154549</v>
      </c>
      <c r="BO136" s="26">
        <v>0</v>
      </c>
      <c r="BP136" s="26">
        <v>3.4926125345924848E-3</v>
      </c>
      <c r="BQ136" s="26">
        <v>0</v>
      </c>
      <c r="BR136" s="26">
        <v>0</v>
      </c>
      <c r="BS136" s="26">
        <v>0</v>
      </c>
      <c r="BT136" s="26">
        <v>0</v>
      </c>
      <c r="BU136" s="26">
        <v>0</v>
      </c>
      <c r="BV136" s="26">
        <v>0</v>
      </c>
      <c r="BW136" s="26">
        <v>0</v>
      </c>
      <c r="BX136" s="26">
        <v>5.2610174695442264</v>
      </c>
      <c r="BY136" s="26"/>
      <c r="BZ136" s="26">
        <v>0</v>
      </c>
      <c r="CA136" s="26">
        <v>0</v>
      </c>
      <c r="CB136" s="26">
        <v>0.82201604535613804</v>
      </c>
      <c r="CC136" s="26">
        <v>5.2610174695442264</v>
      </c>
      <c r="CD136" s="742">
        <v>0.15624659110423961</v>
      </c>
      <c r="CE136" s="26">
        <v>227.3269336406716</v>
      </c>
      <c r="CF136" s="26">
        <v>1.6167022071818662E-2</v>
      </c>
      <c r="CG136" s="26">
        <v>0</v>
      </c>
      <c r="CH136" s="26">
        <v>1.6167022071818662E-2</v>
      </c>
      <c r="CI136" s="26">
        <v>8.083401764597104E-4</v>
      </c>
      <c r="CJ136" s="26">
        <v>0</v>
      </c>
      <c r="CK136" s="26">
        <v>8.083401764597104E-4</v>
      </c>
      <c r="CL136" s="26"/>
      <c r="CM136" s="26">
        <v>0</v>
      </c>
      <c r="CN136" s="26"/>
      <c r="CO136" s="26">
        <v>0</v>
      </c>
      <c r="CP136" s="26">
        <v>0</v>
      </c>
      <c r="CQ136" s="26">
        <v>0</v>
      </c>
      <c r="CR136" s="26">
        <v>0</v>
      </c>
      <c r="CS136" s="26">
        <v>0</v>
      </c>
      <c r="CT136" s="26">
        <v>0</v>
      </c>
      <c r="CU136" s="26">
        <v>0</v>
      </c>
      <c r="CV136" s="26">
        <v>9999</v>
      </c>
      <c r="CW136" s="30">
        <v>9999</v>
      </c>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row>
    <row r="137" spans="1:131">
      <c r="A137" s="7" t="s">
        <v>1553</v>
      </c>
      <c r="B137" s="7" t="s">
        <v>1310</v>
      </c>
      <c r="C137" s="26">
        <v>10</v>
      </c>
      <c r="D137" s="26">
        <v>1.591604244783726</v>
      </c>
      <c r="E137" s="26">
        <v>0</v>
      </c>
      <c r="F137" s="26">
        <v>6.1749999999999998</v>
      </c>
      <c r="G137" s="26">
        <v>0</v>
      </c>
      <c r="H137" s="26">
        <v>0</v>
      </c>
      <c r="I137" s="26" t="s">
        <v>1288</v>
      </c>
      <c r="J137" s="26"/>
      <c r="K137" s="26"/>
      <c r="L137" s="26">
        <v>1.7017687925467591</v>
      </c>
      <c r="M137" s="26">
        <v>4.5264087853862627E-6</v>
      </c>
      <c r="N137" s="26">
        <v>4.4937391966122966E-6</v>
      </c>
      <c r="O137" s="26">
        <v>0</v>
      </c>
      <c r="P137" s="26">
        <v>0</v>
      </c>
      <c r="Q137" s="26">
        <v>0</v>
      </c>
      <c r="R137" s="26">
        <v>1.2313774887509135</v>
      </c>
      <c r="S137" s="26">
        <v>2.8455260850445794</v>
      </c>
      <c r="T137" s="26">
        <v>0</v>
      </c>
      <c r="U137" s="26">
        <v>7.4011130741983902</v>
      </c>
      <c r="V137" s="26" t="s">
        <v>1516</v>
      </c>
      <c r="W137" s="26" t="s">
        <v>1516</v>
      </c>
      <c r="X137" s="26" t="s">
        <v>1516</v>
      </c>
      <c r="Y137" s="26" t="s">
        <v>1516</v>
      </c>
      <c r="Z137" s="26">
        <v>0</v>
      </c>
      <c r="AA137" s="26">
        <v>0</v>
      </c>
      <c r="AB137" s="26">
        <v>0</v>
      </c>
      <c r="AC137" s="26">
        <v>0</v>
      </c>
      <c r="AD137" s="26">
        <v>0</v>
      </c>
      <c r="AE137" s="26">
        <v>0</v>
      </c>
      <c r="AF137" s="26">
        <v>0</v>
      </c>
      <c r="AG137" s="26">
        <v>0</v>
      </c>
      <c r="AH137" s="26">
        <v>1.2313774887509135</v>
      </c>
      <c r="AI137" s="26">
        <v>2.8455260850445794</v>
      </c>
      <c r="AJ137" s="26">
        <v>0</v>
      </c>
      <c r="AK137" s="26">
        <v>7.4011130741983902</v>
      </c>
      <c r="AL137" s="26">
        <v>11.478016647993883</v>
      </c>
      <c r="AM137" s="26">
        <v>0.81852343282154549</v>
      </c>
      <c r="AN137" s="26">
        <v>1.5993996866673307E-3</v>
      </c>
      <c r="AO137" s="26">
        <v>0</v>
      </c>
      <c r="AP137" s="26">
        <v>0</v>
      </c>
      <c r="AQ137" s="26">
        <v>0.82012283250821283</v>
      </c>
      <c r="AR137" s="26">
        <v>1.2313774887509135</v>
      </c>
      <c r="AS137" s="742">
        <v>0.66602064760833846</v>
      </c>
      <c r="AT137" s="26">
        <v>0.81852343282154549</v>
      </c>
      <c r="AU137" s="26">
        <v>1.8932128479251542E-3</v>
      </c>
      <c r="AV137" s="26">
        <v>0</v>
      </c>
      <c r="AW137" s="26">
        <v>0</v>
      </c>
      <c r="AX137" s="26">
        <v>0.8204166456694707</v>
      </c>
      <c r="AY137" s="26">
        <v>2.8455260850445794</v>
      </c>
      <c r="AZ137" s="742">
        <v>0.28831808992417574</v>
      </c>
      <c r="BA137" s="26">
        <v>0.81852343282154549</v>
      </c>
      <c r="BB137" s="26">
        <v>3.4926125345924848E-3</v>
      </c>
      <c r="BC137" s="26">
        <v>0</v>
      </c>
      <c r="BD137" s="26">
        <v>0</v>
      </c>
      <c r="BE137" s="26">
        <v>0.82201604535613804</v>
      </c>
      <c r="BF137" s="26">
        <v>4.0769035737954926</v>
      </c>
      <c r="BG137" s="26">
        <v>176.12774993296512</v>
      </c>
      <c r="BH137" s="742">
        <v>0.2016275417058398</v>
      </c>
      <c r="BI137" s="26">
        <v>53.242785585442043</v>
      </c>
      <c r="BJ137" s="26">
        <v>123.03597930598312</v>
      </c>
      <c r="BK137" s="26">
        <v>0</v>
      </c>
      <c r="BL137" s="26">
        <v>320.01224653122387</v>
      </c>
      <c r="BM137" s="26">
        <v>496.29101142264904</v>
      </c>
      <c r="BN137" s="26">
        <v>0.81852343282154549</v>
      </c>
      <c r="BO137" s="26">
        <v>0</v>
      </c>
      <c r="BP137" s="26">
        <v>3.4926125345924848E-3</v>
      </c>
      <c r="BQ137" s="26">
        <v>0</v>
      </c>
      <c r="BR137" s="26">
        <v>0</v>
      </c>
      <c r="BS137" s="26">
        <v>0</v>
      </c>
      <c r="BT137" s="26">
        <v>0</v>
      </c>
      <c r="BU137" s="26">
        <v>0</v>
      </c>
      <c r="BV137" s="26">
        <v>0</v>
      </c>
      <c r="BW137" s="26">
        <v>0</v>
      </c>
      <c r="BX137" s="26">
        <v>11.478016647993883</v>
      </c>
      <c r="BY137" s="26"/>
      <c r="BZ137" s="26">
        <v>0</v>
      </c>
      <c r="CA137" s="26">
        <v>0</v>
      </c>
      <c r="CB137" s="26">
        <v>0.82201604535613804</v>
      </c>
      <c r="CC137" s="26">
        <v>11.478016647993883</v>
      </c>
      <c r="CD137" s="742">
        <v>7.1616558031374636E-2</v>
      </c>
      <c r="CE137" s="26">
        <v>496.13999646418898</v>
      </c>
      <c r="CF137" s="26">
        <v>1.6167022071818662E-2</v>
      </c>
      <c r="CG137" s="26">
        <v>0</v>
      </c>
      <c r="CH137" s="26">
        <v>1.6167022071818662E-2</v>
      </c>
      <c r="CI137" s="26">
        <v>8.083401764597104E-4</v>
      </c>
      <c r="CJ137" s="26">
        <v>0</v>
      </c>
      <c r="CK137" s="26">
        <v>8.083401764597104E-4</v>
      </c>
      <c r="CL137" s="26"/>
      <c r="CM137" s="26">
        <v>0</v>
      </c>
      <c r="CN137" s="26"/>
      <c r="CO137" s="26">
        <v>0</v>
      </c>
      <c r="CP137" s="26">
        <v>0</v>
      </c>
      <c r="CQ137" s="26">
        <v>0</v>
      </c>
      <c r="CR137" s="26">
        <v>0</v>
      </c>
      <c r="CS137" s="26">
        <v>0</v>
      </c>
      <c r="CT137" s="26">
        <v>0</v>
      </c>
      <c r="CU137" s="26">
        <v>0</v>
      </c>
      <c r="CV137" s="26">
        <v>9999</v>
      </c>
      <c r="CW137" s="30">
        <v>9999</v>
      </c>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row>
    <row r="138" spans="1:131">
      <c r="A138" s="7" t="s">
        <v>1554</v>
      </c>
      <c r="B138" s="7" t="s">
        <v>1312</v>
      </c>
      <c r="C138" s="26">
        <v>8</v>
      </c>
      <c r="D138" s="26">
        <v>2.6486847582365765</v>
      </c>
      <c r="E138" s="26">
        <v>0</v>
      </c>
      <c r="F138" s="26">
        <v>2.0750000000000002</v>
      </c>
      <c r="G138" s="26">
        <v>0</v>
      </c>
      <c r="H138" s="26">
        <v>0</v>
      </c>
      <c r="I138" s="26" t="s">
        <v>1288</v>
      </c>
      <c r="J138" s="26"/>
      <c r="K138" s="26"/>
      <c r="L138" s="26">
        <v>2.8320162362181653</v>
      </c>
      <c r="M138" s="26">
        <v>7.5326702593896704E-6</v>
      </c>
      <c r="N138" s="26">
        <v>7.4783028234349995E-6</v>
      </c>
      <c r="O138" s="26">
        <v>0</v>
      </c>
      <c r="P138" s="26">
        <v>0</v>
      </c>
      <c r="Q138" s="26">
        <v>0</v>
      </c>
      <c r="R138" s="26">
        <v>0.41378271889200746</v>
      </c>
      <c r="S138" s="26">
        <v>0.9561889273631583</v>
      </c>
      <c r="T138" s="26">
        <v>0</v>
      </c>
      <c r="U138" s="26">
        <v>3.3187411273735563</v>
      </c>
      <c r="V138" s="26" t="s">
        <v>1516</v>
      </c>
      <c r="W138" s="26" t="s">
        <v>1516</v>
      </c>
      <c r="X138" s="26" t="s">
        <v>1516</v>
      </c>
      <c r="Y138" s="26" t="s">
        <v>1516</v>
      </c>
      <c r="Z138" s="26">
        <v>0</v>
      </c>
      <c r="AA138" s="26">
        <v>0</v>
      </c>
      <c r="AB138" s="26">
        <v>0</v>
      </c>
      <c r="AC138" s="26">
        <v>0</v>
      </c>
      <c r="AD138" s="26">
        <v>0</v>
      </c>
      <c r="AE138" s="26">
        <v>0</v>
      </c>
      <c r="AF138" s="26">
        <v>0</v>
      </c>
      <c r="AG138" s="26">
        <v>0</v>
      </c>
      <c r="AH138" s="26">
        <v>0.41378271889200746</v>
      </c>
      <c r="AI138" s="26">
        <v>0.9561889273631583</v>
      </c>
      <c r="AJ138" s="26">
        <v>0</v>
      </c>
      <c r="AK138" s="26">
        <v>3.3187411273735563</v>
      </c>
      <c r="AL138" s="26">
        <v>4.6887127736287226</v>
      </c>
      <c r="AM138" s="26">
        <v>1.362154284194254</v>
      </c>
      <c r="AN138" s="26">
        <v>2.661657623927588E-3</v>
      </c>
      <c r="AO138" s="26">
        <v>0</v>
      </c>
      <c r="AP138" s="26">
        <v>0</v>
      </c>
      <c r="AQ138" s="26">
        <v>1.3648159418181816</v>
      </c>
      <c r="AR138" s="26">
        <v>0.41378271889200746</v>
      </c>
      <c r="AS138" s="30">
        <v>3.2983879691079676</v>
      </c>
      <c r="AT138" s="26">
        <v>1.362154284194254</v>
      </c>
      <c r="AU138" s="26">
        <v>3.1506098521862222E-3</v>
      </c>
      <c r="AV138" s="26">
        <v>0</v>
      </c>
      <c r="AW138" s="26">
        <v>0</v>
      </c>
      <c r="AX138" s="26">
        <v>1.3653048940464403</v>
      </c>
      <c r="AY138" s="26">
        <v>0.9561889273631583</v>
      </c>
      <c r="AZ138" s="30">
        <v>1.4278610167673493</v>
      </c>
      <c r="BA138" s="26">
        <v>1.362154284194254</v>
      </c>
      <c r="BB138" s="26">
        <v>5.8122674761138101E-3</v>
      </c>
      <c r="BC138" s="26">
        <v>0</v>
      </c>
      <c r="BD138" s="26">
        <v>0</v>
      </c>
      <c r="BE138" s="26">
        <v>1.3679665516703678</v>
      </c>
      <c r="BF138" s="26">
        <v>1.3699716462551659</v>
      </c>
      <c r="BG138" s="26">
        <v>35.443735644616211</v>
      </c>
      <c r="BH138" s="742">
        <v>0.99853639701939889</v>
      </c>
      <c r="BI138" s="26">
        <v>10.750947089368106</v>
      </c>
      <c r="BJ138" s="26">
        <v>24.843803513708131</v>
      </c>
      <c r="BK138" s="26">
        <v>0</v>
      </c>
      <c r="BL138" s="26">
        <v>86.227888779992597</v>
      </c>
      <c r="BM138" s="26">
        <v>121.82263938306886</v>
      </c>
      <c r="BN138" s="26">
        <v>1.362154284194254</v>
      </c>
      <c r="BO138" s="26">
        <v>0</v>
      </c>
      <c r="BP138" s="26">
        <v>5.8122674761138101E-3</v>
      </c>
      <c r="BQ138" s="26">
        <v>0</v>
      </c>
      <c r="BR138" s="26">
        <v>0</v>
      </c>
      <c r="BS138" s="26">
        <v>0</v>
      </c>
      <c r="BT138" s="26">
        <v>0</v>
      </c>
      <c r="BU138" s="26">
        <v>0</v>
      </c>
      <c r="BV138" s="26">
        <v>0</v>
      </c>
      <c r="BW138" s="26">
        <v>0</v>
      </c>
      <c r="BX138" s="26">
        <v>4.6887127736287226</v>
      </c>
      <c r="BY138" s="26"/>
      <c r="BZ138" s="26">
        <v>0</v>
      </c>
      <c r="CA138" s="26">
        <v>0</v>
      </c>
      <c r="CB138" s="26">
        <v>1.3679665516703678</v>
      </c>
      <c r="CC138" s="26">
        <v>4.6887127736287226</v>
      </c>
      <c r="CD138" s="742">
        <v>0.29175737941645363</v>
      </c>
      <c r="CE138" s="26">
        <v>121.67162442460882</v>
      </c>
      <c r="CF138" s="26">
        <v>2.6904517934054156E-2</v>
      </c>
      <c r="CG138" s="26">
        <v>0</v>
      </c>
      <c r="CH138" s="26">
        <v>2.6904517934054156E-2</v>
      </c>
      <c r="CI138" s="26">
        <v>1.3452077122036287E-3</v>
      </c>
      <c r="CJ138" s="26">
        <v>0</v>
      </c>
      <c r="CK138" s="26">
        <v>1.3452077122036287E-3</v>
      </c>
      <c r="CL138" s="26"/>
      <c r="CM138" s="26">
        <v>0</v>
      </c>
      <c r="CN138" s="26"/>
      <c r="CO138" s="26">
        <v>0</v>
      </c>
      <c r="CP138" s="26">
        <v>0</v>
      </c>
      <c r="CQ138" s="26">
        <v>0</v>
      </c>
      <c r="CR138" s="26">
        <v>0</v>
      </c>
      <c r="CS138" s="26">
        <v>0</v>
      </c>
      <c r="CT138" s="26">
        <v>0</v>
      </c>
      <c r="CU138" s="26">
        <v>0</v>
      </c>
      <c r="CV138" s="26">
        <v>9999</v>
      </c>
      <c r="CW138" s="30">
        <v>9999</v>
      </c>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row>
    <row r="139" spans="1:131">
      <c r="A139" s="7" t="s">
        <v>1555</v>
      </c>
      <c r="B139" s="7" t="s">
        <v>1314</v>
      </c>
      <c r="C139" s="26">
        <v>8</v>
      </c>
      <c r="D139" s="26">
        <v>0.66217118955914411</v>
      </c>
      <c r="E139" s="26">
        <v>0</v>
      </c>
      <c r="F139" s="26">
        <v>4.9800000000000004</v>
      </c>
      <c r="G139" s="26">
        <v>0</v>
      </c>
      <c r="H139" s="26">
        <v>0</v>
      </c>
      <c r="I139" s="26" t="s">
        <v>1288</v>
      </c>
      <c r="J139" s="26"/>
      <c r="K139" s="26"/>
      <c r="L139" s="26">
        <v>0.70800405905454133</v>
      </c>
      <c r="M139" s="26">
        <v>1.8831675648474176E-6</v>
      </c>
      <c r="N139" s="26">
        <v>1.8695757058587499E-6</v>
      </c>
      <c r="O139" s="26">
        <v>0</v>
      </c>
      <c r="P139" s="26">
        <v>0</v>
      </c>
      <c r="Q139" s="26">
        <v>0</v>
      </c>
      <c r="R139" s="26">
        <v>0.99307852534081786</v>
      </c>
      <c r="S139" s="26">
        <v>2.29485342567158</v>
      </c>
      <c r="T139" s="26">
        <v>0</v>
      </c>
      <c r="U139" s="26">
        <v>7.9649787056965353</v>
      </c>
      <c r="V139" s="26" t="s">
        <v>1516</v>
      </c>
      <c r="W139" s="26" t="s">
        <v>1516</v>
      </c>
      <c r="X139" s="26" t="s">
        <v>1516</v>
      </c>
      <c r="Y139" s="26" t="s">
        <v>1516</v>
      </c>
      <c r="Z139" s="26">
        <v>0</v>
      </c>
      <c r="AA139" s="26">
        <v>0</v>
      </c>
      <c r="AB139" s="26">
        <v>0</v>
      </c>
      <c r="AC139" s="26">
        <v>0</v>
      </c>
      <c r="AD139" s="26">
        <v>0</v>
      </c>
      <c r="AE139" s="26">
        <v>0</v>
      </c>
      <c r="AF139" s="26">
        <v>0</v>
      </c>
      <c r="AG139" s="26">
        <v>0</v>
      </c>
      <c r="AH139" s="26">
        <v>0.99307852534081786</v>
      </c>
      <c r="AI139" s="26">
        <v>2.29485342567158</v>
      </c>
      <c r="AJ139" s="26">
        <v>0</v>
      </c>
      <c r="AK139" s="26">
        <v>7.9649787056965353</v>
      </c>
      <c r="AL139" s="26">
        <v>11.252910656708934</v>
      </c>
      <c r="AM139" s="26">
        <v>0.3405385710485635</v>
      </c>
      <c r="AN139" s="26">
        <v>6.6541440598189699E-4</v>
      </c>
      <c r="AO139" s="26">
        <v>0</v>
      </c>
      <c r="AP139" s="26">
        <v>0</v>
      </c>
      <c r="AQ139" s="26">
        <v>0.34120398545454539</v>
      </c>
      <c r="AR139" s="26">
        <v>0.99307852534081786</v>
      </c>
      <c r="AS139" s="742">
        <v>0.3435820801154133</v>
      </c>
      <c r="AT139" s="26">
        <v>0.3405385710485635</v>
      </c>
      <c r="AU139" s="26">
        <v>7.8765246304655554E-4</v>
      </c>
      <c r="AV139" s="26">
        <v>0</v>
      </c>
      <c r="AW139" s="26">
        <v>0</v>
      </c>
      <c r="AX139" s="26">
        <v>0.34132622351161007</v>
      </c>
      <c r="AY139" s="26">
        <v>2.29485342567158</v>
      </c>
      <c r="AZ139" s="742">
        <v>0.14873552257993222</v>
      </c>
      <c r="BA139" s="26">
        <v>0.3405385710485635</v>
      </c>
      <c r="BB139" s="26">
        <v>1.4530668690284525E-3</v>
      </c>
      <c r="BC139" s="26">
        <v>0</v>
      </c>
      <c r="BD139" s="26">
        <v>0</v>
      </c>
      <c r="BE139" s="26">
        <v>0.34199163791759196</v>
      </c>
      <c r="BF139" s="26">
        <v>3.2879319510123981</v>
      </c>
      <c r="BG139" s="26">
        <v>341.55859083107185</v>
      </c>
      <c r="BH139" s="742">
        <v>0.10401420802285405</v>
      </c>
      <c r="BI139" s="26">
        <v>103.20909205793382</v>
      </c>
      <c r="BJ139" s="26">
        <v>238.50051373159806</v>
      </c>
      <c r="BK139" s="26">
        <v>0</v>
      </c>
      <c r="BL139" s="26">
        <v>827.78773228792897</v>
      </c>
      <c r="BM139" s="26">
        <v>1169.4973380774611</v>
      </c>
      <c r="BN139" s="26">
        <v>0.3405385710485635</v>
      </c>
      <c r="BO139" s="26">
        <v>0</v>
      </c>
      <c r="BP139" s="26">
        <v>1.4530668690284525E-3</v>
      </c>
      <c r="BQ139" s="26">
        <v>0</v>
      </c>
      <c r="BR139" s="26">
        <v>0</v>
      </c>
      <c r="BS139" s="26">
        <v>0</v>
      </c>
      <c r="BT139" s="26">
        <v>0</v>
      </c>
      <c r="BU139" s="26">
        <v>0</v>
      </c>
      <c r="BV139" s="26">
        <v>0</v>
      </c>
      <c r="BW139" s="26">
        <v>0</v>
      </c>
      <c r="BX139" s="26">
        <v>11.252910656708934</v>
      </c>
      <c r="BY139" s="26"/>
      <c r="BZ139" s="26">
        <v>0</v>
      </c>
      <c r="CA139" s="26">
        <v>0</v>
      </c>
      <c r="CB139" s="26">
        <v>0.34199163791759196</v>
      </c>
      <c r="CC139" s="26">
        <v>11.252910656708934</v>
      </c>
      <c r="CD139" s="742">
        <v>3.0391393689213918E-2</v>
      </c>
      <c r="CE139" s="26">
        <v>1169.3463231190008</v>
      </c>
      <c r="CF139" s="26">
        <v>6.7261294835135391E-3</v>
      </c>
      <c r="CG139" s="26">
        <v>0</v>
      </c>
      <c r="CH139" s="26">
        <v>6.7261294835135391E-3</v>
      </c>
      <c r="CI139" s="26">
        <v>3.3630192805090718E-4</v>
      </c>
      <c r="CJ139" s="26">
        <v>0</v>
      </c>
      <c r="CK139" s="26">
        <v>3.3630192805090718E-4</v>
      </c>
      <c r="CL139" s="26"/>
      <c r="CM139" s="26">
        <v>0</v>
      </c>
      <c r="CN139" s="26"/>
      <c r="CO139" s="26">
        <v>0</v>
      </c>
      <c r="CP139" s="26">
        <v>0</v>
      </c>
      <c r="CQ139" s="26">
        <v>0</v>
      </c>
      <c r="CR139" s="26">
        <v>0</v>
      </c>
      <c r="CS139" s="26">
        <v>0</v>
      </c>
      <c r="CT139" s="26">
        <v>0</v>
      </c>
      <c r="CU139" s="26">
        <v>0</v>
      </c>
      <c r="CV139" s="26">
        <v>9999</v>
      </c>
      <c r="CW139" s="30">
        <v>9999</v>
      </c>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row>
    <row r="140" spans="1:131">
      <c r="A140" s="7"/>
      <c r="B140" s="7"/>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row>
    <row r="141" spans="1:131">
      <c r="A141" s="7"/>
      <c r="B141" s="7"/>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row>
    <row r="142" spans="1:131" ht="13.5" thickBot="1">
      <c r="A142" s="24" t="s">
        <v>1517</v>
      </c>
      <c r="B142" s="25"/>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row>
    <row r="143" spans="1:131" ht="26.25" thickBot="1">
      <c r="A143" s="735" t="s">
        <v>1418</v>
      </c>
      <c r="B143" s="736"/>
      <c r="C143" s="737" t="s">
        <v>1419</v>
      </c>
      <c r="D143" s="738"/>
      <c r="E143" s="738"/>
      <c r="F143" s="738"/>
      <c r="G143" s="738"/>
      <c r="H143" s="738"/>
      <c r="I143" s="738"/>
      <c r="J143" s="738"/>
      <c r="K143" s="739"/>
      <c r="L143" s="737" t="s">
        <v>1420</v>
      </c>
      <c r="M143" s="738"/>
      <c r="N143" s="738"/>
      <c r="O143" s="738"/>
      <c r="P143" s="738"/>
      <c r="Q143" s="739"/>
      <c r="R143" s="737" t="s">
        <v>1421</v>
      </c>
      <c r="S143" s="738"/>
      <c r="T143" s="738"/>
      <c r="U143" s="739"/>
      <c r="V143" s="737" t="s">
        <v>1422</v>
      </c>
      <c r="W143" s="738"/>
      <c r="X143" s="738"/>
      <c r="Y143" s="739"/>
      <c r="Z143" s="737" t="s">
        <v>1423</v>
      </c>
      <c r="AA143" s="738"/>
      <c r="AB143" s="738"/>
      <c r="AC143" s="739"/>
      <c r="AD143" s="737" t="s">
        <v>1424</v>
      </c>
      <c r="AE143" s="738"/>
      <c r="AF143" s="738"/>
      <c r="AG143" s="739"/>
      <c r="AH143" s="737" t="s">
        <v>1425</v>
      </c>
      <c r="AI143" s="738"/>
      <c r="AJ143" s="738"/>
      <c r="AK143" s="738"/>
      <c r="AL143" s="739"/>
      <c r="AM143" s="737" t="s">
        <v>1426</v>
      </c>
      <c r="AN143" s="738"/>
      <c r="AO143" s="738"/>
      <c r="AP143" s="738"/>
      <c r="AQ143" s="738"/>
      <c r="AR143" s="738"/>
      <c r="AS143" s="739"/>
      <c r="AT143" s="737" t="s">
        <v>1427</v>
      </c>
      <c r="AU143" s="738"/>
      <c r="AV143" s="738"/>
      <c r="AW143" s="738"/>
      <c r="AX143" s="738"/>
      <c r="AY143" s="738"/>
      <c r="AZ143" s="739"/>
      <c r="BA143" s="737" t="s">
        <v>1428</v>
      </c>
      <c r="BB143" s="738"/>
      <c r="BC143" s="738"/>
      <c r="BD143" s="738"/>
      <c r="BE143" s="738"/>
      <c r="BF143" s="739"/>
      <c r="BG143" s="737" t="s">
        <v>1429</v>
      </c>
      <c r="BH143" s="739"/>
      <c r="BI143" s="737" t="s">
        <v>1430</v>
      </c>
      <c r="BJ143" s="738"/>
      <c r="BK143" s="738"/>
      <c r="BL143" s="738"/>
      <c r="BM143" s="739"/>
      <c r="BN143" s="737" t="s">
        <v>1431</v>
      </c>
      <c r="BO143" s="738"/>
      <c r="BP143" s="738"/>
      <c r="BQ143" s="738"/>
      <c r="BR143" s="738"/>
      <c r="BS143" s="738"/>
      <c r="BT143" s="738"/>
      <c r="BU143" s="738"/>
      <c r="BV143" s="738"/>
      <c r="BW143" s="738"/>
      <c r="BX143" s="738"/>
      <c r="BY143" s="738"/>
      <c r="BZ143" s="738"/>
      <c r="CA143" s="738"/>
      <c r="CB143" s="738"/>
      <c r="CC143" s="739"/>
      <c r="CD143" s="737" t="s">
        <v>1432</v>
      </c>
      <c r="CE143" s="739"/>
      <c r="CF143" s="737" t="s">
        <v>1433</v>
      </c>
      <c r="CG143" s="738"/>
      <c r="CH143" s="738"/>
      <c r="CI143" s="738"/>
      <c r="CJ143" s="738"/>
      <c r="CK143" s="739"/>
      <c r="CL143" s="740"/>
      <c r="CM143" s="737" t="s">
        <v>5</v>
      </c>
      <c r="CN143" s="738"/>
      <c r="CO143" s="738"/>
      <c r="CP143" s="739"/>
      <c r="CQ143" s="737" t="s">
        <v>1434</v>
      </c>
      <c r="CR143" s="738"/>
      <c r="CS143" s="738"/>
      <c r="CT143" s="738"/>
      <c r="CU143" s="739"/>
      <c r="CV143" s="737" t="s">
        <v>1435</v>
      </c>
      <c r="CW143" s="739"/>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row>
    <row r="144" spans="1:131" ht="216.75">
      <c r="A144" s="27" t="s">
        <v>1436</v>
      </c>
      <c r="B144" s="28" t="s">
        <v>1437</v>
      </c>
      <c r="C144" s="29" t="s">
        <v>118</v>
      </c>
      <c r="D144" s="29" t="s">
        <v>1438</v>
      </c>
      <c r="E144" s="29" t="s">
        <v>1439</v>
      </c>
      <c r="F144" s="29" t="s">
        <v>1440</v>
      </c>
      <c r="G144" s="29" t="s">
        <v>1441</v>
      </c>
      <c r="H144" s="29" t="s">
        <v>1442</v>
      </c>
      <c r="I144" s="29" t="s">
        <v>1443</v>
      </c>
      <c r="J144" s="29" t="s">
        <v>1444</v>
      </c>
      <c r="K144" s="29" t="s">
        <v>1445</v>
      </c>
      <c r="L144" s="29" t="s">
        <v>1446</v>
      </c>
      <c r="M144" s="29" t="s">
        <v>1447</v>
      </c>
      <c r="N144" s="29" t="s">
        <v>1448</v>
      </c>
      <c r="O144" s="29" t="s">
        <v>1449</v>
      </c>
      <c r="P144" s="29" t="s">
        <v>1450</v>
      </c>
      <c r="Q144" s="29" t="s">
        <v>1451</v>
      </c>
      <c r="R144" s="29" t="s">
        <v>1452</v>
      </c>
      <c r="S144" s="29" t="s">
        <v>1453</v>
      </c>
      <c r="T144" s="29" t="s">
        <v>1454</v>
      </c>
      <c r="U144" s="29" t="s">
        <v>1358</v>
      </c>
      <c r="V144" s="29" t="s">
        <v>1452</v>
      </c>
      <c r="W144" s="29" t="s">
        <v>1453</v>
      </c>
      <c r="X144" s="29" t="s">
        <v>1454</v>
      </c>
      <c r="Y144" s="29" t="s">
        <v>1358</v>
      </c>
      <c r="Z144" s="29" t="s">
        <v>1452</v>
      </c>
      <c r="AA144" s="29" t="s">
        <v>1453</v>
      </c>
      <c r="AB144" s="29" t="s">
        <v>1454</v>
      </c>
      <c r="AC144" s="29" t="s">
        <v>1358</v>
      </c>
      <c r="AD144" s="29" t="s">
        <v>1452</v>
      </c>
      <c r="AE144" s="29" t="s">
        <v>1453</v>
      </c>
      <c r="AF144" s="29" t="s">
        <v>1454</v>
      </c>
      <c r="AG144" s="29" t="s">
        <v>1358</v>
      </c>
      <c r="AH144" s="29" t="s">
        <v>1452</v>
      </c>
      <c r="AI144" s="29" t="s">
        <v>1453</v>
      </c>
      <c r="AJ144" s="29" t="s">
        <v>1454</v>
      </c>
      <c r="AK144" s="29" t="s">
        <v>1358</v>
      </c>
      <c r="AL144" s="29" t="s">
        <v>129</v>
      </c>
      <c r="AM144" s="29" t="s">
        <v>1455</v>
      </c>
      <c r="AN144" s="29" t="s">
        <v>1456</v>
      </c>
      <c r="AO144" s="29" t="s">
        <v>1457</v>
      </c>
      <c r="AP144" s="29" t="s">
        <v>1458</v>
      </c>
      <c r="AQ144" s="29" t="s">
        <v>1459</v>
      </c>
      <c r="AR144" s="29" t="s">
        <v>1460</v>
      </c>
      <c r="AS144" s="29" t="s">
        <v>1461</v>
      </c>
      <c r="AT144" s="29" t="s">
        <v>1462</v>
      </c>
      <c r="AU144" s="29" t="s">
        <v>1463</v>
      </c>
      <c r="AV144" s="29" t="s">
        <v>1464</v>
      </c>
      <c r="AW144" s="29" t="s">
        <v>1465</v>
      </c>
      <c r="AX144" s="29" t="s">
        <v>1466</v>
      </c>
      <c r="AY144" s="29" t="s">
        <v>1467</v>
      </c>
      <c r="AZ144" s="29" t="s">
        <v>1468</v>
      </c>
      <c r="BA144" s="29" t="s">
        <v>1469</v>
      </c>
      <c r="BB144" s="29" t="s">
        <v>1470</v>
      </c>
      <c r="BC144" s="29" t="s">
        <v>1471</v>
      </c>
      <c r="BD144" s="29" t="s">
        <v>1472</v>
      </c>
      <c r="BE144" s="29" t="s">
        <v>1473</v>
      </c>
      <c r="BF144" s="29" t="s">
        <v>1474</v>
      </c>
      <c r="BG144" s="29" t="s">
        <v>1475</v>
      </c>
      <c r="BH144" s="29" t="s">
        <v>1476</v>
      </c>
      <c r="BI144" s="29" t="s">
        <v>1477</v>
      </c>
      <c r="BJ144" s="29" t="s">
        <v>1478</v>
      </c>
      <c r="BK144" s="29" t="s">
        <v>1479</v>
      </c>
      <c r="BL144" s="29" t="s">
        <v>1480</v>
      </c>
      <c r="BM144" s="29" t="s">
        <v>1481</v>
      </c>
      <c r="BN144" s="29" t="s">
        <v>1482</v>
      </c>
      <c r="BO144" s="29" t="s">
        <v>1483</v>
      </c>
      <c r="BP144" s="29" t="s">
        <v>1484</v>
      </c>
      <c r="BQ144" s="29" t="s">
        <v>1485</v>
      </c>
      <c r="BR144" s="29" t="s">
        <v>1486</v>
      </c>
      <c r="BS144" s="29" t="s">
        <v>1487</v>
      </c>
      <c r="BT144" s="29" t="s">
        <v>1488</v>
      </c>
      <c r="BU144" s="29" t="s">
        <v>1489</v>
      </c>
      <c r="BV144" s="29" t="s">
        <v>1490</v>
      </c>
      <c r="BW144" s="29" t="s">
        <v>1491</v>
      </c>
      <c r="BX144" s="29" t="s">
        <v>1492</v>
      </c>
      <c r="BY144" s="29" t="s">
        <v>1493</v>
      </c>
      <c r="BZ144" s="29" t="s">
        <v>1494</v>
      </c>
      <c r="CA144" s="29" t="s">
        <v>1495</v>
      </c>
      <c r="CB144" s="29" t="s">
        <v>1496</v>
      </c>
      <c r="CC144" s="29" t="s">
        <v>1497</v>
      </c>
      <c r="CD144" s="29" t="s">
        <v>1498</v>
      </c>
      <c r="CE144" s="29" t="s">
        <v>21</v>
      </c>
      <c r="CF144" s="29" t="s">
        <v>1499</v>
      </c>
      <c r="CG144" s="29" t="s">
        <v>1500</v>
      </c>
      <c r="CH144" s="29" t="s">
        <v>1501</v>
      </c>
      <c r="CI144" s="29" t="s">
        <v>1502</v>
      </c>
      <c r="CJ144" s="29" t="s">
        <v>1503</v>
      </c>
      <c r="CK144" s="29" t="s">
        <v>1504</v>
      </c>
      <c r="CL144" s="29"/>
      <c r="CM144" s="29" t="s">
        <v>1505</v>
      </c>
      <c r="CN144" s="29" t="s">
        <v>1506</v>
      </c>
      <c r="CO144" s="29" t="s">
        <v>1507</v>
      </c>
      <c r="CP144" s="29" t="s">
        <v>1508</v>
      </c>
      <c r="CQ144" s="29" t="s">
        <v>1509</v>
      </c>
      <c r="CR144" s="29" t="s">
        <v>1510</v>
      </c>
      <c r="CS144" s="29" t="s">
        <v>1511</v>
      </c>
      <c r="CT144" s="29" t="s">
        <v>1512</v>
      </c>
      <c r="CU144" s="29" t="s">
        <v>1513</v>
      </c>
      <c r="CV144" s="29" t="s">
        <v>1514</v>
      </c>
      <c r="CW144" s="29" t="s">
        <v>1515</v>
      </c>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row>
    <row r="145" spans="1:131">
      <c r="A145" s="7" t="s">
        <v>1318</v>
      </c>
      <c r="B145" s="7"/>
      <c r="C145" s="26">
        <v>5</v>
      </c>
      <c r="D145" s="26">
        <v>372.94092628248404</v>
      </c>
      <c r="E145" s="26">
        <v>0</v>
      </c>
      <c r="F145" s="26">
        <v>6.2666666666666666</v>
      </c>
      <c r="G145" s="26">
        <v>0</v>
      </c>
      <c r="H145" s="26">
        <v>0</v>
      </c>
      <c r="I145" s="26"/>
      <c r="J145" s="26"/>
      <c r="K145" s="26"/>
      <c r="L145" s="26">
        <v>398.75442145308739</v>
      </c>
      <c r="M145" s="26">
        <v>1.0606173555314377E-3</v>
      </c>
      <c r="N145" s="26">
        <v>1.0529622950862536E-3</v>
      </c>
      <c r="O145" s="26">
        <v>0</v>
      </c>
      <c r="P145" s="26">
        <v>0</v>
      </c>
      <c r="Q145" s="26">
        <v>0</v>
      </c>
      <c r="R145" s="26">
        <v>1.2496570466136128</v>
      </c>
      <c r="S145" s="26">
        <v>2.8877673629602212</v>
      </c>
      <c r="T145" s="26">
        <v>0</v>
      </c>
      <c r="U145" s="26">
        <v>17.597195676572522</v>
      </c>
      <c r="V145" s="26">
        <v>0.376</v>
      </c>
      <c r="W145" s="26">
        <v>0.8773333333333333</v>
      </c>
      <c r="X145" s="26">
        <v>0</v>
      </c>
      <c r="Y145" s="26">
        <v>0</v>
      </c>
      <c r="Z145" s="26">
        <v>0</v>
      </c>
      <c r="AA145" s="26">
        <v>0</v>
      </c>
      <c r="AB145" s="26">
        <v>0</v>
      </c>
      <c r="AC145" s="26">
        <v>0</v>
      </c>
      <c r="AD145" s="26">
        <v>0</v>
      </c>
      <c r="AE145" s="26">
        <v>0</v>
      </c>
      <c r="AF145" s="26">
        <v>0</v>
      </c>
      <c r="AG145" s="26">
        <v>0</v>
      </c>
      <c r="AH145" s="26">
        <v>1.6256570466136129</v>
      </c>
      <c r="AI145" s="26">
        <v>3.7651006962935547</v>
      </c>
      <c r="AJ145" s="26">
        <v>0</v>
      </c>
      <c r="AK145" s="26">
        <v>17.597195676572522</v>
      </c>
      <c r="AL145" s="26">
        <v>22.987953419479691</v>
      </c>
      <c r="AM145" s="26">
        <v>191.79446663379949</v>
      </c>
      <c r="AN145" s="26">
        <v>0.37476753570903026</v>
      </c>
      <c r="AO145" s="26">
        <v>0</v>
      </c>
      <c r="AP145" s="26">
        <v>0</v>
      </c>
      <c r="AQ145" s="26">
        <v>192.16923416950851</v>
      </c>
      <c r="AR145" s="26">
        <v>1.6256570466136129</v>
      </c>
      <c r="AS145" s="30">
        <v>118.21019357669195</v>
      </c>
      <c r="AT145" s="26">
        <v>191.79446663379949</v>
      </c>
      <c r="AU145" s="26">
        <v>0.44361313779421879</v>
      </c>
      <c r="AV145" s="26">
        <v>0</v>
      </c>
      <c r="AW145" s="26">
        <v>0</v>
      </c>
      <c r="AX145" s="26">
        <v>192.2380797715937</v>
      </c>
      <c r="AY145" s="26">
        <v>3.7651006962935547</v>
      </c>
      <c r="AZ145" s="30">
        <v>51.057885373646705</v>
      </c>
      <c r="BA145" s="26">
        <v>191.79446663379949</v>
      </c>
      <c r="BB145" s="26">
        <v>0.81838067350324906</v>
      </c>
      <c r="BC145" s="26">
        <v>0</v>
      </c>
      <c r="BD145" s="26">
        <v>0</v>
      </c>
      <c r="BE145" s="26">
        <v>192.61284730730273</v>
      </c>
      <c r="BF145" s="26">
        <v>5.3907577429071676</v>
      </c>
      <c r="BG145" s="26">
        <v>0.84373611884529098</v>
      </c>
      <c r="BH145" s="30">
        <v>35.730199072798449</v>
      </c>
      <c r="BI145" s="26">
        <v>0.29998085159281895</v>
      </c>
      <c r="BJ145" s="26">
        <v>0.69477022571250013</v>
      </c>
      <c r="BK145" s="26">
        <v>0</v>
      </c>
      <c r="BL145" s="26">
        <v>3.2471927309022215</v>
      </c>
      <c r="BM145" s="26">
        <v>4.2419438082075409</v>
      </c>
      <c r="BN145" s="26">
        <v>191.79446663379949</v>
      </c>
      <c r="BO145" s="26">
        <v>0</v>
      </c>
      <c r="BP145" s="26">
        <v>0.81838067350324906</v>
      </c>
      <c r="BQ145" s="26">
        <v>0</v>
      </c>
      <c r="BR145" s="26">
        <v>0</v>
      </c>
      <c r="BS145" s="26">
        <v>0</v>
      </c>
      <c r="BT145" s="26">
        <v>0</v>
      </c>
      <c r="BU145" s="26">
        <v>0</v>
      </c>
      <c r="BV145" s="26">
        <v>0</v>
      </c>
      <c r="BW145" s="26">
        <v>0</v>
      </c>
      <c r="BX145" s="26">
        <v>21.734620086146357</v>
      </c>
      <c r="BY145" s="26">
        <v>1.2533333333333334</v>
      </c>
      <c r="BZ145" s="26">
        <v>0</v>
      </c>
      <c r="CA145" s="26">
        <v>0</v>
      </c>
      <c r="CB145" s="26">
        <v>192.61284730730273</v>
      </c>
      <c r="CC145" s="26">
        <v>22.987953419479691</v>
      </c>
      <c r="CD145" s="30">
        <v>8.3788601704789052</v>
      </c>
      <c r="CE145" s="26">
        <v>4.0909288497475105</v>
      </c>
      <c r="CF145" s="26">
        <v>3.7882182121930161</v>
      </c>
      <c r="CG145" s="26">
        <v>0</v>
      </c>
      <c r="CH145" s="26">
        <v>3.7882182121930161</v>
      </c>
      <c r="CI145" s="26">
        <v>0.18940835019021646</v>
      </c>
      <c r="CJ145" s="26">
        <v>0</v>
      </c>
      <c r="CK145" s="26">
        <v>0.18940835019021646</v>
      </c>
      <c r="CL145" s="26"/>
      <c r="CM145" s="26">
        <v>0</v>
      </c>
      <c r="CN145" s="26"/>
      <c r="CO145" s="26">
        <v>0</v>
      </c>
      <c r="CP145" s="26">
        <v>0</v>
      </c>
      <c r="CQ145" s="26">
        <v>0</v>
      </c>
      <c r="CR145" s="26">
        <v>0</v>
      </c>
      <c r="CS145" s="26">
        <v>0</v>
      </c>
      <c r="CT145" s="26">
        <v>0</v>
      </c>
      <c r="CU145" s="26">
        <v>0</v>
      </c>
      <c r="CV145" s="26">
        <v>9999</v>
      </c>
      <c r="CW145" s="30">
        <v>9999</v>
      </c>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row>
    <row r="146" spans="1:131">
      <c r="A146" s="7" t="s">
        <v>1331</v>
      </c>
      <c r="B146" s="7"/>
      <c r="C146" s="26">
        <v>5</v>
      </c>
      <c r="D146" s="26">
        <v>372.94092628248404</v>
      </c>
      <c r="E146" s="26">
        <v>0</v>
      </c>
      <c r="F146" s="26">
        <v>6.2666666666666666</v>
      </c>
      <c r="G146" s="26">
        <v>0</v>
      </c>
      <c r="H146" s="26">
        <v>0</v>
      </c>
      <c r="I146" s="26"/>
      <c r="J146" s="26"/>
      <c r="K146" s="26"/>
      <c r="L146" s="26">
        <v>398.75442145308739</v>
      </c>
      <c r="M146" s="26">
        <v>1.0606173555314377E-3</v>
      </c>
      <c r="N146" s="26">
        <v>1.0529622950862536E-3</v>
      </c>
      <c r="O146" s="26">
        <v>0</v>
      </c>
      <c r="P146" s="26">
        <v>0</v>
      </c>
      <c r="Q146" s="26">
        <v>0</v>
      </c>
      <c r="R146" s="26">
        <v>1.2496570466136128</v>
      </c>
      <c r="S146" s="26">
        <v>2.8877673629602212</v>
      </c>
      <c r="T146" s="26">
        <v>0</v>
      </c>
      <c r="U146" s="26">
        <v>17.597195676572522</v>
      </c>
      <c r="V146" s="26">
        <v>0.376</v>
      </c>
      <c r="W146" s="26">
        <v>0.8773333333333333</v>
      </c>
      <c r="X146" s="26">
        <v>0</v>
      </c>
      <c r="Y146" s="26">
        <v>0</v>
      </c>
      <c r="Z146" s="26">
        <v>0</v>
      </c>
      <c r="AA146" s="26">
        <v>0</v>
      </c>
      <c r="AB146" s="26">
        <v>0</v>
      </c>
      <c r="AC146" s="26">
        <v>0</v>
      </c>
      <c r="AD146" s="26">
        <v>0</v>
      </c>
      <c r="AE146" s="26">
        <v>0</v>
      </c>
      <c r="AF146" s="26">
        <v>0</v>
      </c>
      <c r="AG146" s="26">
        <v>0</v>
      </c>
      <c r="AH146" s="26">
        <v>1.6256570466136129</v>
      </c>
      <c r="AI146" s="26">
        <v>3.7651006962935547</v>
      </c>
      <c r="AJ146" s="26">
        <v>0</v>
      </c>
      <c r="AK146" s="26">
        <v>17.597195676572522</v>
      </c>
      <c r="AL146" s="26">
        <v>22.987953419479691</v>
      </c>
      <c r="AM146" s="26">
        <v>191.79446663379949</v>
      </c>
      <c r="AN146" s="26">
        <v>0.37476753570903026</v>
      </c>
      <c r="AO146" s="26">
        <v>0</v>
      </c>
      <c r="AP146" s="26">
        <v>0</v>
      </c>
      <c r="AQ146" s="26">
        <v>192.16923416950851</v>
      </c>
      <c r="AR146" s="26">
        <v>1.6256570466136129</v>
      </c>
      <c r="AS146" s="30">
        <v>118.21019357669195</v>
      </c>
      <c r="AT146" s="26">
        <v>191.79446663379949</v>
      </c>
      <c r="AU146" s="26">
        <v>0.44361313779421879</v>
      </c>
      <c r="AV146" s="26">
        <v>0</v>
      </c>
      <c r="AW146" s="26">
        <v>0</v>
      </c>
      <c r="AX146" s="26">
        <v>192.2380797715937</v>
      </c>
      <c r="AY146" s="26">
        <v>3.7651006962935547</v>
      </c>
      <c r="AZ146" s="30">
        <v>51.057885373646705</v>
      </c>
      <c r="BA146" s="26">
        <v>191.79446663379949</v>
      </c>
      <c r="BB146" s="26">
        <v>0.81838067350324906</v>
      </c>
      <c r="BC146" s="26">
        <v>0</v>
      </c>
      <c r="BD146" s="26">
        <v>0</v>
      </c>
      <c r="BE146" s="26">
        <v>192.61284730730273</v>
      </c>
      <c r="BF146" s="26">
        <v>5.3907577429071676</v>
      </c>
      <c r="BG146" s="26">
        <v>0.84373611884529098</v>
      </c>
      <c r="BH146" s="30">
        <v>35.730199072798449</v>
      </c>
      <c r="BI146" s="26">
        <v>0.29998085159281895</v>
      </c>
      <c r="BJ146" s="26">
        <v>0.69477022571250013</v>
      </c>
      <c r="BK146" s="26">
        <v>0</v>
      </c>
      <c r="BL146" s="26">
        <v>3.2471927309022215</v>
      </c>
      <c r="BM146" s="26">
        <v>4.2419438082075409</v>
      </c>
      <c r="BN146" s="26">
        <v>191.79446663379949</v>
      </c>
      <c r="BO146" s="26">
        <v>0</v>
      </c>
      <c r="BP146" s="26">
        <v>0.81838067350324906</v>
      </c>
      <c r="BQ146" s="26">
        <v>0</v>
      </c>
      <c r="BR146" s="26">
        <v>0</v>
      </c>
      <c r="BS146" s="26">
        <v>0</v>
      </c>
      <c r="BT146" s="26">
        <v>0</v>
      </c>
      <c r="BU146" s="26">
        <v>0</v>
      </c>
      <c r="BV146" s="26">
        <v>0</v>
      </c>
      <c r="BW146" s="26">
        <v>0</v>
      </c>
      <c r="BX146" s="26">
        <v>21.734620086146357</v>
      </c>
      <c r="BY146" s="26">
        <v>1.2533333333333334</v>
      </c>
      <c r="BZ146" s="26">
        <v>0</v>
      </c>
      <c r="CA146" s="26">
        <v>0</v>
      </c>
      <c r="CB146" s="26">
        <v>192.61284730730273</v>
      </c>
      <c r="CC146" s="26">
        <v>22.987953419479691</v>
      </c>
      <c r="CD146" s="30">
        <v>8.3788601704789052</v>
      </c>
      <c r="CE146" s="26">
        <v>4.0909288497475105</v>
      </c>
      <c r="CF146" s="26">
        <v>3.7882182121930161</v>
      </c>
      <c r="CG146" s="26">
        <v>0</v>
      </c>
      <c r="CH146" s="26">
        <v>3.7882182121930161</v>
      </c>
      <c r="CI146" s="26">
        <v>0.18940835019021646</v>
      </c>
      <c r="CJ146" s="26">
        <v>0</v>
      </c>
      <c r="CK146" s="26">
        <v>0.18940835019021646</v>
      </c>
      <c r="CL146" s="26"/>
      <c r="CM146" s="26">
        <v>0</v>
      </c>
      <c r="CN146" s="26"/>
      <c r="CO146" s="26">
        <v>0</v>
      </c>
      <c r="CP146" s="26">
        <v>0</v>
      </c>
      <c r="CQ146" s="26">
        <v>0</v>
      </c>
      <c r="CR146" s="26">
        <v>0</v>
      </c>
      <c r="CS146" s="26">
        <v>0</v>
      </c>
      <c r="CT146" s="26">
        <v>0</v>
      </c>
      <c r="CU146" s="26">
        <v>0</v>
      </c>
      <c r="CV146" s="26">
        <v>9999</v>
      </c>
      <c r="CW146" s="30">
        <v>9999</v>
      </c>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row>
    <row r="147" spans="1:131">
      <c r="A147" s="7" t="s">
        <v>1295</v>
      </c>
      <c r="B147" s="7"/>
      <c r="C147" s="26">
        <v>5</v>
      </c>
      <c r="D147" s="26">
        <v>271.43251637852666</v>
      </c>
      <c r="E147" s="26">
        <v>0</v>
      </c>
      <c r="F147" s="26">
        <v>6.2666666666666666</v>
      </c>
      <c r="G147" s="26">
        <v>0</v>
      </c>
      <c r="H147" s="26">
        <v>0</v>
      </c>
      <c r="I147" s="26"/>
      <c r="J147" s="26"/>
      <c r="K147" s="26"/>
      <c r="L147" s="26">
        <v>290.22000108964318</v>
      </c>
      <c r="M147" s="26">
        <v>7.7193468841383565E-4</v>
      </c>
      <c r="N147" s="26">
        <v>7.6636321000201832E-4</v>
      </c>
      <c r="O147" s="26">
        <v>0</v>
      </c>
      <c r="P147" s="26">
        <v>0</v>
      </c>
      <c r="Q147" s="26">
        <v>0</v>
      </c>
      <c r="R147" s="26">
        <v>1.2496570466136128</v>
      </c>
      <c r="S147" s="26">
        <v>2.8877673629602212</v>
      </c>
      <c r="T147" s="26">
        <v>0</v>
      </c>
      <c r="U147" s="26">
        <v>17.597195676572522</v>
      </c>
      <c r="V147" s="26">
        <v>0.376</v>
      </c>
      <c r="W147" s="26">
        <v>0.8773333333333333</v>
      </c>
      <c r="X147" s="26">
        <v>0</v>
      </c>
      <c r="Y147" s="26">
        <v>0</v>
      </c>
      <c r="Z147" s="26">
        <v>0</v>
      </c>
      <c r="AA147" s="26">
        <v>0</v>
      </c>
      <c r="AB147" s="26">
        <v>0</v>
      </c>
      <c r="AC147" s="26">
        <v>0</v>
      </c>
      <c r="AD147" s="26">
        <v>0</v>
      </c>
      <c r="AE147" s="26">
        <v>0</v>
      </c>
      <c r="AF147" s="26">
        <v>0</v>
      </c>
      <c r="AG147" s="26">
        <v>0</v>
      </c>
      <c r="AH147" s="26">
        <v>1.6256570466136129</v>
      </c>
      <c r="AI147" s="26">
        <v>3.7651006962935547</v>
      </c>
      <c r="AJ147" s="26">
        <v>0</v>
      </c>
      <c r="AK147" s="26">
        <v>17.597195676572522</v>
      </c>
      <c r="AL147" s="26">
        <v>22.987953419479691</v>
      </c>
      <c r="AM147" s="26">
        <v>139.59115515913464</v>
      </c>
      <c r="AN147" s="26">
        <v>0.2727619526461692</v>
      </c>
      <c r="AO147" s="26">
        <v>0</v>
      </c>
      <c r="AP147" s="26">
        <v>0</v>
      </c>
      <c r="AQ147" s="26">
        <v>139.86391711178081</v>
      </c>
      <c r="AR147" s="26">
        <v>1.6256570466136129</v>
      </c>
      <c r="AS147" s="30">
        <v>86.035315630150706</v>
      </c>
      <c r="AT147" s="26">
        <v>139.59115515913464</v>
      </c>
      <c r="AU147" s="26">
        <v>0.32286890980383742</v>
      </c>
      <c r="AV147" s="26">
        <v>0</v>
      </c>
      <c r="AW147" s="26">
        <v>0</v>
      </c>
      <c r="AX147" s="26">
        <v>139.91402406893849</v>
      </c>
      <c r="AY147" s="26">
        <v>3.7651006962935547</v>
      </c>
      <c r="AZ147" s="30">
        <v>37.160765502679077</v>
      </c>
      <c r="BA147" s="26">
        <v>139.59115515913464</v>
      </c>
      <c r="BB147" s="26">
        <v>0.59563086245000663</v>
      </c>
      <c r="BC147" s="26">
        <v>0</v>
      </c>
      <c r="BD147" s="26">
        <v>0</v>
      </c>
      <c r="BE147" s="26">
        <v>140.18678602158465</v>
      </c>
      <c r="BF147" s="26">
        <v>5.3907577429071676</v>
      </c>
      <c r="BG147" s="26">
        <v>1.215746080859921</v>
      </c>
      <c r="BH147" s="30">
        <v>26.005024285506789</v>
      </c>
      <c r="BI147" s="26">
        <v>0.41216556569080565</v>
      </c>
      <c r="BJ147" s="26">
        <v>0.95459547362914521</v>
      </c>
      <c r="BK147" s="26">
        <v>0</v>
      </c>
      <c r="BL147" s="26">
        <v>4.4615548683622199</v>
      </c>
      <c r="BM147" s="26">
        <v>5.8283159076821711</v>
      </c>
      <c r="BN147" s="26">
        <v>139.59115515913464</v>
      </c>
      <c r="BO147" s="26">
        <v>0</v>
      </c>
      <c r="BP147" s="26">
        <v>0.59563086245000663</v>
      </c>
      <c r="BQ147" s="26">
        <v>0</v>
      </c>
      <c r="BR147" s="26">
        <v>0</v>
      </c>
      <c r="BS147" s="26">
        <v>0</v>
      </c>
      <c r="BT147" s="26">
        <v>0</v>
      </c>
      <c r="BU147" s="26">
        <v>0</v>
      </c>
      <c r="BV147" s="26">
        <v>0</v>
      </c>
      <c r="BW147" s="26">
        <v>0</v>
      </c>
      <c r="BX147" s="26">
        <v>21.734620086146357</v>
      </c>
      <c r="BY147" s="26">
        <v>1.2533333333333334</v>
      </c>
      <c r="BZ147" s="26">
        <v>0</v>
      </c>
      <c r="CA147" s="26">
        <v>0</v>
      </c>
      <c r="CB147" s="26">
        <v>140.18678602158465</v>
      </c>
      <c r="CC147" s="26">
        <v>22.987953419479691</v>
      </c>
      <c r="CD147" s="30">
        <v>6.0982717105556778</v>
      </c>
      <c r="CE147" s="26">
        <v>5.6773009492221416</v>
      </c>
      <c r="CF147" s="26">
        <v>2.7571272806558902</v>
      </c>
      <c r="CG147" s="26">
        <v>0</v>
      </c>
      <c r="CH147" s="26">
        <v>2.7571272806558902</v>
      </c>
      <c r="CI147" s="26">
        <v>0.13785450051758047</v>
      </c>
      <c r="CJ147" s="26">
        <v>0</v>
      </c>
      <c r="CK147" s="26">
        <v>0.13785450051758047</v>
      </c>
      <c r="CL147" s="26"/>
      <c r="CM147" s="26">
        <v>0</v>
      </c>
      <c r="CN147" s="26"/>
      <c r="CO147" s="26">
        <v>0</v>
      </c>
      <c r="CP147" s="26">
        <v>0</v>
      </c>
      <c r="CQ147" s="26">
        <v>0</v>
      </c>
      <c r="CR147" s="26">
        <v>0</v>
      </c>
      <c r="CS147" s="26">
        <v>0</v>
      </c>
      <c r="CT147" s="26">
        <v>0</v>
      </c>
      <c r="CU147" s="26">
        <v>0</v>
      </c>
      <c r="CV147" s="26">
        <v>9999</v>
      </c>
      <c r="CW147" s="30">
        <v>9999</v>
      </c>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row>
    <row r="148" spans="1:131">
      <c r="A148" s="7" t="s">
        <v>1322</v>
      </c>
      <c r="B148" s="7"/>
      <c r="C148" s="26">
        <v>5</v>
      </c>
      <c r="D148" s="26">
        <v>92.479777249884535</v>
      </c>
      <c r="E148" s="26">
        <v>0</v>
      </c>
      <c r="F148" s="26">
        <v>5.2</v>
      </c>
      <c r="G148" s="26">
        <v>0</v>
      </c>
      <c r="H148" s="26">
        <v>0</v>
      </c>
      <c r="I148" s="26"/>
      <c r="J148" s="26"/>
      <c r="K148" s="26"/>
      <c r="L148" s="26">
        <v>98.880861483826095</v>
      </c>
      <c r="M148" s="26">
        <v>2.6300588075606906E-4</v>
      </c>
      <c r="N148" s="26">
        <v>2.6110762225206997E-4</v>
      </c>
      <c r="O148" s="26">
        <v>0</v>
      </c>
      <c r="P148" s="26">
        <v>0</v>
      </c>
      <c r="Q148" s="26">
        <v>0</v>
      </c>
      <c r="R148" s="26">
        <v>1.0369494642112955</v>
      </c>
      <c r="S148" s="26">
        <v>2.3962324926691196</v>
      </c>
      <c r="T148" s="26">
        <v>0</v>
      </c>
      <c r="U148" s="26">
        <v>14.601928327368688</v>
      </c>
      <c r="V148" s="26">
        <v>0.312</v>
      </c>
      <c r="W148" s="26">
        <v>0.72799999999999998</v>
      </c>
      <c r="X148" s="26">
        <v>0</v>
      </c>
      <c r="Y148" s="26">
        <v>0</v>
      </c>
      <c r="Z148" s="26">
        <v>0</v>
      </c>
      <c r="AA148" s="26">
        <v>0</v>
      </c>
      <c r="AB148" s="26">
        <v>0</v>
      </c>
      <c r="AC148" s="26">
        <v>0</v>
      </c>
      <c r="AD148" s="26">
        <v>0</v>
      </c>
      <c r="AE148" s="26">
        <v>0</v>
      </c>
      <c r="AF148" s="26">
        <v>0</v>
      </c>
      <c r="AG148" s="26">
        <v>0</v>
      </c>
      <c r="AH148" s="26">
        <v>1.3489494642112956</v>
      </c>
      <c r="AI148" s="26">
        <v>3.1242324926691198</v>
      </c>
      <c r="AJ148" s="26">
        <v>0</v>
      </c>
      <c r="AK148" s="26">
        <v>14.601928327368688</v>
      </c>
      <c r="AL148" s="26">
        <v>19.075110284249103</v>
      </c>
      <c r="AM148" s="26">
        <v>47.560104837137736</v>
      </c>
      <c r="AN148" s="26">
        <v>9.293272950313651E-2</v>
      </c>
      <c r="AO148" s="26">
        <v>0</v>
      </c>
      <c r="AP148" s="26">
        <v>0</v>
      </c>
      <c r="AQ148" s="26">
        <v>47.653037566640876</v>
      </c>
      <c r="AR148" s="26">
        <v>1.3489494642112956</v>
      </c>
      <c r="AS148" s="30">
        <v>35.326036171786967</v>
      </c>
      <c r="AT148" s="26">
        <v>47.560104837137736</v>
      </c>
      <c r="AU148" s="26">
        <v>0.11000467172448949</v>
      </c>
      <c r="AV148" s="26">
        <v>0</v>
      </c>
      <c r="AW148" s="26">
        <v>0</v>
      </c>
      <c r="AX148" s="26">
        <v>47.670109508862225</v>
      </c>
      <c r="AY148" s="26">
        <v>3.1242324926691198</v>
      </c>
      <c r="AZ148" s="30">
        <v>15.258182488248917</v>
      </c>
      <c r="BA148" s="26">
        <v>47.560104837137736</v>
      </c>
      <c r="BB148" s="26">
        <v>0.20293740122762599</v>
      </c>
      <c r="BC148" s="26">
        <v>0</v>
      </c>
      <c r="BD148" s="26">
        <v>0</v>
      </c>
      <c r="BE148" s="26">
        <v>47.763042238365365</v>
      </c>
      <c r="BF148" s="26">
        <v>4.4731819568804152</v>
      </c>
      <c r="BG148" s="26">
        <v>3.1776833658313701</v>
      </c>
      <c r="BH148" s="30">
        <v>10.677643498248209</v>
      </c>
      <c r="BI148" s="26">
        <v>1.0038147037965361</v>
      </c>
      <c r="BJ148" s="26">
        <v>2.3248836204948655</v>
      </c>
      <c r="BK148" s="26">
        <v>0</v>
      </c>
      <c r="BL148" s="26">
        <v>10.865959583864676</v>
      </c>
      <c r="BM148" s="26">
        <v>14.194657908156076</v>
      </c>
      <c r="BN148" s="26">
        <v>47.560104837137736</v>
      </c>
      <c r="BO148" s="26">
        <v>0</v>
      </c>
      <c r="BP148" s="26">
        <v>0.20293740122762599</v>
      </c>
      <c r="BQ148" s="26">
        <v>0</v>
      </c>
      <c r="BR148" s="26">
        <v>0</v>
      </c>
      <c r="BS148" s="26">
        <v>0</v>
      </c>
      <c r="BT148" s="26">
        <v>0</v>
      </c>
      <c r="BU148" s="26">
        <v>0</v>
      </c>
      <c r="BV148" s="26">
        <v>0</v>
      </c>
      <c r="BW148" s="26">
        <v>0</v>
      </c>
      <c r="BX148" s="26">
        <v>18.035110284249104</v>
      </c>
      <c r="BY148" s="26">
        <v>1.04</v>
      </c>
      <c r="BZ148" s="26">
        <v>0</v>
      </c>
      <c r="CA148" s="26">
        <v>0</v>
      </c>
      <c r="CB148" s="26">
        <v>47.763042238365365</v>
      </c>
      <c r="CC148" s="26">
        <v>19.075110284249103</v>
      </c>
      <c r="CD148" s="30">
        <v>2.5039457977763178</v>
      </c>
      <c r="CE148" s="26">
        <v>14.043642949696046</v>
      </c>
      <c r="CF148" s="26">
        <v>0.93938088246235063</v>
      </c>
      <c r="CG148" s="26">
        <v>0</v>
      </c>
      <c r="CH148" s="26">
        <v>0.93938088246235063</v>
      </c>
      <c r="CI148" s="26">
        <v>4.6968409204817388E-2</v>
      </c>
      <c r="CJ148" s="26">
        <v>0</v>
      </c>
      <c r="CK148" s="26">
        <v>4.6968409204817388E-2</v>
      </c>
      <c r="CL148" s="26"/>
      <c r="CM148" s="26">
        <v>0</v>
      </c>
      <c r="CN148" s="26"/>
      <c r="CO148" s="26">
        <v>0</v>
      </c>
      <c r="CP148" s="26">
        <v>0</v>
      </c>
      <c r="CQ148" s="26">
        <v>0</v>
      </c>
      <c r="CR148" s="26">
        <v>0</v>
      </c>
      <c r="CS148" s="26">
        <v>0</v>
      </c>
      <c r="CT148" s="26">
        <v>0</v>
      </c>
      <c r="CU148" s="26">
        <v>0</v>
      </c>
      <c r="CV148" s="26">
        <v>9999</v>
      </c>
      <c r="CW148" s="30">
        <v>9999</v>
      </c>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row>
    <row r="149" spans="1:131">
      <c r="A149" s="7" t="s">
        <v>1335</v>
      </c>
      <c r="B149" s="7"/>
      <c r="C149" s="26">
        <v>5</v>
      </c>
      <c r="D149" s="26">
        <v>92.479777249884535</v>
      </c>
      <c r="E149" s="26">
        <v>0</v>
      </c>
      <c r="F149" s="26">
        <v>5.2</v>
      </c>
      <c r="G149" s="26">
        <v>0</v>
      </c>
      <c r="H149" s="26">
        <v>0</v>
      </c>
      <c r="I149" s="26"/>
      <c r="J149" s="26"/>
      <c r="K149" s="26"/>
      <c r="L149" s="26">
        <v>98.880861483826095</v>
      </c>
      <c r="M149" s="26">
        <v>2.6300588075606906E-4</v>
      </c>
      <c r="N149" s="26">
        <v>2.6110762225206997E-4</v>
      </c>
      <c r="O149" s="26">
        <v>0</v>
      </c>
      <c r="P149" s="26">
        <v>0</v>
      </c>
      <c r="Q149" s="26">
        <v>0</v>
      </c>
      <c r="R149" s="26">
        <v>1.0369494642112955</v>
      </c>
      <c r="S149" s="26">
        <v>2.3962324926691196</v>
      </c>
      <c r="T149" s="26">
        <v>0</v>
      </c>
      <c r="U149" s="26">
        <v>14.601928327368688</v>
      </c>
      <c r="V149" s="26">
        <v>0.312</v>
      </c>
      <c r="W149" s="26">
        <v>0.72799999999999998</v>
      </c>
      <c r="X149" s="26">
        <v>0</v>
      </c>
      <c r="Y149" s="26">
        <v>0</v>
      </c>
      <c r="Z149" s="26">
        <v>0</v>
      </c>
      <c r="AA149" s="26">
        <v>0</v>
      </c>
      <c r="AB149" s="26">
        <v>0</v>
      </c>
      <c r="AC149" s="26">
        <v>0</v>
      </c>
      <c r="AD149" s="26">
        <v>0</v>
      </c>
      <c r="AE149" s="26">
        <v>0</v>
      </c>
      <c r="AF149" s="26">
        <v>0</v>
      </c>
      <c r="AG149" s="26">
        <v>0</v>
      </c>
      <c r="AH149" s="26">
        <v>1.3489494642112956</v>
      </c>
      <c r="AI149" s="26">
        <v>3.1242324926691198</v>
      </c>
      <c r="AJ149" s="26">
        <v>0</v>
      </c>
      <c r="AK149" s="26">
        <v>14.601928327368688</v>
      </c>
      <c r="AL149" s="26">
        <v>19.075110284249103</v>
      </c>
      <c r="AM149" s="26">
        <v>47.560104837137736</v>
      </c>
      <c r="AN149" s="26">
        <v>9.293272950313651E-2</v>
      </c>
      <c r="AO149" s="26">
        <v>0</v>
      </c>
      <c r="AP149" s="26">
        <v>0</v>
      </c>
      <c r="AQ149" s="26">
        <v>47.653037566640876</v>
      </c>
      <c r="AR149" s="26">
        <v>1.3489494642112956</v>
      </c>
      <c r="AS149" s="30">
        <v>35.326036171786967</v>
      </c>
      <c r="AT149" s="26">
        <v>47.560104837137736</v>
      </c>
      <c r="AU149" s="26">
        <v>0.11000467172448949</v>
      </c>
      <c r="AV149" s="26">
        <v>0</v>
      </c>
      <c r="AW149" s="26">
        <v>0</v>
      </c>
      <c r="AX149" s="26">
        <v>47.670109508862225</v>
      </c>
      <c r="AY149" s="26">
        <v>3.1242324926691198</v>
      </c>
      <c r="AZ149" s="30">
        <v>15.258182488248917</v>
      </c>
      <c r="BA149" s="26">
        <v>47.560104837137736</v>
      </c>
      <c r="BB149" s="26">
        <v>0.20293740122762599</v>
      </c>
      <c r="BC149" s="26">
        <v>0</v>
      </c>
      <c r="BD149" s="26">
        <v>0</v>
      </c>
      <c r="BE149" s="26">
        <v>47.763042238365365</v>
      </c>
      <c r="BF149" s="26">
        <v>4.4731819568804152</v>
      </c>
      <c r="BG149" s="26">
        <v>3.1776833658313701</v>
      </c>
      <c r="BH149" s="30">
        <v>10.677643498248209</v>
      </c>
      <c r="BI149" s="26">
        <v>1.0038147037965361</v>
      </c>
      <c r="BJ149" s="26">
        <v>2.3248836204948655</v>
      </c>
      <c r="BK149" s="26">
        <v>0</v>
      </c>
      <c r="BL149" s="26">
        <v>10.865959583864676</v>
      </c>
      <c r="BM149" s="26">
        <v>14.194657908156076</v>
      </c>
      <c r="BN149" s="26">
        <v>47.560104837137736</v>
      </c>
      <c r="BO149" s="26">
        <v>0</v>
      </c>
      <c r="BP149" s="26">
        <v>0.20293740122762599</v>
      </c>
      <c r="BQ149" s="26">
        <v>0</v>
      </c>
      <c r="BR149" s="26">
        <v>0</v>
      </c>
      <c r="BS149" s="26">
        <v>0</v>
      </c>
      <c r="BT149" s="26">
        <v>0</v>
      </c>
      <c r="BU149" s="26">
        <v>0</v>
      </c>
      <c r="BV149" s="26">
        <v>0</v>
      </c>
      <c r="BW149" s="26">
        <v>0</v>
      </c>
      <c r="BX149" s="26">
        <v>18.035110284249104</v>
      </c>
      <c r="BY149" s="26">
        <v>1.04</v>
      </c>
      <c r="BZ149" s="26">
        <v>0</v>
      </c>
      <c r="CA149" s="26">
        <v>0</v>
      </c>
      <c r="CB149" s="26">
        <v>47.763042238365365</v>
      </c>
      <c r="CC149" s="26">
        <v>19.075110284249103</v>
      </c>
      <c r="CD149" s="30">
        <v>2.5039457977763178</v>
      </c>
      <c r="CE149" s="26">
        <v>14.043642949696046</v>
      </c>
      <c r="CF149" s="26">
        <v>0.93938088246235063</v>
      </c>
      <c r="CG149" s="26">
        <v>0</v>
      </c>
      <c r="CH149" s="26">
        <v>0.93938088246235063</v>
      </c>
      <c r="CI149" s="26">
        <v>4.6968409204817388E-2</v>
      </c>
      <c r="CJ149" s="26">
        <v>0</v>
      </c>
      <c r="CK149" s="26">
        <v>4.6968409204817388E-2</v>
      </c>
      <c r="CL149" s="26"/>
      <c r="CM149" s="26">
        <v>0</v>
      </c>
      <c r="CN149" s="26"/>
      <c r="CO149" s="26">
        <v>0</v>
      </c>
      <c r="CP149" s="26">
        <v>0</v>
      </c>
      <c r="CQ149" s="26">
        <v>0</v>
      </c>
      <c r="CR149" s="26">
        <v>0</v>
      </c>
      <c r="CS149" s="26">
        <v>0</v>
      </c>
      <c r="CT149" s="26">
        <v>0</v>
      </c>
      <c r="CU149" s="26">
        <v>0</v>
      </c>
      <c r="CV149" s="26">
        <v>9999</v>
      </c>
      <c r="CW149" s="30">
        <v>9999</v>
      </c>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row>
    <row r="150" spans="1:131">
      <c r="A150" s="7" t="s">
        <v>1319</v>
      </c>
      <c r="B150" s="7"/>
      <c r="C150" s="26">
        <v>5</v>
      </c>
      <c r="D150" s="26">
        <v>386.52682892371809</v>
      </c>
      <c r="E150" s="26">
        <v>0</v>
      </c>
      <c r="F150" s="26">
        <v>21.866666666666667</v>
      </c>
      <c r="G150" s="26">
        <v>0</v>
      </c>
      <c r="H150" s="26">
        <v>0</v>
      </c>
      <c r="I150" s="26"/>
      <c r="J150" s="26"/>
      <c r="K150" s="26"/>
      <c r="L150" s="26">
        <v>413.28068651502326</v>
      </c>
      <c r="M150" s="26">
        <v>1.0992546922149928E-3</v>
      </c>
      <c r="N150" s="26">
        <v>1.0913207648002923E-3</v>
      </c>
      <c r="O150" s="26">
        <v>0</v>
      </c>
      <c r="P150" s="26">
        <v>0</v>
      </c>
      <c r="Q150" s="26">
        <v>0</v>
      </c>
      <c r="R150" s="26">
        <v>4.3605054392474996</v>
      </c>
      <c r="S150" s="26">
        <v>10.07646484096758</v>
      </c>
      <c r="T150" s="26">
        <v>0</v>
      </c>
      <c r="U150" s="26">
        <v>61.40298065867858</v>
      </c>
      <c r="V150" s="26">
        <v>1.3120000000000001</v>
      </c>
      <c r="W150" s="26">
        <v>3.0613333333333332</v>
      </c>
      <c r="X150" s="26">
        <v>0</v>
      </c>
      <c r="Y150" s="26">
        <v>0</v>
      </c>
      <c r="Z150" s="26">
        <v>0</v>
      </c>
      <c r="AA150" s="26">
        <v>0</v>
      </c>
      <c r="AB150" s="26">
        <v>0</v>
      </c>
      <c r="AC150" s="26">
        <v>0</v>
      </c>
      <c r="AD150" s="26">
        <v>0</v>
      </c>
      <c r="AE150" s="26">
        <v>0</v>
      </c>
      <c r="AF150" s="26">
        <v>0</v>
      </c>
      <c r="AG150" s="26">
        <v>0</v>
      </c>
      <c r="AH150" s="26">
        <v>5.6725054392474998</v>
      </c>
      <c r="AI150" s="26">
        <v>13.137798174300913</v>
      </c>
      <c r="AJ150" s="26">
        <v>0</v>
      </c>
      <c r="AK150" s="26">
        <v>61.40298065867858</v>
      </c>
      <c r="AL150" s="26">
        <v>80.213284272226986</v>
      </c>
      <c r="AM150" s="26">
        <v>198.78136661495245</v>
      </c>
      <c r="AN150" s="26">
        <v>0.38841998008940776</v>
      </c>
      <c r="AO150" s="26">
        <v>0</v>
      </c>
      <c r="AP150" s="26">
        <v>0</v>
      </c>
      <c r="AQ150" s="26">
        <v>199.16978659504184</v>
      </c>
      <c r="AR150" s="26">
        <v>5.6725054392474998</v>
      </c>
      <c r="AS150" s="30">
        <v>35.111431576073237</v>
      </c>
      <c r="AT150" s="26">
        <v>198.78136661495245</v>
      </c>
      <c r="AU150" s="26">
        <v>0.45977356556094645</v>
      </c>
      <c r="AV150" s="26">
        <v>0</v>
      </c>
      <c r="AW150" s="26">
        <v>0</v>
      </c>
      <c r="AX150" s="26">
        <v>199.24114018051338</v>
      </c>
      <c r="AY150" s="26">
        <v>13.137798174300913</v>
      </c>
      <c r="AZ150" s="30">
        <v>15.165489493532684</v>
      </c>
      <c r="BA150" s="26">
        <v>198.78136661495245</v>
      </c>
      <c r="BB150" s="26">
        <v>0.84819354565035421</v>
      </c>
      <c r="BC150" s="26">
        <v>0</v>
      </c>
      <c r="BD150" s="26">
        <v>0</v>
      </c>
      <c r="BE150" s="26">
        <v>199.62956016060278</v>
      </c>
      <c r="BF150" s="26">
        <v>18.810303613548413</v>
      </c>
      <c r="BG150" s="26">
        <v>3.198028704260254</v>
      </c>
      <c r="BH150" s="30">
        <v>10.612777138632493</v>
      </c>
      <c r="BI150" s="26">
        <v>1.009950120070094</v>
      </c>
      <c r="BJ150" s="26">
        <v>2.3390935426501831</v>
      </c>
      <c r="BK150" s="26">
        <v>0</v>
      </c>
      <c r="BL150" s="26">
        <v>10.932373420010453</v>
      </c>
      <c r="BM150" s="26">
        <v>14.28141708273073</v>
      </c>
      <c r="BN150" s="26">
        <v>198.78136661495245</v>
      </c>
      <c r="BO150" s="26">
        <v>0</v>
      </c>
      <c r="BP150" s="26">
        <v>0.84819354565035421</v>
      </c>
      <c r="BQ150" s="26">
        <v>0</v>
      </c>
      <c r="BR150" s="26">
        <v>0</v>
      </c>
      <c r="BS150" s="26">
        <v>0</v>
      </c>
      <c r="BT150" s="26">
        <v>0</v>
      </c>
      <c r="BU150" s="26">
        <v>0</v>
      </c>
      <c r="BV150" s="26">
        <v>0</v>
      </c>
      <c r="BW150" s="26">
        <v>0</v>
      </c>
      <c r="BX150" s="26">
        <v>75.839950938893651</v>
      </c>
      <c r="BY150" s="26">
        <v>4.373333333333334</v>
      </c>
      <c r="BZ150" s="26">
        <v>0</v>
      </c>
      <c r="CA150" s="26">
        <v>0</v>
      </c>
      <c r="CB150" s="26">
        <v>199.62956016060278</v>
      </c>
      <c r="CC150" s="26">
        <v>80.213284272226986</v>
      </c>
      <c r="CD150" s="30">
        <v>2.48873440318317</v>
      </c>
      <c r="CE150" s="26">
        <v>14.130402124270704</v>
      </c>
      <c r="CF150" s="26">
        <v>3.9262195957569674</v>
      </c>
      <c r="CG150" s="26">
        <v>0</v>
      </c>
      <c r="CH150" s="26">
        <v>3.9262195957569674</v>
      </c>
      <c r="CI150" s="26">
        <v>0.19630832609463603</v>
      </c>
      <c r="CJ150" s="26">
        <v>0</v>
      </c>
      <c r="CK150" s="26">
        <v>0.19630832609463603</v>
      </c>
      <c r="CL150" s="26"/>
      <c r="CM150" s="26">
        <v>0</v>
      </c>
      <c r="CN150" s="26"/>
      <c r="CO150" s="26">
        <v>0</v>
      </c>
      <c r="CP150" s="26">
        <v>0</v>
      </c>
      <c r="CQ150" s="26">
        <v>0</v>
      </c>
      <c r="CR150" s="26">
        <v>0</v>
      </c>
      <c r="CS150" s="26">
        <v>0</v>
      </c>
      <c r="CT150" s="26">
        <v>0</v>
      </c>
      <c r="CU150" s="26">
        <v>0</v>
      </c>
      <c r="CV150" s="26">
        <v>9999</v>
      </c>
      <c r="CW150" s="30">
        <v>9999</v>
      </c>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row>
    <row r="151" spans="1:131">
      <c r="A151" s="7" t="s">
        <v>1332</v>
      </c>
      <c r="B151" s="7"/>
      <c r="C151" s="26">
        <v>5</v>
      </c>
      <c r="D151" s="26">
        <v>386.52682892371809</v>
      </c>
      <c r="E151" s="26">
        <v>0</v>
      </c>
      <c r="F151" s="26">
        <v>21.866666666666667</v>
      </c>
      <c r="G151" s="26">
        <v>0</v>
      </c>
      <c r="H151" s="26">
        <v>0</v>
      </c>
      <c r="I151" s="26"/>
      <c r="J151" s="26"/>
      <c r="K151" s="26"/>
      <c r="L151" s="26">
        <v>413.28068651502326</v>
      </c>
      <c r="M151" s="26">
        <v>1.0992546922149928E-3</v>
      </c>
      <c r="N151" s="26">
        <v>1.0913207648002923E-3</v>
      </c>
      <c r="O151" s="26">
        <v>0</v>
      </c>
      <c r="P151" s="26">
        <v>0</v>
      </c>
      <c r="Q151" s="26">
        <v>0</v>
      </c>
      <c r="R151" s="26">
        <v>4.3605054392474996</v>
      </c>
      <c r="S151" s="26">
        <v>10.07646484096758</v>
      </c>
      <c r="T151" s="26">
        <v>0</v>
      </c>
      <c r="U151" s="26">
        <v>61.40298065867858</v>
      </c>
      <c r="V151" s="26">
        <v>1.3120000000000001</v>
      </c>
      <c r="W151" s="26">
        <v>3.0613333333333332</v>
      </c>
      <c r="X151" s="26">
        <v>0</v>
      </c>
      <c r="Y151" s="26">
        <v>0</v>
      </c>
      <c r="Z151" s="26">
        <v>0</v>
      </c>
      <c r="AA151" s="26">
        <v>0</v>
      </c>
      <c r="AB151" s="26">
        <v>0</v>
      </c>
      <c r="AC151" s="26">
        <v>0</v>
      </c>
      <c r="AD151" s="26">
        <v>0</v>
      </c>
      <c r="AE151" s="26">
        <v>0</v>
      </c>
      <c r="AF151" s="26">
        <v>0</v>
      </c>
      <c r="AG151" s="26">
        <v>0</v>
      </c>
      <c r="AH151" s="26">
        <v>5.6725054392474998</v>
      </c>
      <c r="AI151" s="26">
        <v>13.137798174300913</v>
      </c>
      <c r="AJ151" s="26">
        <v>0</v>
      </c>
      <c r="AK151" s="26">
        <v>61.40298065867858</v>
      </c>
      <c r="AL151" s="26">
        <v>80.213284272226986</v>
      </c>
      <c r="AM151" s="26">
        <v>198.78136661495245</v>
      </c>
      <c r="AN151" s="26">
        <v>0.38841998008940776</v>
      </c>
      <c r="AO151" s="26">
        <v>0</v>
      </c>
      <c r="AP151" s="26">
        <v>0</v>
      </c>
      <c r="AQ151" s="26">
        <v>199.16978659504184</v>
      </c>
      <c r="AR151" s="26">
        <v>5.6725054392474998</v>
      </c>
      <c r="AS151" s="30">
        <v>35.111431576073237</v>
      </c>
      <c r="AT151" s="26">
        <v>198.78136661495245</v>
      </c>
      <c r="AU151" s="26">
        <v>0.45977356556094645</v>
      </c>
      <c r="AV151" s="26">
        <v>0</v>
      </c>
      <c r="AW151" s="26">
        <v>0</v>
      </c>
      <c r="AX151" s="26">
        <v>199.24114018051338</v>
      </c>
      <c r="AY151" s="26">
        <v>13.137798174300913</v>
      </c>
      <c r="AZ151" s="30">
        <v>15.165489493532684</v>
      </c>
      <c r="BA151" s="26">
        <v>198.78136661495245</v>
      </c>
      <c r="BB151" s="26">
        <v>0.84819354565035421</v>
      </c>
      <c r="BC151" s="26">
        <v>0</v>
      </c>
      <c r="BD151" s="26">
        <v>0</v>
      </c>
      <c r="BE151" s="26">
        <v>199.62956016060278</v>
      </c>
      <c r="BF151" s="26">
        <v>18.810303613548413</v>
      </c>
      <c r="BG151" s="26">
        <v>3.198028704260254</v>
      </c>
      <c r="BH151" s="30">
        <v>10.612777138632493</v>
      </c>
      <c r="BI151" s="26">
        <v>1.009950120070094</v>
      </c>
      <c r="BJ151" s="26">
        <v>2.3390935426501831</v>
      </c>
      <c r="BK151" s="26">
        <v>0</v>
      </c>
      <c r="BL151" s="26">
        <v>10.932373420010453</v>
      </c>
      <c r="BM151" s="26">
        <v>14.28141708273073</v>
      </c>
      <c r="BN151" s="26">
        <v>198.78136661495245</v>
      </c>
      <c r="BO151" s="26">
        <v>0</v>
      </c>
      <c r="BP151" s="26">
        <v>0.84819354565035421</v>
      </c>
      <c r="BQ151" s="26">
        <v>0</v>
      </c>
      <c r="BR151" s="26">
        <v>0</v>
      </c>
      <c r="BS151" s="26">
        <v>0</v>
      </c>
      <c r="BT151" s="26">
        <v>0</v>
      </c>
      <c r="BU151" s="26">
        <v>0</v>
      </c>
      <c r="BV151" s="26">
        <v>0</v>
      </c>
      <c r="BW151" s="26">
        <v>0</v>
      </c>
      <c r="BX151" s="26">
        <v>75.839950938893651</v>
      </c>
      <c r="BY151" s="26">
        <v>4.373333333333334</v>
      </c>
      <c r="BZ151" s="26">
        <v>0</v>
      </c>
      <c r="CA151" s="26">
        <v>0</v>
      </c>
      <c r="CB151" s="26">
        <v>199.62956016060278</v>
      </c>
      <c r="CC151" s="26">
        <v>80.213284272226986</v>
      </c>
      <c r="CD151" s="30">
        <v>2.48873440318317</v>
      </c>
      <c r="CE151" s="26">
        <v>14.130402124270704</v>
      </c>
      <c r="CF151" s="26">
        <v>3.9262195957569674</v>
      </c>
      <c r="CG151" s="26">
        <v>0</v>
      </c>
      <c r="CH151" s="26">
        <v>3.9262195957569674</v>
      </c>
      <c r="CI151" s="26">
        <v>0.19630832609463603</v>
      </c>
      <c r="CJ151" s="26">
        <v>0</v>
      </c>
      <c r="CK151" s="26">
        <v>0.19630832609463603</v>
      </c>
      <c r="CL151" s="26"/>
      <c r="CM151" s="26">
        <v>0</v>
      </c>
      <c r="CN151" s="26"/>
      <c r="CO151" s="26">
        <v>0</v>
      </c>
      <c r="CP151" s="26">
        <v>0</v>
      </c>
      <c r="CQ151" s="26">
        <v>0</v>
      </c>
      <c r="CR151" s="26">
        <v>0</v>
      </c>
      <c r="CS151" s="26">
        <v>0</v>
      </c>
      <c r="CT151" s="26">
        <v>0</v>
      </c>
      <c r="CU151" s="26">
        <v>0</v>
      </c>
      <c r="CV151" s="26">
        <v>9999</v>
      </c>
      <c r="CW151" s="30">
        <v>9999</v>
      </c>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row>
    <row r="152" spans="1:131">
      <c r="A152" s="7" t="s">
        <v>1316</v>
      </c>
      <c r="B152" s="7"/>
      <c r="C152" s="26">
        <v>4</v>
      </c>
      <c r="D152" s="26">
        <v>70.900188627558663</v>
      </c>
      <c r="E152" s="26">
        <v>0</v>
      </c>
      <c r="F152" s="26">
        <v>3.3866666666666667</v>
      </c>
      <c r="G152" s="26">
        <v>0</v>
      </c>
      <c r="H152" s="26">
        <v>0</v>
      </c>
      <c r="I152" s="26"/>
      <c r="J152" s="26"/>
      <c r="K152" s="26"/>
      <c r="L152" s="26">
        <v>75.807619128618981</v>
      </c>
      <c r="M152" s="26">
        <v>2.0163507212368184E-4</v>
      </c>
      <c r="N152" s="26">
        <v>2.0017976059504629E-4</v>
      </c>
      <c r="O152" s="26">
        <v>0</v>
      </c>
      <c r="P152" s="26">
        <v>0</v>
      </c>
      <c r="Q152" s="26">
        <v>0</v>
      </c>
      <c r="R152" s="26">
        <v>0.67534657412735666</v>
      </c>
      <c r="S152" s="26">
        <v>1.560623213174247</v>
      </c>
      <c r="T152" s="26">
        <v>0</v>
      </c>
      <c r="U152" s="26">
        <v>12.245878547391911</v>
      </c>
      <c r="V152" s="26">
        <v>0.20320000000000002</v>
      </c>
      <c r="W152" s="26">
        <v>0.47413333333333335</v>
      </c>
      <c r="X152" s="26">
        <v>0</v>
      </c>
      <c r="Y152" s="26">
        <v>0</v>
      </c>
      <c r="Z152" s="26">
        <v>0</v>
      </c>
      <c r="AA152" s="26">
        <v>0</v>
      </c>
      <c r="AB152" s="26">
        <v>0</v>
      </c>
      <c r="AC152" s="26">
        <v>0</v>
      </c>
      <c r="AD152" s="26">
        <v>0</v>
      </c>
      <c r="AE152" s="26">
        <v>0</v>
      </c>
      <c r="AF152" s="26">
        <v>0</v>
      </c>
      <c r="AG152" s="26">
        <v>0</v>
      </c>
      <c r="AH152" s="26">
        <v>0.87854657412735671</v>
      </c>
      <c r="AI152" s="26">
        <v>2.0347565465075803</v>
      </c>
      <c r="AJ152" s="26">
        <v>0</v>
      </c>
      <c r="AK152" s="26">
        <v>12.245878547391911</v>
      </c>
      <c r="AL152" s="26">
        <v>15.159181668026848</v>
      </c>
      <c r="AM152" s="26">
        <v>36.462246172892293</v>
      </c>
      <c r="AN152" s="26">
        <v>7.1247447251550244E-2</v>
      </c>
      <c r="AO152" s="26">
        <v>0</v>
      </c>
      <c r="AP152" s="26">
        <v>0</v>
      </c>
      <c r="AQ152" s="26">
        <v>36.533493620143844</v>
      </c>
      <c r="AR152" s="26">
        <v>0.87854657412735671</v>
      </c>
      <c r="AS152" s="30">
        <v>41.584014662434775</v>
      </c>
      <c r="AT152" s="26">
        <v>36.462246172892293</v>
      </c>
      <c r="AU152" s="26">
        <v>8.4335756498469625E-2</v>
      </c>
      <c r="AV152" s="26">
        <v>0</v>
      </c>
      <c r="AW152" s="26">
        <v>0</v>
      </c>
      <c r="AX152" s="26">
        <v>36.546581929390761</v>
      </c>
      <c r="AY152" s="26">
        <v>2.0347565465075803</v>
      </c>
      <c r="AZ152" s="30">
        <v>17.961157069192705</v>
      </c>
      <c r="BA152" s="26">
        <v>36.462246172892293</v>
      </c>
      <c r="BB152" s="26">
        <v>0.15558320375001988</v>
      </c>
      <c r="BC152" s="26">
        <v>0</v>
      </c>
      <c r="BD152" s="26">
        <v>0</v>
      </c>
      <c r="BE152" s="26">
        <v>36.617829376642312</v>
      </c>
      <c r="BF152" s="26">
        <v>2.9133031206349371</v>
      </c>
      <c r="BG152" s="26">
        <v>2.6767475450750196</v>
      </c>
      <c r="BH152" s="30">
        <v>12.569179333684191</v>
      </c>
      <c r="BI152" s="26">
        <v>0.85275062602654028</v>
      </c>
      <c r="BJ152" s="26">
        <v>1.9750118775085101</v>
      </c>
      <c r="BK152" s="26">
        <v>0</v>
      </c>
      <c r="BL152" s="26">
        <v>11.886314175097597</v>
      </c>
      <c r="BM152" s="26">
        <v>14.714076678632647</v>
      </c>
      <c r="BN152" s="26">
        <v>36.462246172892293</v>
      </c>
      <c r="BO152" s="26">
        <v>0</v>
      </c>
      <c r="BP152" s="26">
        <v>0.15558320375001988</v>
      </c>
      <c r="BQ152" s="26">
        <v>0</v>
      </c>
      <c r="BR152" s="26">
        <v>0</v>
      </c>
      <c r="BS152" s="26">
        <v>0</v>
      </c>
      <c r="BT152" s="26">
        <v>0</v>
      </c>
      <c r="BU152" s="26">
        <v>0</v>
      </c>
      <c r="BV152" s="26">
        <v>0</v>
      </c>
      <c r="BW152" s="26">
        <v>0</v>
      </c>
      <c r="BX152" s="26">
        <v>14.481848334693515</v>
      </c>
      <c r="BY152" s="26">
        <v>0.67733333333333334</v>
      </c>
      <c r="BZ152" s="26">
        <v>0</v>
      </c>
      <c r="CA152" s="26">
        <v>0</v>
      </c>
      <c r="CB152" s="26">
        <v>36.617829376642312</v>
      </c>
      <c r="CC152" s="26">
        <v>15.159181668026848</v>
      </c>
      <c r="CD152" s="30">
        <v>2.4155544922240231</v>
      </c>
      <c r="CE152" s="26">
        <v>14.563061720172616</v>
      </c>
      <c r="CF152" s="26">
        <v>0.72018211700208545</v>
      </c>
      <c r="CG152" s="26">
        <v>0</v>
      </c>
      <c r="CH152" s="26">
        <v>0.72018211700208545</v>
      </c>
      <c r="CI152" s="26">
        <v>3.6008619086094006E-2</v>
      </c>
      <c r="CJ152" s="26">
        <v>0</v>
      </c>
      <c r="CK152" s="26">
        <v>3.6008619086094006E-2</v>
      </c>
      <c r="CL152" s="26"/>
      <c r="CM152" s="26">
        <v>0</v>
      </c>
      <c r="CN152" s="26"/>
      <c r="CO152" s="26">
        <v>0</v>
      </c>
      <c r="CP152" s="26">
        <v>0</v>
      </c>
      <c r="CQ152" s="26">
        <v>0</v>
      </c>
      <c r="CR152" s="26">
        <v>0</v>
      </c>
      <c r="CS152" s="26">
        <v>0</v>
      </c>
      <c r="CT152" s="26">
        <v>0</v>
      </c>
      <c r="CU152" s="26">
        <v>0</v>
      </c>
      <c r="CV152" s="26">
        <v>9999</v>
      </c>
      <c r="CW152" s="30">
        <v>9999</v>
      </c>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row>
    <row r="153" spans="1:131">
      <c r="A153" s="7" t="s">
        <v>1329</v>
      </c>
      <c r="B153" s="7"/>
      <c r="C153" s="26">
        <v>4</v>
      </c>
      <c r="D153" s="26">
        <v>70.900188627558663</v>
      </c>
      <c r="E153" s="26">
        <v>0</v>
      </c>
      <c r="F153" s="26">
        <v>3.3866666666666667</v>
      </c>
      <c r="G153" s="26">
        <v>0</v>
      </c>
      <c r="H153" s="26">
        <v>0</v>
      </c>
      <c r="I153" s="26"/>
      <c r="J153" s="26"/>
      <c r="K153" s="26"/>
      <c r="L153" s="26">
        <v>75.807619128618981</v>
      </c>
      <c r="M153" s="26">
        <v>2.0163507212368184E-4</v>
      </c>
      <c r="N153" s="26">
        <v>2.0017976059504629E-4</v>
      </c>
      <c r="O153" s="26">
        <v>0</v>
      </c>
      <c r="P153" s="26">
        <v>0</v>
      </c>
      <c r="Q153" s="26">
        <v>0</v>
      </c>
      <c r="R153" s="26">
        <v>0.67534657412735666</v>
      </c>
      <c r="S153" s="26">
        <v>1.560623213174247</v>
      </c>
      <c r="T153" s="26">
        <v>0</v>
      </c>
      <c r="U153" s="26">
        <v>12.245878547391911</v>
      </c>
      <c r="V153" s="26">
        <v>0.20320000000000002</v>
      </c>
      <c r="W153" s="26">
        <v>0.47413333333333335</v>
      </c>
      <c r="X153" s="26">
        <v>0</v>
      </c>
      <c r="Y153" s="26">
        <v>0</v>
      </c>
      <c r="Z153" s="26">
        <v>0</v>
      </c>
      <c r="AA153" s="26">
        <v>0</v>
      </c>
      <c r="AB153" s="26">
        <v>0</v>
      </c>
      <c r="AC153" s="26">
        <v>0</v>
      </c>
      <c r="AD153" s="26">
        <v>0</v>
      </c>
      <c r="AE153" s="26">
        <v>0</v>
      </c>
      <c r="AF153" s="26">
        <v>0</v>
      </c>
      <c r="AG153" s="26">
        <v>0</v>
      </c>
      <c r="AH153" s="26">
        <v>0.87854657412735671</v>
      </c>
      <c r="AI153" s="26">
        <v>2.0347565465075803</v>
      </c>
      <c r="AJ153" s="26">
        <v>0</v>
      </c>
      <c r="AK153" s="26">
        <v>12.245878547391911</v>
      </c>
      <c r="AL153" s="26">
        <v>15.159181668026848</v>
      </c>
      <c r="AM153" s="26">
        <v>36.462246172892293</v>
      </c>
      <c r="AN153" s="26">
        <v>7.1247447251550244E-2</v>
      </c>
      <c r="AO153" s="26">
        <v>0</v>
      </c>
      <c r="AP153" s="26">
        <v>0</v>
      </c>
      <c r="AQ153" s="26">
        <v>36.533493620143844</v>
      </c>
      <c r="AR153" s="26">
        <v>0.87854657412735671</v>
      </c>
      <c r="AS153" s="30">
        <v>41.584014662434775</v>
      </c>
      <c r="AT153" s="26">
        <v>36.462246172892293</v>
      </c>
      <c r="AU153" s="26">
        <v>8.4335756498469625E-2</v>
      </c>
      <c r="AV153" s="26">
        <v>0</v>
      </c>
      <c r="AW153" s="26">
        <v>0</v>
      </c>
      <c r="AX153" s="26">
        <v>36.546581929390761</v>
      </c>
      <c r="AY153" s="26">
        <v>2.0347565465075803</v>
      </c>
      <c r="AZ153" s="30">
        <v>17.961157069192705</v>
      </c>
      <c r="BA153" s="26">
        <v>36.462246172892293</v>
      </c>
      <c r="BB153" s="26">
        <v>0.15558320375001988</v>
      </c>
      <c r="BC153" s="26">
        <v>0</v>
      </c>
      <c r="BD153" s="26">
        <v>0</v>
      </c>
      <c r="BE153" s="26">
        <v>36.617829376642312</v>
      </c>
      <c r="BF153" s="26">
        <v>2.9133031206349371</v>
      </c>
      <c r="BG153" s="26">
        <v>2.6767475450750196</v>
      </c>
      <c r="BH153" s="30">
        <v>12.569179333684191</v>
      </c>
      <c r="BI153" s="26">
        <v>0.85275062602654028</v>
      </c>
      <c r="BJ153" s="26">
        <v>1.9750118775085101</v>
      </c>
      <c r="BK153" s="26">
        <v>0</v>
      </c>
      <c r="BL153" s="26">
        <v>11.886314175097597</v>
      </c>
      <c r="BM153" s="26">
        <v>14.714076678632647</v>
      </c>
      <c r="BN153" s="26">
        <v>36.462246172892293</v>
      </c>
      <c r="BO153" s="26">
        <v>0</v>
      </c>
      <c r="BP153" s="26">
        <v>0.15558320375001988</v>
      </c>
      <c r="BQ153" s="26">
        <v>0</v>
      </c>
      <c r="BR153" s="26">
        <v>0</v>
      </c>
      <c r="BS153" s="26">
        <v>0</v>
      </c>
      <c r="BT153" s="26">
        <v>0</v>
      </c>
      <c r="BU153" s="26">
        <v>0</v>
      </c>
      <c r="BV153" s="26">
        <v>0</v>
      </c>
      <c r="BW153" s="26">
        <v>0</v>
      </c>
      <c r="BX153" s="26">
        <v>14.481848334693515</v>
      </c>
      <c r="BY153" s="26">
        <v>0.67733333333333334</v>
      </c>
      <c r="BZ153" s="26">
        <v>0</v>
      </c>
      <c r="CA153" s="26">
        <v>0</v>
      </c>
      <c r="CB153" s="26">
        <v>36.617829376642312</v>
      </c>
      <c r="CC153" s="26">
        <v>15.159181668026848</v>
      </c>
      <c r="CD153" s="30">
        <v>2.4155544922240231</v>
      </c>
      <c r="CE153" s="26">
        <v>14.563061720172616</v>
      </c>
      <c r="CF153" s="26">
        <v>0.72018211700208545</v>
      </c>
      <c r="CG153" s="26">
        <v>0</v>
      </c>
      <c r="CH153" s="26">
        <v>0.72018211700208545</v>
      </c>
      <c r="CI153" s="26">
        <v>3.6008619086094006E-2</v>
      </c>
      <c r="CJ153" s="26">
        <v>0</v>
      </c>
      <c r="CK153" s="26">
        <v>3.6008619086094006E-2</v>
      </c>
      <c r="CL153" s="26"/>
      <c r="CM153" s="26">
        <v>0</v>
      </c>
      <c r="CN153" s="26"/>
      <c r="CO153" s="26">
        <v>0</v>
      </c>
      <c r="CP153" s="26">
        <v>0</v>
      </c>
      <c r="CQ153" s="26">
        <v>0</v>
      </c>
      <c r="CR153" s="26">
        <v>0</v>
      </c>
      <c r="CS153" s="26">
        <v>0</v>
      </c>
      <c r="CT153" s="26">
        <v>0</v>
      </c>
      <c r="CU153" s="26">
        <v>0</v>
      </c>
      <c r="CV153" s="26">
        <v>9999</v>
      </c>
      <c r="CW153" s="30">
        <v>9999</v>
      </c>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row>
    <row r="154" spans="1:131">
      <c r="A154" s="7" t="s">
        <v>1291</v>
      </c>
      <c r="B154" s="7"/>
      <c r="C154" s="26">
        <v>4</v>
      </c>
      <c r="D154" s="26">
        <v>63.857991001034001</v>
      </c>
      <c r="E154" s="26">
        <v>0</v>
      </c>
      <c r="F154" s="26">
        <v>3.3866666666666667</v>
      </c>
      <c r="G154" s="26">
        <v>0</v>
      </c>
      <c r="H154" s="26">
        <v>0</v>
      </c>
      <c r="I154" s="26"/>
      <c r="J154" s="26"/>
      <c r="K154" s="26"/>
      <c r="L154" s="26">
        <v>68.27798844872909</v>
      </c>
      <c r="M154" s="26">
        <v>1.8160756509132974E-4</v>
      </c>
      <c r="N154" s="26">
        <v>1.8029680312724682E-4</v>
      </c>
      <c r="O154" s="26">
        <v>0</v>
      </c>
      <c r="P154" s="26">
        <v>0</v>
      </c>
      <c r="Q154" s="26">
        <v>0</v>
      </c>
      <c r="R154" s="26">
        <v>0.67534657412735666</v>
      </c>
      <c r="S154" s="26">
        <v>1.560623213174247</v>
      </c>
      <c r="T154" s="26">
        <v>0</v>
      </c>
      <c r="U154" s="26">
        <v>12.245878547391911</v>
      </c>
      <c r="V154" s="26">
        <v>0.20320000000000002</v>
      </c>
      <c r="W154" s="26">
        <v>0.47413333333333335</v>
      </c>
      <c r="X154" s="26">
        <v>0</v>
      </c>
      <c r="Y154" s="26">
        <v>0</v>
      </c>
      <c r="Z154" s="26">
        <v>0</v>
      </c>
      <c r="AA154" s="26">
        <v>0</v>
      </c>
      <c r="AB154" s="26">
        <v>0</v>
      </c>
      <c r="AC154" s="26">
        <v>0</v>
      </c>
      <c r="AD154" s="26">
        <v>0</v>
      </c>
      <c r="AE154" s="26">
        <v>0</v>
      </c>
      <c r="AF154" s="26">
        <v>0</v>
      </c>
      <c r="AG154" s="26">
        <v>0</v>
      </c>
      <c r="AH154" s="26">
        <v>0.87854657412735671</v>
      </c>
      <c r="AI154" s="26">
        <v>2.0347565465075803</v>
      </c>
      <c r="AJ154" s="26">
        <v>0</v>
      </c>
      <c r="AK154" s="26">
        <v>12.245878547391911</v>
      </c>
      <c r="AL154" s="26">
        <v>15.159181668026848</v>
      </c>
      <c r="AM154" s="26">
        <v>32.840614856714176</v>
      </c>
      <c r="AN154" s="26">
        <v>6.4170757983959437E-2</v>
      </c>
      <c r="AO154" s="26">
        <v>0</v>
      </c>
      <c r="AP154" s="26">
        <v>0</v>
      </c>
      <c r="AQ154" s="26">
        <v>32.904785614698135</v>
      </c>
      <c r="AR154" s="26">
        <v>0.87854657412735671</v>
      </c>
      <c r="AS154" s="30">
        <v>37.453661062171712</v>
      </c>
      <c r="AT154" s="26">
        <v>32.840614856714176</v>
      </c>
      <c r="AU154" s="26">
        <v>7.5959064197063914E-2</v>
      </c>
      <c r="AV154" s="26">
        <v>0</v>
      </c>
      <c r="AW154" s="26">
        <v>0</v>
      </c>
      <c r="AX154" s="26">
        <v>32.91657392091124</v>
      </c>
      <c r="AY154" s="26">
        <v>2.0347565465075803</v>
      </c>
      <c r="AZ154" s="30">
        <v>16.177155924333384</v>
      </c>
      <c r="BA154" s="26">
        <v>32.840614856714176</v>
      </c>
      <c r="BB154" s="26">
        <v>0.14012982218102335</v>
      </c>
      <c r="BC154" s="26">
        <v>0</v>
      </c>
      <c r="BD154" s="26">
        <v>0</v>
      </c>
      <c r="BE154" s="26">
        <v>32.980744678895199</v>
      </c>
      <c r="BF154" s="26">
        <v>2.9133031206349371</v>
      </c>
      <c r="BG154" s="26">
        <v>2.9885904652578277</v>
      </c>
      <c r="BH154" s="30">
        <v>11.320739144956272</v>
      </c>
      <c r="BI154" s="26">
        <v>0.94679114218565785</v>
      </c>
      <c r="BJ154" s="26">
        <v>2.1928142815322014</v>
      </c>
      <c r="BK154" s="26">
        <v>0</v>
      </c>
      <c r="BL154" s="26">
        <v>13.197125432386342</v>
      </c>
      <c r="BM154" s="26">
        <v>16.3367308561042</v>
      </c>
      <c r="BN154" s="26">
        <v>32.840614856714176</v>
      </c>
      <c r="BO154" s="26">
        <v>0</v>
      </c>
      <c r="BP154" s="26">
        <v>0.14012982218102335</v>
      </c>
      <c r="BQ154" s="26">
        <v>0</v>
      </c>
      <c r="BR154" s="26">
        <v>0</v>
      </c>
      <c r="BS154" s="26">
        <v>0</v>
      </c>
      <c r="BT154" s="26">
        <v>0</v>
      </c>
      <c r="BU154" s="26">
        <v>0</v>
      </c>
      <c r="BV154" s="26">
        <v>0</v>
      </c>
      <c r="BW154" s="26">
        <v>0</v>
      </c>
      <c r="BX154" s="26">
        <v>14.481848334693515</v>
      </c>
      <c r="BY154" s="26">
        <v>0.67733333333333334</v>
      </c>
      <c r="BZ154" s="26">
        <v>0</v>
      </c>
      <c r="CA154" s="26">
        <v>0</v>
      </c>
      <c r="CB154" s="26">
        <v>32.980744678895199</v>
      </c>
      <c r="CC154" s="26">
        <v>15.159181668026848</v>
      </c>
      <c r="CD154" s="30">
        <v>2.1756283024470173</v>
      </c>
      <c r="CE154" s="26">
        <v>16.185715897644169</v>
      </c>
      <c r="CF154" s="26">
        <v>0.64864965858142765</v>
      </c>
      <c r="CG154" s="26">
        <v>0</v>
      </c>
      <c r="CH154" s="26">
        <v>0.64864965858142765</v>
      </c>
      <c r="CI154" s="26">
        <v>3.2432044513146317E-2</v>
      </c>
      <c r="CJ154" s="26">
        <v>0</v>
      </c>
      <c r="CK154" s="26">
        <v>3.2432044513146317E-2</v>
      </c>
      <c r="CL154" s="26"/>
      <c r="CM154" s="26">
        <v>0</v>
      </c>
      <c r="CN154" s="26"/>
      <c r="CO154" s="26">
        <v>0</v>
      </c>
      <c r="CP154" s="26">
        <v>0</v>
      </c>
      <c r="CQ154" s="26">
        <v>0</v>
      </c>
      <c r="CR154" s="26">
        <v>0</v>
      </c>
      <c r="CS154" s="26">
        <v>0</v>
      </c>
      <c r="CT154" s="26">
        <v>0</v>
      </c>
      <c r="CU154" s="26">
        <v>0</v>
      </c>
      <c r="CV154" s="26">
        <v>9999</v>
      </c>
      <c r="CW154" s="30">
        <v>9999</v>
      </c>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row>
    <row r="155" spans="1:131">
      <c r="A155" s="7" t="s">
        <v>1303</v>
      </c>
      <c r="B155" s="7"/>
      <c r="C155" s="26">
        <v>5</v>
      </c>
      <c r="D155" s="26">
        <v>67.30829706270498</v>
      </c>
      <c r="E155" s="26">
        <v>0</v>
      </c>
      <c r="F155" s="26">
        <v>5.2</v>
      </c>
      <c r="G155" s="26">
        <v>0</v>
      </c>
      <c r="H155" s="26">
        <v>0</v>
      </c>
      <c r="I155" s="26"/>
      <c r="J155" s="26"/>
      <c r="K155" s="26"/>
      <c r="L155" s="26">
        <v>71.967111042948147</v>
      </c>
      <c r="M155" s="26">
        <v>1.9141998907863894E-4</v>
      </c>
      <c r="N155" s="26">
        <v>1.9003840543853416E-4</v>
      </c>
      <c r="O155" s="26">
        <v>0</v>
      </c>
      <c r="P155" s="26">
        <v>0</v>
      </c>
      <c r="Q155" s="26">
        <v>0</v>
      </c>
      <c r="R155" s="26">
        <v>1.0369494642112955</v>
      </c>
      <c r="S155" s="26">
        <v>2.3962324926691196</v>
      </c>
      <c r="T155" s="26">
        <v>0</v>
      </c>
      <c r="U155" s="26">
        <v>14.601928327368688</v>
      </c>
      <c r="V155" s="26">
        <v>0.312</v>
      </c>
      <c r="W155" s="26">
        <v>0.72799999999999998</v>
      </c>
      <c r="X155" s="26">
        <v>0</v>
      </c>
      <c r="Y155" s="26">
        <v>0</v>
      </c>
      <c r="Z155" s="26">
        <v>0</v>
      </c>
      <c r="AA155" s="26">
        <v>0</v>
      </c>
      <c r="AB155" s="26">
        <v>0</v>
      </c>
      <c r="AC155" s="26">
        <v>0</v>
      </c>
      <c r="AD155" s="26">
        <v>0</v>
      </c>
      <c r="AE155" s="26">
        <v>0</v>
      </c>
      <c r="AF155" s="26">
        <v>0</v>
      </c>
      <c r="AG155" s="26">
        <v>0</v>
      </c>
      <c r="AH155" s="26">
        <v>1.3489494642112956</v>
      </c>
      <c r="AI155" s="26">
        <v>3.1242324926691198</v>
      </c>
      <c r="AJ155" s="26">
        <v>0</v>
      </c>
      <c r="AK155" s="26">
        <v>14.601928327368688</v>
      </c>
      <c r="AL155" s="26">
        <v>19.075110284249103</v>
      </c>
      <c r="AM155" s="26">
        <v>34.615023520890425</v>
      </c>
      <c r="AN155" s="26">
        <v>6.7637963133750159E-2</v>
      </c>
      <c r="AO155" s="26">
        <v>0</v>
      </c>
      <c r="AP155" s="26">
        <v>0</v>
      </c>
      <c r="AQ155" s="26">
        <v>34.682661484024173</v>
      </c>
      <c r="AR155" s="26">
        <v>1.3489494642112956</v>
      </c>
      <c r="AS155" s="30">
        <v>25.710867904382503</v>
      </c>
      <c r="AT155" s="26">
        <v>34.615023520890425</v>
      </c>
      <c r="AU155" s="26">
        <v>8.0063202387595789E-2</v>
      </c>
      <c r="AV155" s="26">
        <v>0</v>
      </c>
      <c r="AW155" s="26">
        <v>0</v>
      </c>
      <c r="AX155" s="26">
        <v>34.695086723278024</v>
      </c>
      <c r="AY155" s="26">
        <v>3.1242324926691198</v>
      </c>
      <c r="AZ155" s="30">
        <v>11.105155203618356</v>
      </c>
      <c r="BA155" s="26">
        <v>34.615023520890425</v>
      </c>
      <c r="BB155" s="26">
        <v>0.14770116552134593</v>
      </c>
      <c r="BC155" s="26">
        <v>0</v>
      </c>
      <c r="BD155" s="26">
        <v>0</v>
      </c>
      <c r="BE155" s="26">
        <v>34.762724686411772</v>
      </c>
      <c r="BF155" s="26">
        <v>4.4731819568804152</v>
      </c>
      <c r="BG155" s="26">
        <v>4.4225263877984986</v>
      </c>
      <c r="BH155" s="30">
        <v>7.771363879562637</v>
      </c>
      <c r="BI155" s="26">
        <v>1.3792142166481924</v>
      </c>
      <c r="BJ155" s="26">
        <v>3.1943271296103366</v>
      </c>
      <c r="BK155" s="26">
        <v>0</v>
      </c>
      <c r="BL155" s="26">
        <v>14.929534184855354</v>
      </c>
      <c r="BM155" s="26">
        <v>19.503075531113883</v>
      </c>
      <c r="BN155" s="26">
        <v>34.615023520890425</v>
      </c>
      <c r="BO155" s="26">
        <v>0</v>
      </c>
      <c r="BP155" s="26">
        <v>0.14770116552134593</v>
      </c>
      <c r="BQ155" s="26">
        <v>0</v>
      </c>
      <c r="BR155" s="26">
        <v>0</v>
      </c>
      <c r="BS155" s="26">
        <v>0</v>
      </c>
      <c r="BT155" s="26">
        <v>0</v>
      </c>
      <c r="BU155" s="26">
        <v>0</v>
      </c>
      <c r="BV155" s="26">
        <v>0</v>
      </c>
      <c r="BW155" s="26">
        <v>0</v>
      </c>
      <c r="BX155" s="26">
        <v>18.035110284249104</v>
      </c>
      <c r="BY155" s="26">
        <v>1.04</v>
      </c>
      <c r="BZ155" s="26">
        <v>0</v>
      </c>
      <c r="CA155" s="26">
        <v>0</v>
      </c>
      <c r="CB155" s="26">
        <v>34.762724686411772</v>
      </c>
      <c r="CC155" s="26">
        <v>19.075110284249103</v>
      </c>
      <c r="CD155" s="30">
        <v>1.8224127760412692</v>
      </c>
      <c r="CE155" s="26">
        <v>19.352060572653851</v>
      </c>
      <c r="CF155" s="26">
        <v>0.68369679698683283</v>
      </c>
      <c r="CG155" s="26">
        <v>0</v>
      </c>
      <c r="CH155" s="26">
        <v>0.68369679698683283</v>
      </c>
      <c r="CI155" s="26">
        <v>3.4184377745400361E-2</v>
      </c>
      <c r="CJ155" s="26">
        <v>0</v>
      </c>
      <c r="CK155" s="26">
        <v>3.4184377745400361E-2</v>
      </c>
      <c r="CL155" s="26"/>
      <c r="CM155" s="26">
        <v>0</v>
      </c>
      <c r="CN155" s="26"/>
      <c r="CO155" s="26">
        <v>0</v>
      </c>
      <c r="CP155" s="26">
        <v>0</v>
      </c>
      <c r="CQ155" s="26">
        <v>0</v>
      </c>
      <c r="CR155" s="26">
        <v>0</v>
      </c>
      <c r="CS155" s="26">
        <v>0</v>
      </c>
      <c r="CT155" s="26">
        <v>0</v>
      </c>
      <c r="CU155" s="26">
        <v>0</v>
      </c>
      <c r="CV155" s="26">
        <v>9999</v>
      </c>
      <c r="CW155" s="30">
        <v>9999</v>
      </c>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row>
    <row r="156" spans="1:131">
      <c r="A156" s="7" t="s">
        <v>1297</v>
      </c>
      <c r="B156" s="7"/>
      <c r="C156" s="26">
        <v>5</v>
      </c>
      <c r="D156" s="26">
        <v>281.32055891100703</v>
      </c>
      <c r="E156" s="26">
        <v>0</v>
      </c>
      <c r="F156" s="26">
        <v>21.866666666666667</v>
      </c>
      <c r="G156" s="26">
        <v>0</v>
      </c>
      <c r="H156" s="26">
        <v>0</v>
      </c>
      <c r="I156" s="26"/>
      <c r="J156" s="26"/>
      <c r="K156" s="26"/>
      <c r="L156" s="26">
        <v>300.79245479872253</v>
      </c>
      <c r="M156" s="26">
        <v>8.0005557508272865E-4</v>
      </c>
      <c r="N156" s="26">
        <v>7.9428113272156625E-4</v>
      </c>
      <c r="O156" s="26">
        <v>0</v>
      </c>
      <c r="P156" s="26">
        <v>0</v>
      </c>
      <c r="Q156" s="26">
        <v>0</v>
      </c>
      <c r="R156" s="26">
        <v>4.3605054392474996</v>
      </c>
      <c r="S156" s="26">
        <v>10.07646484096758</v>
      </c>
      <c r="T156" s="26">
        <v>0</v>
      </c>
      <c r="U156" s="26">
        <v>61.40298065867858</v>
      </c>
      <c r="V156" s="26">
        <v>1.3120000000000001</v>
      </c>
      <c r="W156" s="26">
        <v>3.0613333333333332</v>
      </c>
      <c r="X156" s="26">
        <v>0</v>
      </c>
      <c r="Y156" s="26">
        <v>0</v>
      </c>
      <c r="Z156" s="26">
        <v>0</v>
      </c>
      <c r="AA156" s="26">
        <v>0</v>
      </c>
      <c r="AB156" s="26">
        <v>0</v>
      </c>
      <c r="AC156" s="26">
        <v>0</v>
      </c>
      <c r="AD156" s="26">
        <v>0</v>
      </c>
      <c r="AE156" s="26">
        <v>0</v>
      </c>
      <c r="AF156" s="26">
        <v>0</v>
      </c>
      <c r="AG156" s="26">
        <v>0</v>
      </c>
      <c r="AH156" s="26">
        <v>5.6725054392474998</v>
      </c>
      <c r="AI156" s="26">
        <v>13.137798174300913</v>
      </c>
      <c r="AJ156" s="26">
        <v>0</v>
      </c>
      <c r="AK156" s="26">
        <v>61.40298065867858</v>
      </c>
      <c r="AL156" s="26">
        <v>80.213284272226986</v>
      </c>
      <c r="AM156" s="26">
        <v>144.67633543814983</v>
      </c>
      <c r="AN156" s="26">
        <v>0.28269842534661205</v>
      </c>
      <c r="AO156" s="26">
        <v>0</v>
      </c>
      <c r="AP156" s="26">
        <v>0</v>
      </c>
      <c r="AQ156" s="26">
        <v>144.95903386349644</v>
      </c>
      <c r="AR156" s="26">
        <v>5.6725054392474998</v>
      </c>
      <c r="AS156" s="30">
        <v>25.554675163559885</v>
      </c>
      <c r="AT156" s="26">
        <v>144.67633543814983</v>
      </c>
      <c r="AU156" s="26">
        <v>0.33463073390343701</v>
      </c>
      <c r="AV156" s="26">
        <v>0</v>
      </c>
      <c r="AW156" s="26">
        <v>0</v>
      </c>
      <c r="AX156" s="26">
        <v>145.01096617205326</v>
      </c>
      <c r="AY156" s="26">
        <v>13.137798174300913</v>
      </c>
      <c r="AZ156" s="30">
        <v>11.03769172339029</v>
      </c>
      <c r="BA156" s="26">
        <v>144.67633543814983</v>
      </c>
      <c r="BB156" s="26">
        <v>0.61732915925004905</v>
      </c>
      <c r="BC156" s="26">
        <v>0</v>
      </c>
      <c r="BD156" s="26">
        <v>0</v>
      </c>
      <c r="BE156" s="26">
        <v>145.29366459739987</v>
      </c>
      <c r="BF156" s="26">
        <v>18.810303613548413</v>
      </c>
      <c r="BG156" s="26">
        <v>4.4504803317858732</v>
      </c>
      <c r="BH156" s="30">
        <v>7.7241530802697866</v>
      </c>
      <c r="BI156" s="26">
        <v>1.3876441124422489</v>
      </c>
      <c r="BJ156" s="26">
        <v>3.2138511778036505</v>
      </c>
      <c r="BK156" s="26">
        <v>0</v>
      </c>
      <c r="BL156" s="26">
        <v>15.020784997030123</v>
      </c>
      <c r="BM156" s="26">
        <v>19.622280287276023</v>
      </c>
      <c r="BN156" s="26">
        <v>144.67633543814983</v>
      </c>
      <c r="BO156" s="26">
        <v>0</v>
      </c>
      <c r="BP156" s="26">
        <v>0.61732915925004905</v>
      </c>
      <c r="BQ156" s="26">
        <v>0</v>
      </c>
      <c r="BR156" s="26">
        <v>0</v>
      </c>
      <c r="BS156" s="26">
        <v>0</v>
      </c>
      <c r="BT156" s="26">
        <v>0</v>
      </c>
      <c r="BU156" s="26">
        <v>0</v>
      </c>
      <c r="BV156" s="26">
        <v>0</v>
      </c>
      <c r="BW156" s="26">
        <v>0</v>
      </c>
      <c r="BX156" s="26">
        <v>75.839950938893651</v>
      </c>
      <c r="BY156" s="26">
        <v>4.373333333333334</v>
      </c>
      <c r="BZ156" s="26">
        <v>0</v>
      </c>
      <c r="CA156" s="26">
        <v>0</v>
      </c>
      <c r="CB156" s="26">
        <v>145.29366459739987</v>
      </c>
      <c r="CC156" s="26">
        <v>80.213284272226986</v>
      </c>
      <c r="CD156" s="30">
        <v>1.8113416738342714</v>
      </c>
      <c r="CE156" s="26">
        <v>19.471265328815996</v>
      </c>
      <c r="CF156" s="26">
        <v>2.8575669486158244</v>
      </c>
      <c r="CG156" s="26">
        <v>0</v>
      </c>
      <c r="CH156" s="26">
        <v>2.8575669486158244</v>
      </c>
      <c r="CI156" s="26">
        <v>0.14287641602939319</v>
      </c>
      <c r="CJ156" s="26">
        <v>0</v>
      </c>
      <c r="CK156" s="26">
        <v>0.14287641602939319</v>
      </c>
      <c r="CL156" s="26"/>
      <c r="CM156" s="26">
        <v>0</v>
      </c>
      <c r="CN156" s="26"/>
      <c r="CO156" s="26">
        <v>0</v>
      </c>
      <c r="CP156" s="26">
        <v>0</v>
      </c>
      <c r="CQ156" s="26">
        <v>0</v>
      </c>
      <c r="CR156" s="26">
        <v>0</v>
      </c>
      <c r="CS156" s="26">
        <v>0</v>
      </c>
      <c r="CT156" s="26">
        <v>0</v>
      </c>
      <c r="CU156" s="26">
        <v>0</v>
      </c>
      <c r="CV156" s="26">
        <v>9999</v>
      </c>
      <c r="CW156" s="30">
        <v>9999</v>
      </c>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row>
    <row r="157" spans="1:131">
      <c r="A157" s="7" t="s">
        <v>1326</v>
      </c>
      <c r="B157" s="7"/>
      <c r="C157" s="26">
        <v>8</v>
      </c>
      <c r="D157" s="26">
        <v>15.570471268333081</v>
      </c>
      <c r="E157" s="26">
        <v>0</v>
      </c>
      <c r="F157" s="26">
        <v>2.0750000000000002</v>
      </c>
      <c r="G157" s="26">
        <v>0</v>
      </c>
      <c r="H157" s="26">
        <v>0</v>
      </c>
      <c r="I157" s="26"/>
      <c r="J157" s="26"/>
      <c r="K157" s="26"/>
      <c r="L157" s="26">
        <v>16.648197676361288</v>
      </c>
      <c r="M157" s="26">
        <v>4.4281308103173689E-5</v>
      </c>
      <c r="N157" s="26">
        <v>4.3961705478953232E-5</v>
      </c>
      <c r="O157" s="26">
        <v>0</v>
      </c>
      <c r="P157" s="26">
        <v>0</v>
      </c>
      <c r="Q157" s="26">
        <v>0</v>
      </c>
      <c r="R157" s="26">
        <v>0.41378271889200746</v>
      </c>
      <c r="S157" s="26">
        <v>0.9561889273631583</v>
      </c>
      <c r="T157" s="26">
        <v>0</v>
      </c>
      <c r="U157" s="26">
        <v>3.3187411273735563</v>
      </c>
      <c r="V157" s="26">
        <v>0.12450000000000001</v>
      </c>
      <c r="W157" s="26">
        <v>0.29050000000000004</v>
      </c>
      <c r="X157" s="26">
        <v>0</v>
      </c>
      <c r="Y157" s="26">
        <v>0</v>
      </c>
      <c r="Z157" s="26">
        <v>0</v>
      </c>
      <c r="AA157" s="26">
        <v>0</v>
      </c>
      <c r="AB157" s="26">
        <v>0</v>
      </c>
      <c r="AC157" s="26">
        <v>0</v>
      </c>
      <c r="AD157" s="26">
        <v>0</v>
      </c>
      <c r="AE157" s="26">
        <v>0</v>
      </c>
      <c r="AF157" s="26">
        <v>0</v>
      </c>
      <c r="AG157" s="26">
        <v>0</v>
      </c>
      <c r="AH157" s="26">
        <v>0.53828271889200752</v>
      </c>
      <c r="AI157" s="26">
        <v>1.2466889273631583</v>
      </c>
      <c r="AJ157" s="26">
        <v>0</v>
      </c>
      <c r="AK157" s="26">
        <v>3.3187411273735563</v>
      </c>
      <c r="AL157" s="26">
        <v>5.1037127736287227</v>
      </c>
      <c r="AM157" s="26">
        <v>8.0075154580509835</v>
      </c>
      <c r="AN157" s="26">
        <v>1.5646733130709006E-2</v>
      </c>
      <c r="AO157" s="26">
        <v>0</v>
      </c>
      <c r="AP157" s="26">
        <v>0</v>
      </c>
      <c r="AQ157" s="26">
        <v>8.0231621911816919</v>
      </c>
      <c r="AR157" s="26">
        <v>0.53828271889200752</v>
      </c>
      <c r="AS157" s="30">
        <v>14.905108244411858</v>
      </c>
      <c r="AT157" s="26">
        <v>8.0075154580509835</v>
      </c>
      <c r="AU157" s="26">
        <v>1.8521071648350176E-2</v>
      </c>
      <c r="AV157" s="26">
        <v>0</v>
      </c>
      <c r="AW157" s="26">
        <v>0</v>
      </c>
      <c r="AX157" s="26">
        <v>8.0260365296993346</v>
      </c>
      <c r="AY157" s="26">
        <v>1.2466889273631583</v>
      </c>
      <c r="AZ157" s="30">
        <v>6.4378822603927439</v>
      </c>
      <c r="BA157" s="26">
        <v>8.0075154580509835</v>
      </c>
      <c r="BB157" s="26">
        <v>3.4167804779059181E-2</v>
      </c>
      <c r="BC157" s="26">
        <v>0</v>
      </c>
      <c r="BD157" s="26">
        <v>0</v>
      </c>
      <c r="BE157" s="26">
        <v>8.041683262830043</v>
      </c>
      <c r="BF157" s="26">
        <v>1.7849716462551659</v>
      </c>
      <c r="BG157" s="26">
        <v>7.7382076812326881</v>
      </c>
      <c r="BH157" s="30">
        <v>4.505216247945075</v>
      </c>
      <c r="BI157" s="26">
        <v>2.3791034559834752</v>
      </c>
      <c r="BJ157" s="26">
        <v>5.5101191837092447</v>
      </c>
      <c r="BK157" s="26">
        <v>0</v>
      </c>
      <c r="BL157" s="26">
        <v>14.668181252225887</v>
      </c>
      <c r="BM157" s="26">
        <v>22.557403891918611</v>
      </c>
      <c r="BN157" s="26">
        <v>8.0075154580509835</v>
      </c>
      <c r="BO157" s="26">
        <v>0</v>
      </c>
      <c r="BP157" s="26">
        <v>3.4167804779059181E-2</v>
      </c>
      <c r="BQ157" s="26">
        <v>0</v>
      </c>
      <c r="BR157" s="26">
        <v>0</v>
      </c>
      <c r="BS157" s="26">
        <v>0</v>
      </c>
      <c r="BT157" s="26">
        <v>0</v>
      </c>
      <c r="BU157" s="26">
        <v>0</v>
      </c>
      <c r="BV157" s="26">
        <v>0</v>
      </c>
      <c r="BW157" s="26">
        <v>0</v>
      </c>
      <c r="BX157" s="26">
        <v>4.6887127736287226</v>
      </c>
      <c r="BY157" s="26">
        <v>0.41500000000000004</v>
      </c>
      <c r="BZ157" s="26">
        <v>0</v>
      </c>
      <c r="CA157" s="26">
        <v>0</v>
      </c>
      <c r="CB157" s="26">
        <v>8.041683262830043</v>
      </c>
      <c r="CC157" s="26">
        <v>5.1037127736287227</v>
      </c>
      <c r="CD157" s="30">
        <v>1.5756535721175455</v>
      </c>
      <c r="CE157" s="26">
        <v>22.406388933458576</v>
      </c>
      <c r="CF157" s="26">
        <v>0.15816001590141862</v>
      </c>
      <c r="CG157" s="26">
        <v>0</v>
      </c>
      <c r="CH157" s="26">
        <v>0.15816001590141862</v>
      </c>
      <c r="CI157" s="26">
        <v>7.9078938962716117E-3</v>
      </c>
      <c r="CJ157" s="26">
        <v>0</v>
      </c>
      <c r="CK157" s="26">
        <v>7.9078938962716117E-3</v>
      </c>
      <c r="CL157" s="26"/>
      <c r="CM157" s="26">
        <v>0</v>
      </c>
      <c r="CN157" s="26"/>
      <c r="CO157" s="26">
        <v>0</v>
      </c>
      <c r="CP157" s="26">
        <v>0</v>
      </c>
      <c r="CQ157" s="26">
        <v>0</v>
      </c>
      <c r="CR157" s="26">
        <v>0</v>
      </c>
      <c r="CS157" s="26">
        <v>0</v>
      </c>
      <c r="CT157" s="26">
        <v>0</v>
      </c>
      <c r="CU157" s="26">
        <v>0</v>
      </c>
      <c r="CV157" s="26">
        <v>9999</v>
      </c>
      <c r="CW157" s="30">
        <v>9999</v>
      </c>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row>
    <row r="158" spans="1:131">
      <c r="A158" s="7" t="s">
        <v>1339</v>
      </c>
      <c r="B158" s="7"/>
      <c r="C158" s="26">
        <v>8</v>
      </c>
      <c r="D158" s="26">
        <v>15.570471268333081</v>
      </c>
      <c r="E158" s="26">
        <v>0</v>
      </c>
      <c r="F158" s="26">
        <v>2.0750000000000002</v>
      </c>
      <c r="G158" s="26">
        <v>0</v>
      </c>
      <c r="H158" s="26">
        <v>0</v>
      </c>
      <c r="I158" s="26"/>
      <c r="J158" s="26"/>
      <c r="K158" s="26"/>
      <c r="L158" s="26">
        <v>16.648197676361288</v>
      </c>
      <c r="M158" s="26">
        <v>4.4281308103173689E-5</v>
      </c>
      <c r="N158" s="26">
        <v>4.3961705478953232E-5</v>
      </c>
      <c r="O158" s="26">
        <v>0</v>
      </c>
      <c r="P158" s="26">
        <v>0</v>
      </c>
      <c r="Q158" s="26">
        <v>0</v>
      </c>
      <c r="R158" s="26">
        <v>0.41378271889200746</v>
      </c>
      <c r="S158" s="26">
        <v>0.9561889273631583</v>
      </c>
      <c r="T158" s="26">
        <v>0</v>
      </c>
      <c r="U158" s="26">
        <v>3.3187411273735563</v>
      </c>
      <c r="V158" s="26">
        <v>0.12450000000000001</v>
      </c>
      <c r="W158" s="26">
        <v>0.29050000000000004</v>
      </c>
      <c r="X158" s="26">
        <v>0</v>
      </c>
      <c r="Y158" s="26">
        <v>0</v>
      </c>
      <c r="Z158" s="26">
        <v>0</v>
      </c>
      <c r="AA158" s="26">
        <v>0</v>
      </c>
      <c r="AB158" s="26">
        <v>0</v>
      </c>
      <c r="AC158" s="26">
        <v>0</v>
      </c>
      <c r="AD158" s="26">
        <v>0</v>
      </c>
      <c r="AE158" s="26">
        <v>0</v>
      </c>
      <c r="AF158" s="26">
        <v>0</v>
      </c>
      <c r="AG158" s="26">
        <v>0</v>
      </c>
      <c r="AH158" s="26">
        <v>0.53828271889200752</v>
      </c>
      <c r="AI158" s="26">
        <v>1.2466889273631583</v>
      </c>
      <c r="AJ158" s="26">
        <v>0</v>
      </c>
      <c r="AK158" s="26">
        <v>3.3187411273735563</v>
      </c>
      <c r="AL158" s="26">
        <v>5.1037127736287227</v>
      </c>
      <c r="AM158" s="26">
        <v>8.0075154580509835</v>
      </c>
      <c r="AN158" s="26">
        <v>1.5646733130709006E-2</v>
      </c>
      <c r="AO158" s="26">
        <v>0</v>
      </c>
      <c r="AP158" s="26">
        <v>0</v>
      </c>
      <c r="AQ158" s="26">
        <v>8.0231621911816919</v>
      </c>
      <c r="AR158" s="26">
        <v>0.53828271889200752</v>
      </c>
      <c r="AS158" s="30">
        <v>14.905108244411858</v>
      </c>
      <c r="AT158" s="26">
        <v>8.0075154580509835</v>
      </c>
      <c r="AU158" s="26">
        <v>1.8521071648350176E-2</v>
      </c>
      <c r="AV158" s="26">
        <v>0</v>
      </c>
      <c r="AW158" s="26">
        <v>0</v>
      </c>
      <c r="AX158" s="26">
        <v>8.0260365296993346</v>
      </c>
      <c r="AY158" s="26">
        <v>1.2466889273631583</v>
      </c>
      <c r="AZ158" s="30">
        <v>6.4378822603927439</v>
      </c>
      <c r="BA158" s="26">
        <v>8.0075154580509835</v>
      </c>
      <c r="BB158" s="26">
        <v>3.4167804779059181E-2</v>
      </c>
      <c r="BC158" s="26">
        <v>0</v>
      </c>
      <c r="BD158" s="26">
        <v>0</v>
      </c>
      <c r="BE158" s="26">
        <v>8.041683262830043</v>
      </c>
      <c r="BF158" s="26">
        <v>1.7849716462551659</v>
      </c>
      <c r="BG158" s="26">
        <v>7.7382076812326881</v>
      </c>
      <c r="BH158" s="30">
        <v>4.505216247945075</v>
      </c>
      <c r="BI158" s="26">
        <v>2.3791034559834752</v>
      </c>
      <c r="BJ158" s="26">
        <v>5.5101191837092447</v>
      </c>
      <c r="BK158" s="26">
        <v>0</v>
      </c>
      <c r="BL158" s="26">
        <v>14.668181252225887</v>
      </c>
      <c r="BM158" s="26">
        <v>22.557403891918611</v>
      </c>
      <c r="BN158" s="26">
        <v>8.0075154580509835</v>
      </c>
      <c r="BO158" s="26">
        <v>0</v>
      </c>
      <c r="BP158" s="26">
        <v>3.4167804779059181E-2</v>
      </c>
      <c r="BQ158" s="26">
        <v>0</v>
      </c>
      <c r="BR158" s="26">
        <v>0</v>
      </c>
      <c r="BS158" s="26">
        <v>0</v>
      </c>
      <c r="BT158" s="26">
        <v>0</v>
      </c>
      <c r="BU158" s="26">
        <v>0</v>
      </c>
      <c r="BV158" s="26">
        <v>0</v>
      </c>
      <c r="BW158" s="26">
        <v>0</v>
      </c>
      <c r="BX158" s="26">
        <v>4.6887127736287226</v>
      </c>
      <c r="BY158" s="26">
        <v>0.41500000000000004</v>
      </c>
      <c r="BZ158" s="26">
        <v>0</v>
      </c>
      <c r="CA158" s="26">
        <v>0</v>
      </c>
      <c r="CB158" s="26">
        <v>8.041683262830043</v>
      </c>
      <c r="CC158" s="26">
        <v>5.1037127736287227</v>
      </c>
      <c r="CD158" s="30">
        <v>1.5756535721175455</v>
      </c>
      <c r="CE158" s="26">
        <v>22.406388933458576</v>
      </c>
      <c r="CF158" s="26">
        <v>0.15816001590141862</v>
      </c>
      <c r="CG158" s="26">
        <v>0</v>
      </c>
      <c r="CH158" s="26">
        <v>0.15816001590141862</v>
      </c>
      <c r="CI158" s="26">
        <v>7.9078938962716117E-3</v>
      </c>
      <c r="CJ158" s="26">
        <v>0</v>
      </c>
      <c r="CK158" s="26">
        <v>7.9078938962716117E-3</v>
      </c>
      <c r="CL158" s="26"/>
      <c r="CM158" s="26">
        <v>0</v>
      </c>
      <c r="CN158" s="26"/>
      <c r="CO158" s="26">
        <v>0</v>
      </c>
      <c r="CP158" s="26">
        <v>0</v>
      </c>
      <c r="CQ158" s="26">
        <v>0</v>
      </c>
      <c r="CR158" s="26">
        <v>0</v>
      </c>
      <c r="CS158" s="26">
        <v>0</v>
      </c>
      <c r="CT158" s="26">
        <v>0</v>
      </c>
      <c r="CU158" s="26">
        <v>0</v>
      </c>
      <c r="CV158" s="26">
        <v>9999</v>
      </c>
      <c r="CW158" s="30">
        <v>9999</v>
      </c>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row>
    <row r="159" spans="1:131">
      <c r="A159" s="7" t="s">
        <v>1320</v>
      </c>
      <c r="B159" s="7"/>
      <c r="C159" s="26">
        <v>8</v>
      </c>
      <c r="D159" s="26">
        <v>185.56558812777402</v>
      </c>
      <c r="E159" s="26">
        <v>0</v>
      </c>
      <c r="F159" s="26">
        <v>28.8</v>
      </c>
      <c r="G159" s="26">
        <v>0</v>
      </c>
      <c r="H159" s="26">
        <v>0</v>
      </c>
      <c r="I159" s="26"/>
      <c r="J159" s="26"/>
      <c r="K159" s="26"/>
      <c r="L159" s="26">
        <v>198.409703845281</v>
      </c>
      <c r="M159" s="26">
        <v>5.2773527786177817E-4</v>
      </c>
      <c r="N159" s="26">
        <v>5.2392632128566807E-4</v>
      </c>
      <c r="O159" s="26">
        <v>0</v>
      </c>
      <c r="P159" s="26">
        <v>0</v>
      </c>
      <c r="Q159" s="26">
        <v>0</v>
      </c>
      <c r="R159" s="26">
        <v>5.74310472486256</v>
      </c>
      <c r="S159" s="26">
        <v>13.271441497859739</v>
      </c>
      <c r="T159" s="26">
        <v>0</v>
      </c>
      <c r="U159" s="26">
        <v>46.062527454630569</v>
      </c>
      <c r="V159" s="26">
        <v>1.728</v>
      </c>
      <c r="W159" s="26">
        <v>4.032</v>
      </c>
      <c r="X159" s="26">
        <v>0</v>
      </c>
      <c r="Y159" s="26">
        <v>0</v>
      </c>
      <c r="Z159" s="26">
        <v>0</v>
      </c>
      <c r="AA159" s="26">
        <v>0</v>
      </c>
      <c r="AB159" s="26">
        <v>0</v>
      </c>
      <c r="AC159" s="26">
        <v>0</v>
      </c>
      <c r="AD159" s="26">
        <v>0</v>
      </c>
      <c r="AE159" s="26">
        <v>0</v>
      </c>
      <c r="AF159" s="26">
        <v>0</v>
      </c>
      <c r="AG159" s="26">
        <v>0</v>
      </c>
      <c r="AH159" s="26">
        <v>7.4711047248625597</v>
      </c>
      <c r="AI159" s="26">
        <v>17.303441497859737</v>
      </c>
      <c r="AJ159" s="26">
        <v>0</v>
      </c>
      <c r="AK159" s="26">
        <v>46.062527454630569</v>
      </c>
      <c r="AL159" s="26">
        <v>70.837073677352876</v>
      </c>
      <c r="AM159" s="26">
        <v>95.431878059947152</v>
      </c>
      <c r="AN159" s="26">
        <v>0.18647446089723788</v>
      </c>
      <c r="AO159" s="26">
        <v>0</v>
      </c>
      <c r="AP159" s="26">
        <v>0</v>
      </c>
      <c r="AQ159" s="26">
        <v>95.618352520844397</v>
      </c>
      <c r="AR159" s="26">
        <v>7.4711047248625597</v>
      </c>
      <c r="AS159" s="30">
        <v>12.798422193526864</v>
      </c>
      <c r="AT159" s="26">
        <v>95.431878059947152</v>
      </c>
      <c r="AU159" s="26">
        <v>0.22073022029670916</v>
      </c>
      <c r="AV159" s="26">
        <v>0</v>
      </c>
      <c r="AW159" s="26">
        <v>0</v>
      </c>
      <c r="AX159" s="26">
        <v>95.652608280243868</v>
      </c>
      <c r="AY159" s="26">
        <v>17.303441497859737</v>
      </c>
      <c r="AZ159" s="30">
        <v>5.5279528232620745</v>
      </c>
      <c r="BA159" s="26">
        <v>95.431878059947152</v>
      </c>
      <c r="BB159" s="26">
        <v>0.40720468119394704</v>
      </c>
      <c r="BC159" s="26">
        <v>0</v>
      </c>
      <c r="BD159" s="26">
        <v>0</v>
      </c>
      <c r="BE159" s="26">
        <v>95.839082741141112</v>
      </c>
      <c r="BF159" s="26">
        <v>24.7745462227223</v>
      </c>
      <c r="BG159" s="26">
        <v>9.0368142622667875</v>
      </c>
      <c r="BH159" s="30">
        <v>3.8684495723776786</v>
      </c>
      <c r="BI159" s="26">
        <v>2.7707161085858916</v>
      </c>
      <c r="BJ159" s="26">
        <v>6.4171131121409273</v>
      </c>
      <c r="BK159" s="26">
        <v>0</v>
      </c>
      <c r="BL159" s="26">
        <v>17.082639250927198</v>
      </c>
      <c r="BM159" s="26">
        <v>26.27046847165402</v>
      </c>
      <c r="BN159" s="26">
        <v>95.431878059947152</v>
      </c>
      <c r="BO159" s="26">
        <v>0</v>
      </c>
      <c r="BP159" s="26">
        <v>0.40720468119394704</v>
      </c>
      <c r="BQ159" s="26">
        <v>0</v>
      </c>
      <c r="BR159" s="26">
        <v>0</v>
      </c>
      <c r="BS159" s="26">
        <v>0</v>
      </c>
      <c r="BT159" s="26">
        <v>0</v>
      </c>
      <c r="BU159" s="26">
        <v>0</v>
      </c>
      <c r="BV159" s="26">
        <v>0</v>
      </c>
      <c r="BW159" s="26">
        <v>0</v>
      </c>
      <c r="BX159" s="26">
        <v>65.077073677352871</v>
      </c>
      <c r="BY159" s="26">
        <v>5.7600000000000007</v>
      </c>
      <c r="BZ159" s="26">
        <v>0</v>
      </c>
      <c r="CA159" s="26">
        <v>0</v>
      </c>
      <c r="CB159" s="26">
        <v>95.839082741141112</v>
      </c>
      <c r="CC159" s="26">
        <v>70.837073677352876</v>
      </c>
      <c r="CD159" s="30">
        <v>1.3529509022022399</v>
      </c>
      <c r="CE159" s="26">
        <v>26.119453513193985</v>
      </c>
      <c r="CF159" s="26">
        <v>1.8849176664764418</v>
      </c>
      <c r="CG159" s="26">
        <v>0</v>
      </c>
      <c r="CH159" s="26">
        <v>1.8849176664764418</v>
      </c>
      <c r="CI159" s="26">
        <v>9.4244609326508466E-2</v>
      </c>
      <c r="CJ159" s="26">
        <v>0</v>
      </c>
      <c r="CK159" s="26">
        <v>9.4244609326508466E-2</v>
      </c>
      <c r="CL159" s="26"/>
      <c r="CM159" s="26">
        <v>0</v>
      </c>
      <c r="CN159" s="26"/>
      <c r="CO159" s="26">
        <v>0</v>
      </c>
      <c r="CP159" s="26">
        <v>0</v>
      </c>
      <c r="CQ159" s="26">
        <v>0</v>
      </c>
      <c r="CR159" s="26">
        <v>0</v>
      </c>
      <c r="CS159" s="26">
        <v>0</v>
      </c>
      <c r="CT159" s="26">
        <v>0</v>
      </c>
      <c r="CU159" s="26">
        <v>0</v>
      </c>
      <c r="CV159" s="26">
        <v>9999</v>
      </c>
      <c r="CW159" s="30">
        <v>9999</v>
      </c>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row>
    <row r="160" spans="1:131">
      <c r="A160" s="7" t="s">
        <v>1333</v>
      </c>
      <c r="B160" s="7"/>
      <c r="C160" s="26">
        <v>8</v>
      </c>
      <c r="D160" s="26">
        <v>185.56558812777402</v>
      </c>
      <c r="E160" s="26">
        <v>0</v>
      </c>
      <c r="F160" s="26">
        <v>28.8</v>
      </c>
      <c r="G160" s="26">
        <v>0</v>
      </c>
      <c r="H160" s="26">
        <v>0</v>
      </c>
      <c r="I160" s="26"/>
      <c r="J160" s="26"/>
      <c r="K160" s="26"/>
      <c r="L160" s="26">
        <v>198.409703845281</v>
      </c>
      <c r="M160" s="26">
        <v>5.2773527786177817E-4</v>
      </c>
      <c r="N160" s="26">
        <v>5.2392632128566807E-4</v>
      </c>
      <c r="O160" s="26">
        <v>0</v>
      </c>
      <c r="P160" s="26">
        <v>0</v>
      </c>
      <c r="Q160" s="26">
        <v>0</v>
      </c>
      <c r="R160" s="26">
        <v>5.74310472486256</v>
      </c>
      <c r="S160" s="26">
        <v>13.271441497859739</v>
      </c>
      <c r="T160" s="26">
        <v>0</v>
      </c>
      <c r="U160" s="26">
        <v>46.062527454630569</v>
      </c>
      <c r="V160" s="26">
        <v>1.728</v>
      </c>
      <c r="W160" s="26">
        <v>4.032</v>
      </c>
      <c r="X160" s="26">
        <v>0</v>
      </c>
      <c r="Y160" s="26">
        <v>0</v>
      </c>
      <c r="Z160" s="26">
        <v>0</v>
      </c>
      <c r="AA160" s="26">
        <v>0</v>
      </c>
      <c r="AB160" s="26">
        <v>0</v>
      </c>
      <c r="AC160" s="26">
        <v>0</v>
      </c>
      <c r="AD160" s="26">
        <v>0</v>
      </c>
      <c r="AE160" s="26">
        <v>0</v>
      </c>
      <c r="AF160" s="26">
        <v>0</v>
      </c>
      <c r="AG160" s="26">
        <v>0</v>
      </c>
      <c r="AH160" s="26">
        <v>7.4711047248625597</v>
      </c>
      <c r="AI160" s="26">
        <v>17.303441497859737</v>
      </c>
      <c r="AJ160" s="26">
        <v>0</v>
      </c>
      <c r="AK160" s="26">
        <v>46.062527454630569</v>
      </c>
      <c r="AL160" s="26">
        <v>70.837073677352876</v>
      </c>
      <c r="AM160" s="26">
        <v>95.431878059947152</v>
      </c>
      <c r="AN160" s="26">
        <v>0.18647446089723788</v>
      </c>
      <c r="AO160" s="26">
        <v>0</v>
      </c>
      <c r="AP160" s="26">
        <v>0</v>
      </c>
      <c r="AQ160" s="26">
        <v>95.618352520844397</v>
      </c>
      <c r="AR160" s="26">
        <v>7.4711047248625597</v>
      </c>
      <c r="AS160" s="30">
        <v>12.798422193526864</v>
      </c>
      <c r="AT160" s="26">
        <v>95.431878059947152</v>
      </c>
      <c r="AU160" s="26">
        <v>0.22073022029670916</v>
      </c>
      <c r="AV160" s="26">
        <v>0</v>
      </c>
      <c r="AW160" s="26">
        <v>0</v>
      </c>
      <c r="AX160" s="26">
        <v>95.652608280243868</v>
      </c>
      <c r="AY160" s="26">
        <v>17.303441497859737</v>
      </c>
      <c r="AZ160" s="30">
        <v>5.5279528232620745</v>
      </c>
      <c r="BA160" s="26">
        <v>95.431878059947152</v>
      </c>
      <c r="BB160" s="26">
        <v>0.40720468119394704</v>
      </c>
      <c r="BC160" s="26">
        <v>0</v>
      </c>
      <c r="BD160" s="26">
        <v>0</v>
      </c>
      <c r="BE160" s="26">
        <v>95.839082741141112</v>
      </c>
      <c r="BF160" s="26">
        <v>24.7745462227223</v>
      </c>
      <c r="BG160" s="26">
        <v>9.0368142622667875</v>
      </c>
      <c r="BH160" s="30">
        <v>3.8684495723776786</v>
      </c>
      <c r="BI160" s="26">
        <v>2.7707161085858916</v>
      </c>
      <c r="BJ160" s="26">
        <v>6.4171131121409273</v>
      </c>
      <c r="BK160" s="26">
        <v>0</v>
      </c>
      <c r="BL160" s="26">
        <v>17.082639250927198</v>
      </c>
      <c r="BM160" s="26">
        <v>26.27046847165402</v>
      </c>
      <c r="BN160" s="26">
        <v>95.431878059947152</v>
      </c>
      <c r="BO160" s="26">
        <v>0</v>
      </c>
      <c r="BP160" s="26">
        <v>0.40720468119394704</v>
      </c>
      <c r="BQ160" s="26">
        <v>0</v>
      </c>
      <c r="BR160" s="26">
        <v>0</v>
      </c>
      <c r="BS160" s="26">
        <v>0</v>
      </c>
      <c r="BT160" s="26">
        <v>0</v>
      </c>
      <c r="BU160" s="26">
        <v>0</v>
      </c>
      <c r="BV160" s="26">
        <v>0</v>
      </c>
      <c r="BW160" s="26">
        <v>0</v>
      </c>
      <c r="BX160" s="26">
        <v>65.077073677352871</v>
      </c>
      <c r="BY160" s="26">
        <v>5.7600000000000007</v>
      </c>
      <c r="BZ160" s="26">
        <v>0</v>
      </c>
      <c r="CA160" s="26">
        <v>0</v>
      </c>
      <c r="CB160" s="26">
        <v>95.839082741141112</v>
      </c>
      <c r="CC160" s="26">
        <v>70.837073677352876</v>
      </c>
      <c r="CD160" s="30">
        <v>1.3529509022022399</v>
      </c>
      <c r="CE160" s="26">
        <v>26.119453513193985</v>
      </c>
      <c r="CF160" s="26">
        <v>1.8849176664764418</v>
      </c>
      <c r="CG160" s="26">
        <v>0</v>
      </c>
      <c r="CH160" s="26">
        <v>1.8849176664764418</v>
      </c>
      <c r="CI160" s="26">
        <v>9.4244609326508466E-2</v>
      </c>
      <c r="CJ160" s="26">
        <v>0</v>
      </c>
      <c r="CK160" s="26">
        <v>9.4244609326508466E-2</v>
      </c>
      <c r="CL160" s="26"/>
      <c r="CM160" s="26">
        <v>0</v>
      </c>
      <c r="CN160" s="26"/>
      <c r="CO160" s="26">
        <v>0</v>
      </c>
      <c r="CP160" s="26">
        <v>0</v>
      </c>
      <c r="CQ160" s="26">
        <v>0</v>
      </c>
      <c r="CR160" s="26">
        <v>0</v>
      </c>
      <c r="CS160" s="26">
        <v>0</v>
      </c>
      <c r="CT160" s="26">
        <v>0</v>
      </c>
      <c r="CU160" s="26">
        <v>0</v>
      </c>
      <c r="CV160" s="26">
        <v>9999</v>
      </c>
      <c r="CW160" s="30">
        <v>9999</v>
      </c>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row>
    <row r="161" spans="1:131">
      <c r="A161" s="7" t="s">
        <v>1311</v>
      </c>
      <c r="B161" s="7"/>
      <c r="C161" s="26">
        <v>8</v>
      </c>
      <c r="D161" s="26">
        <v>11.997154166772754</v>
      </c>
      <c r="E161" s="26">
        <v>0</v>
      </c>
      <c r="F161" s="26">
        <v>2.0750000000000002</v>
      </c>
      <c r="G161" s="26">
        <v>0</v>
      </c>
      <c r="H161" s="26">
        <v>0</v>
      </c>
      <c r="I161" s="26"/>
      <c r="J161" s="26"/>
      <c r="K161" s="26"/>
      <c r="L161" s="26">
        <v>12.827549704832846</v>
      </c>
      <c r="M161" s="26">
        <v>3.4119049504980847E-5</v>
      </c>
      <c r="N161" s="26">
        <v>3.3872793506122535E-5</v>
      </c>
      <c r="O161" s="26">
        <v>0</v>
      </c>
      <c r="P161" s="26">
        <v>0</v>
      </c>
      <c r="Q161" s="26">
        <v>0</v>
      </c>
      <c r="R161" s="26">
        <v>0.41378271889200746</v>
      </c>
      <c r="S161" s="26">
        <v>0.9561889273631583</v>
      </c>
      <c r="T161" s="26">
        <v>0</v>
      </c>
      <c r="U161" s="26">
        <v>3.3187411273735563</v>
      </c>
      <c r="V161" s="26">
        <v>0.12450000000000001</v>
      </c>
      <c r="W161" s="26">
        <v>0.29050000000000004</v>
      </c>
      <c r="X161" s="26">
        <v>0</v>
      </c>
      <c r="Y161" s="26">
        <v>0</v>
      </c>
      <c r="Z161" s="26">
        <v>0</v>
      </c>
      <c r="AA161" s="26">
        <v>0</v>
      </c>
      <c r="AB161" s="26">
        <v>0</v>
      </c>
      <c r="AC161" s="26">
        <v>0</v>
      </c>
      <c r="AD161" s="26">
        <v>0</v>
      </c>
      <c r="AE161" s="26">
        <v>0</v>
      </c>
      <c r="AF161" s="26">
        <v>0</v>
      </c>
      <c r="AG161" s="26">
        <v>0</v>
      </c>
      <c r="AH161" s="26">
        <v>0.53828271889200752</v>
      </c>
      <c r="AI161" s="26">
        <v>1.2466889273631583</v>
      </c>
      <c r="AJ161" s="26">
        <v>0</v>
      </c>
      <c r="AK161" s="26">
        <v>3.3187411273735563</v>
      </c>
      <c r="AL161" s="26">
        <v>5.1037127736287227</v>
      </c>
      <c r="AM161" s="26">
        <v>6.1698452016949314</v>
      </c>
      <c r="AN161" s="26">
        <v>1.2055914451172746E-2</v>
      </c>
      <c r="AO161" s="26">
        <v>0</v>
      </c>
      <c r="AP161" s="26">
        <v>0</v>
      </c>
      <c r="AQ161" s="26">
        <v>6.1819011161461042</v>
      </c>
      <c r="AR161" s="26">
        <v>0.53828271889200752</v>
      </c>
      <c r="AS161" s="30">
        <v>11.484487424881166</v>
      </c>
      <c r="AT161" s="26">
        <v>6.1698452016949314</v>
      </c>
      <c r="AU161" s="26">
        <v>1.4270611856881128E-2</v>
      </c>
      <c r="AV161" s="26">
        <v>0</v>
      </c>
      <c r="AW161" s="26">
        <v>0</v>
      </c>
      <c r="AX161" s="26">
        <v>6.1841158135518128</v>
      </c>
      <c r="AY161" s="26">
        <v>1.2466889273631583</v>
      </c>
      <c r="AZ161" s="30">
        <v>4.960432131720049</v>
      </c>
      <c r="BA161" s="26">
        <v>6.1698452016949314</v>
      </c>
      <c r="BB161" s="26">
        <v>2.6326526308053873E-2</v>
      </c>
      <c r="BC161" s="26">
        <v>0</v>
      </c>
      <c r="BD161" s="26">
        <v>0</v>
      </c>
      <c r="BE161" s="26">
        <v>6.1961717280029855</v>
      </c>
      <c r="BF161" s="26">
        <v>1.7849716462551659</v>
      </c>
      <c r="BG161" s="26">
        <v>10.087989453188879</v>
      </c>
      <c r="BH161" s="30">
        <v>3.471299805239163</v>
      </c>
      <c r="BI161" s="26">
        <v>3.0877124267002265</v>
      </c>
      <c r="BJ161" s="26">
        <v>7.1512919849486849</v>
      </c>
      <c r="BK161" s="26">
        <v>0</v>
      </c>
      <c r="BL161" s="26">
        <v>19.037055919397456</v>
      </c>
      <c r="BM161" s="26">
        <v>29.276060331046374</v>
      </c>
      <c r="BN161" s="26">
        <v>6.1698452016949314</v>
      </c>
      <c r="BO161" s="26">
        <v>0</v>
      </c>
      <c r="BP161" s="26">
        <v>2.6326526308053873E-2</v>
      </c>
      <c r="BQ161" s="26">
        <v>0</v>
      </c>
      <c r="BR161" s="26">
        <v>0</v>
      </c>
      <c r="BS161" s="26">
        <v>0</v>
      </c>
      <c r="BT161" s="26">
        <v>0</v>
      </c>
      <c r="BU161" s="26">
        <v>0</v>
      </c>
      <c r="BV161" s="26">
        <v>0</v>
      </c>
      <c r="BW161" s="26">
        <v>0</v>
      </c>
      <c r="BX161" s="26">
        <v>4.6887127736287226</v>
      </c>
      <c r="BY161" s="26">
        <v>0.41500000000000004</v>
      </c>
      <c r="BZ161" s="26">
        <v>0</v>
      </c>
      <c r="CA161" s="26">
        <v>0</v>
      </c>
      <c r="CB161" s="26">
        <v>6.1961717280029855</v>
      </c>
      <c r="CC161" s="26">
        <v>5.1037127736287227</v>
      </c>
      <c r="CD161" s="30">
        <v>1.2140518095021104</v>
      </c>
      <c r="CE161" s="26">
        <v>29.125045372586339</v>
      </c>
      <c r="CF161" s="26">
        <v>0.12186336952097195</v>
      </c>
      <c r="CG161" s="26">
        <v>0</v>
      </c>
      <c r="CH161" s="26">
        <v>0.12186336952097195</v>
      </c>
      <c r="CI161" s="26">
        <v>6.0930861097955999E-3</v>
      </c>
      <c r="CJ161" s="26">
        <v>0</v>
      </c>
      <c r="CK161" s="26">
        <v>6.0930861097955999E-3</v>
      </c>
      <c r="CL161" s="26"/>
      <c r="CM161" s="26">
        <v>0</v>
      </c>
      <c r="CN161" s="26"/>
      <c r="CO161" s="26">
        <v>0</v>
      </c>
      <c r="CP161" s="26">
        <v>0</v>
      </c>
      <c r="CQ161" s="26">
        <v>0</v>
      </c>
      <c r="CR161" s="26">
        <v>0</v>
      </c>
      <c r="CS161" s="26">
        <v>0</v>
      </c>
      <c r="CT161" s="26">
        <v>0</v>
      </c>
      <c r="CU161" s="26">
        <v>0</v>
      </c>
      <c r="CV161" s="26">
        <v>9999</v>
      </c>
      <c r="CW161" s="30">
        <v>9999</v>
      </c>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row>
    <row r="162" spans="1:131">
      <c r="A162" s="7" t="s">
        <v>1546</v>
      </c>
      <c r="B162" s="7"/>
      <c r="C162" s="26">
        <v>5</v>
      </c>
      <c r="D162" s="26">
        <v>50.713990254719022</v>
      </c>
      <c r="E162" s="26">
        <v>0</v>
      </c>
      <c r="F162" s="26">
        <v>6.2666666666666666</v>
      </c>
      <c r="G162" s="26">
        <v>0</v>
      </c>
      <c r="H162" s="26">
        <v>0</v>
      </c>
      <c r="I162" s="26"/>
      <c r="J162" s="26"/>
      <c r="K162" s="26"/>
      <c r="L162" s="26">
        <v>54.224211982249763</v>
      </c>
      <c r="M162" s="26">
        <v>1.4422696583229208E-4</v>
      </c>
      <c r="N162" s="26">
        <v>1.4318600027057123E-4</v>
      </c>
      <c r="O162" s="26">
        <v>0</v>
      </c>
      <c r="P162" s="26">
        <v>0</v>
      </c>
      <c r="Q162" s="26">
        <v>0</v>
      </c>
      <c r="R162" s="26">
        <v>1.2496570466136128</v>
      </c>
      <c r="S162" s="26">
        <v>2.8877673629602212</v>
      </c>
      <c r="T162" s="26">
        <v>0</v>
      </c>
      <c r="U162" s="26">
        <v>17.597195676572522</v>
      </c>
      <c r="V162" s="26">
        <v>0.376</v>
      </c>
      <c r="W162" s="26">
        <v>0.8773333333333333</v>
      </c>
      <c r="X162" s="26">
        <v>0</v>
      </c>
      <c r="Y162" s="26">
        <v>0</v>
      </c>
      <c r="Z162" s="26">
        <v>0</v>
      </c>
      <c r="AA162" s="26">
        <v>0</v>
      </c>
      <c r="AB162" s="26">
        <v>0</v>
      </c>
      <c r="AC162" s="26">
        <v>0</v>
      </c>
      <c r="AD162" s="26">
        <v>0</v>
      </c>
      <c r="AE162" s="26">
        <v>0</v>
      </c>
      <c r="AF162" s="26">
        <v>0</v>
      </c>
      <c r="AG162" s="26">
        <v>0</v>
      </c>
      <c r="AH162" s="26">
        <v>1.6256570466136129</v>
      </c>
      <c r="AI162" s="26">
        <v>3.7651006962935547</v>
      </c>
      <c r="AJ162" s="26">
        <v>0</v>
      </c>
      <c r="AK162" s="26">
        <v>17.597195676572522</v>
      </c>
      <c r="AL162" s="26">
        <v>22.987953419479691</v>
      </c>
      <c r="AM162" s="26">
        <v>26.080974294593982</v>
      </c>
      <c r="AN162" s="26">
        <v>5.0962379868539166E-2</v>
      </c>
      <c r="AO162" s="26">
        <v>0</v>
      </c>
      <c r="AP162" s="26">
        <v>0</v>
      </c>
      <c r="AQ162" s="26">
        <v>26.131936674462523</v>
      </c>
      <c r="AR162" s="26">
        <v>1.6256570466136129</v>
      </c>
      <c r="AS162" s="30">
        <v>16.074692216847122</v>
      </c>
      <c r="AT162" s="26">
        <v>26.080974294593982</v>
      </c>
      <c r="AU162" s="26">
        <v>6.0324278622938522E-2</v>
      </c>
      <c r="AV162" s="26">
        <v>0</v>
      </c>
      <c r="AW162" s="26">
        <v>0</v>
      </c>
      <c r="AX162" s="26">
        <v>26.141298573216922</v>
      </c>
      <c r="AY162" s="26">
        <v>3.7651006962935547</v>
      </c>
      <c r="AZ162" s="30">
        <v>6.9430542983753325</v>
      </c>
      <c r="BA162" s="26">
        <v>26.080974294593982</v>
      </c>
      <c r="BB162" s="26">
        <v>0.11128665849147769</v>
      </c>
      <c r="BC162" s="26">
        <v>0</v>
      </c>
      <c r="BD162" s="26">
        <v>0</v>
      </c>
      <c r="BE162" s="26">
        <v>26.192260953085462</v>
      </c>
      <c r="BF162" s="26">
        <v>5.3907577429071676</v>
      </c>
      <c r="BG162" s="26">
        <v>7.1641930606175803</v>
      </c>
      <c r="BH162" s="30">
        <v>4.8587345605629659</v>
      </c>
      <c r="BI162" s="26">
        <v>2.2060014622813893</v>
      </c>
      <c r="BJ162" s="26">
        <v>5.1092065567962264</v>
      </c>
      <c r="BK162" s="26">
        <v>0</v>
      </c>
      <c r="BL162" s="26">
        <v>23.879230539697808</v>
      </c>
      <c r="BM162" s="26">
        <v>31.194438558775424</v>
      </c>
      <c r="BN162" s="26">
        <v>26.080974294593982</v>
      </c>
      <c r="BO162" s="26">
        <v>0</v>
      </c>
      <c r="BP162" s="26">
        <v>0.11128665849147769</v>
      </c>
      <c r="BQ162" s="26">
        <v>0</v>
      </c>
      <c r="BR162" s="26">
        <v>0</v>
      </c>
      <c r="BS162" s="26">
        <v>0</v>
      </c>
      <c r="BT162" s="26">
        <v>0</v>
      </c>
      <c r="BU162" s="26">
        <v>0</v>
      </c>
      <c r="BV162" s="26">
        <v>0</v>
      </c>
      <c r="BW162" s="26">
        <v>0</v>
      </c>
      <c r="BX162" s="26">
        <v>21.734620086146357</v>
      </c>
      <c r="BY162" s="26">
        <v>1.2533333333333334</v>
      </c>
      <c r="BZ162" s="26">
        <v>0</v>
      </c>
      <c r="CA162" s="26">
        <v>0</v>
      </c>
      <c r="CB162" s="26">
        <v>26.192260953085462</v>
      </c>
      <c r="CC162" s="26">
        <v>22.987953419479691</v>
      </c>
      <c r="CD162" s="30">
        <v>1.1393907267486667</v>
      </c>
      <c r="CE162" s="26">
        <v>31.043423600315389</v>
      </c>
      <c r="CF162" s="26">
        <v>0.5151369773517106</v>
      </c>
      <c r="CG162" s="26">
        <v>0</v>
      </c>
      <c r="CH162" s="26">
        <v>0.5151369773517106</v>
      </c>
      <c r="CI162" s="26">
        <v>2.5756500691568634E-2</v>
      </c>
      <c r="CJ162" s="26">
        <v>0</v>
      </c>
      <c r="CK162" s="26">
        <v>2.5756500691568634E-2</v>
      </c>
      <c r="CL162" s="26"/>
      <c r="CM162" s="26">
        <v>0</v>
      </c>
      <c r="CN162" s="26"/>
      <c r="CO162" s="26">
        <v>0</v>
      </c>
      <c r="CP162" s="26">
        <v>0</v>
      </c>
      <c r="CQ162" s="26">
        <v>0</v>
      </c>
      <c r="CR162" s="26">
        <v>0</v>
      </c>
      <c r="CS162" s="26">
        <v>0</v>
      </c>
      <c r="CT162" s="26">
        <v>0</v>
      </c>
      <c r="CU162" s="26">
        <v>0</v>
      </c>
      <c r="CV162" s="26">
        <v>9999</v>
      </c>
      <c r="CW162" s="30">
        <v>9999</v>
      </c>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row>
    <row r="163" spans="1:131">
      <c r="A163" s="7" t="s">
        <v>1299</v>
      </c>
      <c r="B163" s="7"/>
      <c r="C163" s="26">
        <v>8</v>
      </c>
      <c r="D163" s="26">
        <v>135.05767532907163</v>
      </c>
      <c r="E163" s="26">
        <v>0</v>
      </c>
      <c r="F163" s="26">
        <v>28.8</v>
      </c>
      <c r="G163" s="26">
        <v>0</v>
      </c>
      <c r="H163" s="26">
        <v>0</v>
      </c>
      <c r="I163" s="26"/>
      <c r="J163" s="26"/>
      <c r="K163" s="26"/>
      <c r="L163" s="26">
        <v>144.40583318509411</v>
      </c>
      <c r="M163" s="26">
        <v>3.8409438159448049E-4</v>
      </c>
      <c r="N163" s="26">
        <v>3.8132216059279033E-4</v>
      </c>
      <c r="O163" s="26">
        <v>0</v>
      </c>
      <c r="P163" s="26">
        <v>0</v>
      </c>
      <c r="Q163" s="26">
        <v>0</v>
      </c>
      <c r="R163" s="26">
        <v>5.74310472486256</v>
      </c>
      <c r="S163" s="26">
        <v>13.271441497859739</v>
      </c>
      <c r="T163" s="26">
        <v>0</v>
      </c>
      <c r="U163" s="26">
        <v>46.062527454630569</v>
      </c>
      <c r="V163" s="26">
        <v>1.728</v>
      </c>
      <c r="W163" s="26">
        <v>4.032</v>
      </c>
      <c r="X163" s="26">
        <v>0</v>
      </c>
      <c r="Y163" s="26">
        <v>0</v>
      </c>
      <c r="Z163" s="26">
        <v>0</v>
      </c>
      <c r="AA163" s="26">
        <v>0</v>
      </c>
      <c r="AB163" s="26">
        <v>0</v>
      </c>
      <c r="AC163" s="26">
        <v>0</v>
      </c>
      <c r="AD163" s="26">
        <v>0</v>
      </c>
      <c r="AE163" s="26">
        <v>0</v>
      </c>
      <c r="AF163" s="26">
        <v>0</v>
      </c>
      <c r="AG163" s="26">
        <v>0</v>
      </c>
      <c r="AH163" s="26">
        <v>7.4711047248625597</v>
      </c>
      <c r="AI163" s="26">
        <v>17.303441497859737</v>
      </c>
      <c r="AJ163" s="26">
        <v>0</v>
      </c>
      <c r="AK163" s="26">
        <v>46.062527454630569</v>
      </c>
      <c r="AL163" s="26">
        <v>70.837073677352876</v>
      </c>
      <c r="AM163" s="26">
        <v>69.456884399219049</v>
      </c>
      <c r="AN163" s="26">
        <v>0.135719167821576</v>
      </c>
      <c r="AO163" s="26">
        <v>0</v>
      </c>
      <c r="AP163" s="26">
        <v>0</v>
      </c>
      <c r="AQ163" s="26">
        <v>69.592603567040626</v>
      </c>
      <c r="AR163" s="26">
        <v>7.4711047248625597</v>
      </c>
      <c r="AS163" s="30">
        <v>9.3149013606312252</v>
      </c>
      <c r="AT163" s="26">
        <v>69.456884399219049</v>
      </c>
      <c r="AU163" s="26">
        <v>0.16065107075575008</v>
      </c>
      <c r="AV163" s="26">
        <v>0</v>
      </c>
      <c r="AW163" s="26">
        <v>0</v>
      </c>
      <c r="AX163" s="26">
        <v>69.617535469974797</v>
      </c>
      <c r="AY163" s="26">
        <v>17.303441497859737</v>
      </c>
      <c r="AZ163" s="30">
        <v>4.0233346342452041</v>
      </c>
      <c r="BA163" s="26">
        <v>69.456884399219049</v>
      </c>
      <c r="BB163" s="26">
        <v>0.29637023857732608</v>
      </c>
      <c r="BC163" s="26">
        <v>0</v>
      </c>
      <c r="BD163" s="26">
        <v>0</v>
      </c>
      <c r="BE163" s="26">
        <v>69.753254637796374</v>
      </c>
      <c r="BF163" s="26">
        <v>24.7745462227223</v>
      </c>
      <c r="BG163" s="26">
        <v>12.472813556339858</v>
      </c>
      <c r="BH163" s="30">
        <v>2.8155209791015774</v>
      </c>
      <c r="BI163" s="26">
        <v>3.8068888937418714</v>
      </c>
      <c r="BJ163" s="26">
        <v>8.8169396210580153</v>
      </c>
      <c r="BK163" s="26">
        <v>0</v>
      </c>
      <c r="BL163" s="26">
        <v>23.471083680725545</v>
      </c>
      <c r="BM163" s="26">
        <v>36.094912195525438</v>
      </c>
      <c r="BN163" s="26">
        <v>69.456884399219049</v>
      </c>
      <c r="BO163" s="26">
        <v>0</v>
      </c>
      <c r="BP163" s="26">
        <v>0.29637023857732608</v>
      </c>
      <c r="BQ163" s="26">
        <v>0</v>
      </c>
      <c r="BR163" s="26">
        <v>0</v>
      </c>
      <c r="BS163" s="26">
        <v>0</v>
      </c>
      <c r="BT163" s="26">
        <v>0</v>
      </c>
      <c r="BU163" s="26">
        <v>0</v>
      </c>
      <c r="BV163" s="26">
        <v>0</v>
      </c>
      <c r="BW163" s="26">
        <v>0</v>
      </c>
      <c r="BX163" s="26">
        <v>65.077073677352871</v>
      </c>
      <c r="BY163" s="26">
        <v>5.7600000000000007</v>
      </c>
      <c r="BZ163" s="26">
        <v>0</v>
      </c>
      <c r="CA163" s="26">
        <v>0</v>
      </c>
      <c r="CB163" s="26">
        <v>69.753254637796374</v>
      </c>
      <c r="CC163" s="26">
        <v>70.837073677352876</v>
      </c>
      <c r="CD163" s="742">
        <v>0.98469983324702182</v>
      </c>
      <c r="CE163" s="26">
        <v>35.943897237065414</v>
      </c>
      <c r="CF163" s="26">
        <v>1.3718739599807517</v>
      </c>
      <c r="CG163" s="26">
        <v>0</v>
      </c>
      <c r="CH163" s="26">
        <v>1.3718739599807517</v>
      </c>
      <c r="CI163" s="26">
        <v>6.8592770762919711E-2</v>
      </c>
      <c r="CJ163" s="26">
        <v>0</v>
      </c>
      <c r="CK163" s="26">
        <v>6.8592770762919711E-2</v>
      </c>
      <c r="CL163" s="26"/>
      <c r="CM163" s="26">
        <v>0</v>
      </c>
      <c r="CN163" s="26"/>
      <c r="CO163" s="26">
        <v>0</v>
      </c>
      <c r="CP163" s="26">
        <v>0</v>
      </c>
      <c r="CQ163" s="26">
        <v>0</v>
      </c>
      <c r="CR163" s="26">
        <v>0</v>
      </c>
      <c r="CS163" s="26">
        <v>0</v>
      </c>
      <c r="CT163" s="26">
        <v>0</v>
      </c>
      <c r="CU163" s="26">
        <v>0</v>
      </c>
      <c r="CV163" s="26">
        <v>9999</v>
      </c>
      <c r="CW163" s="30">
        <v>9999</v>
      </c>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row>
    <row r="164" spans="1:131">
      <c r="A164" s="7" t="s">
        <v>1315</v>
      </c>
      <c r="B164" s="7"/>
      <c r="C164" s="26">
        <v>4</v>
      </c>
      <c r="D164" s="26">
        <v>70.900188627558663</v>
      </c>
      <c r="E164" s="26">
        <v>0</v>
      </c>
      <c r="F164" s="26">
        <v>9.0666666666666664</v>
      </c>
      <c r="G164" s="26">
        <v>0</v>
      </c>
      <c r="H164" s="26">
        <v>0</v>
      </c>
      <c r="I164" s="26"/>
      <c r="J164" s="26"/>
      <c r="K164" s="26"/>
      <c r="L164" s="26">
        <v>75.807619128618981</v>
      </c>
      <c r="M164" s="26">
        <v>2.0163507212368184E-4</v>
      </c>
      <c r="N164" s="26">
        <v>2.0017976059504629E-4</v>
      </c>
      <c r="O164" s="26">
        <v>0</v>
      </c>
      <c r="P164" s="26">
        <v>0</v>
      </c>
      <c r="Q164" s="26">
        <v>0</v>
      </c>
      <c r="R164" s="26">
        <v>1.8080144504196949</v>
      </c>
      <c r="S164" s="26">
        <v>4.178046397474362</v>
      </c>
      <c r="T164" s="26">
        <v>0</v>
      </c>
      <c r="U164" s="26">
        <v>32.784241780419279</v>
      </c>
      <c r="V164" s="26">
        <v>0.54400000000000004</v>
      </c>
      <c r="W164" s="26">
        <v>1.2693333333333332</v>
      </c>
      <c r="X164" s="26">
        <v>0</v>
      </c>
      <c r="Y164" s="26">
        <v>0</v>
      </c>
      <c r="Z164" s="26">
        <v>0</v>
      </c>
      <c r="AA164" s="26">
        <v>0</v>
      </c>
      <c r="AB164" s="26">
        <v>0</v>
      </c>
      <c r="AC164" s="26">
        <v>0</v>
      </c>
      <c r="AD164" s="26">
        <v>0</v>
      </c>
      <c r="AE164" s="26">
        <v>0</v>
      </c>
      <c r="AF164" s="26">
        <v>0</v>
      </c>
      <c r="AG164" s="26">
        <v>0</v>
      </c>
      <c r="AH164" s="26">
        <v>2.3520144504196949</v>
      </c>
      <c r="AI164" s="26">
        <v>5.447379730807695</v>
      </c>
      <c r="AJ164" s="26">
        <v>0</v>
      </c>
      <c r="AK164" s="26">
        <v>32.784241780419279</v>
      </c>
      <c r="AL164" s="26">
        <v>40.583635961646671</v>
      </c>
      <c r="AM164" s="26">
        <v>36.462246172892293</v>
      </c>
      <c r="AN164" s="26">
        <v>7.1247447251550244E-2</v>
      </c>
      <c r="AO164" s="26">
        <v>0</v>
      </c>
      <c r="AP164" s="26">
        <v>0</v>
      </c>
      <c r="AQ164" s="26">
        <v>36.533493620143844</v>
      </c>
      <c r="AR164" s="26">
        <v>2.3520144504196949</v>
      </c>
      <c r="AS164" s="30">
        <v>15.532852535674168</v>
      </c>
      <c r="AT164" s="26">
        <v>36.462246172892293</v>
      </c>
      <c r="AU164" s="26">
        <v>8.4335756498469625E-2</v>
      </c>
      <c r="AV164" s="26">
        <v>0</v>
      </c>
      <c r="AW164" s="26">
        <v>0</v>
      </c>
      <c r="AX164" s="26">
        <v>36.546581929390761</v>
      </c>
      <c r="AY164" s="26">
        <v>5.447379730807695</v>
      </c>
      <c r="AZ164" s="30">
        <v>6.7090204346690401</v>
      </c>
      <c r="BA164" s="26">
        <v>36.462246172892293</v>
      </c>
      <c r="BB164" s="26">
        <v>0.15558320375001988</v>
      </c>
      <c r="BC164" s="26">
        <v>0</v>
      </c>
      <c r="BD164" s="26">
        <v>0</v>
      </c>
      <c r="BE164" s="26">
        <v>36.617829376642312</v>
      </c>
      <c r="BF164" s="26">
        <v>7.7993941812273908</v>
      </c>
      <c r="BG164" s="26">
        <v>7.4193728462794768</v>
      </c>
      <c r="BH164" s="30">
        <v>4.6949581628761532</v>
      </c>
      <c r="BI164" s="26">
        <v>2.2829544318820765</v>
      </c>
      <c r="BJ164" s="26">
        <v>5.2874333728574276</v>
      </c>
      <c r="BK164" s="26">
        <v>0</v>
      </c>
      <c r="BL164" s="26">
        <v>31.821628500261276</v>
      </c>
      <c r="BM164" s="26">
        <v>39.39201630500078</v>
      </c>
      <c r="BN164" s="26">
        <v>36.462246172892293</v>
      </c>
      <c r="BO164" s="26">
        <v>0</v>
      </c>
      <c r="BP164" s="26">
        <v>0.15558320375001988</v>
      </c>
      <c r="BQ164" s="26">
        <v>0</v>
      </c>
      <c r="BR164" s="26">
        <v>0</v>
      </c>
      <c r="BS164" s="26">
        <v>0</v>
      </c>
      <c r="BT164" s="26">
        <v>0</v>
      </c>
      <c r="BU164" s="26">
        <v>0</v>
      </c>
      <c r="BV164" s="26">
        <v>0</v>
      </c>
      <c r="BW164" s="26">
        <v>0</v>
      </c>
      <c r="BX164" s="26">
        <v>38.770302628313338</v>
      </c>
      <c r="BY164" s="26">
        <v>1.8133333333333335</v>
      </c>
      <c r="BZ164" s="26">
        <v>0</v>
      </c>
      <c r="CA164" s="26">
        <v>0</v>
      </c>
      <c r="CB164" s="26">
        <v>36.617829376642312</v>
      </c>
      <c r="CC164" s="26">
        <v>40.583635961646671</v>
      </c>
      <c r="CD164" s="742">
        <v>0.90228064856603241</v>
      </c>
      <c r="CE164" s="26">
        <v>39.241001346540749</v>
      </c>
      <c r="CF164" s="26">
        <v>0.72018211700208545</v>
      </c>
      <c r="CG164" s="26">
        <v>0</v>
      </c>
      <c r="CH164" s="26">
        <v>0.72018211700208545</v>
      </c>
      <c r="CI164" s="26">
        <v>3.6008619086094006E-2</v>
      </c>
      <c r="CJ164" s="26">
        <v>0</v>
      </c>
      <c r="CK164" s="26">
        <v>3.6008619086094006E-2</v>
      </c>
      <c r="CL164" s="26"/>
      <c r="CM164" s="26">
        <v>0</v>
      </c>
      <c r="CN164" s="26"/>
      <c r="CO164" s="26">
        <v>0</v>
      </c>
      <c r="CP164" s="26">
        <v>0</v>
      </c>
      <c r="CQ164" s="26">
        <v>0</v>
      </c>
      <c r="CR164" s="26">
        <v>0</v>
      </c>
      <c r="CS164" s="26">
        <v>0</v>
      </c>
      <c r="CT164" s="26">
        <v>0</v>
      </c>
      <c r="CU164" s="26">
        <v>0</v>
      </c>
      <c r="CV164" s="26">
        <v>9999</v>
      </c>
      <c r="CW164" s="30">
        <v>9999</v>
      </c>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row>
    <row r="165" spans="1:131">
      <c r="A165" s="7" t="s">
        <v>1328</v>
      </c>
      <c r="B165" s="7"/>
      <c r="C165" s="26">
        <v>4</v>
      </c>
      <c r="D165" s="26">
        <v>70.900188627558663</v>
      </c>
      <c r="E165" s="26">
        <v>0</v>
      </c>
      <c r="F165" s="26">
        <v>9.0666666666666664</v>
      </c>
      <c r="G165" s="26">
        <v>0</v>
      </c>
      <c r="H165" s="26">
        <v>0</v>
      </c>
      <c r="I165" s="26"/>
      <c r="J165" s="26"/>
      <c r="K165" s="26"/>
      <c r="L165" s="26">
        <v>75.807619128618981</v>
      </c>
      <c r="M165" s="26">
        <v>2.0163507212368184E-4</v>
      </c>
      <c r="N165" s="26">
        <v>2.0017976059504629E-4</v>
      </c>
      <c r="O165" s="26">
        <v>0</v>
      </c>
      <c r="P165" s="26">
        <v>0</v>
      </c>
      <c r="Q165" s="26">
        <v>0</v>
      </c>
      <c r="R165" s="26">
        <v>1.8080144504196949</v>
      </c>
      <c r="S165" s="26">
        <v>4.178046397474362</v>
      </c>
      <c r="T165" s="26">
        <v>0</v>
      </c>
      <c r="U165" s="26">
        <v>32.784241780419279</v>
      </c>
      <c r="V165" s="26">
        <v>0.54400000000000004</v>
      </c>
      <c r="W165" s="26">
        <v>1.2693333333333332</v>
      </c>
      <c r="X165" s="26">
        <v>0</v>
      </c>
      <c r="Y165" s="26">
        <v>0</v>
      </c>
      <c r="Z165" s="26">
        <v>0</v>
      </c>
      <c r="AA165" s="26">
        <v>0</v>
      </c>
      <c r="AB165" s="26">
        <v>0</v>
      </c>
      <c r="AC165" s="26">
        <v>0</v>
      </c>
      <c r="AD165" s="26">
        <v>0</v>
      </c>
      <c r="AE165" s="26">
        <v>0</v>
      </c>
      <c r="AF165" s="26">
        <v>0</v>
      </c>
      <c r="AG165" s="26">
        <v>0</v>
      </c>
      <c r="AH165" s="26">
        <v>2.3520144504196949</v>
      </c>
      <c r="AI165" s="26">
        <v>5.447379730807695</v>
      </c>
      <c r="AJ165" s="26">
        <v>0</v>
      </c>
      <c r="AK165" s="26">
        <v>32.784241780419279</v>
      </c>
      <c r="AL165" s="26">
        <v>40.583635961646671</v>
      </c>
      <c r="AM165" s="26">
        <v>36.462246172892293</v>
      </c>
      <c r="AN165" s="26">
        <v>7.1247447251550244E-2</v>
      </c>
      <c r="AO165" s="26">
        <v>0</v>
      </c>
      <c r="AP165" s="26">
        <v>0</v>
      </c>
      <c r="AQ165" s="26">
        <v>36.533493620143844</v>
      </c>
      <c r="AR165" s="26">
        <v>2.3520144504196949</v>
      </c>
      <c r="AS165" s="30">
        <v>15.532852535674168</v>
      </c>
      <c r="AT165" s="26">
        <v>36.462246172892293</v>
      </c>
      <c r="AU165" s="26">
        <v>8.4335756498469625E-2</v>
      </c>
      <c r="AV165" s="26">
        <v>0</v>
      </c>
      <c r="AW165" s="26">
        <v>0</v>
      </c>
      <c r="AX165" s="26">
        <v>36.546581929390761</v>
      </c>
      <c r="AY165" s="26">
        <v>5.447379730807695</v>
      </c>
      <c r="AZ165" s="30">
        <v>6.7090204346690401</v>
      </c>
      <c r="BA165" s="26">
        <v>36.462246172892293</v>
      </c>
      <c r="BB165" s="26">
        <v>0.15558320375001988</v>
      </c>
      <c r="BC165" s="26">
        <v>0</v>
      </c>
      <c r="BD165" s="26">
        <v>0</v>
      </c>
      <c r="BE165" s="26">
        <v>36.617829376642312</v>
      </c>
      <c r="BF165" s="26">
        <v>7.7993941812273908</v>
      </c>
      <c r="BG165" s="26">
        <v>7.4193728462794768</v>
      </c>
      <c r="BH165" s="30">
        <v>4.6949581628761532</v>
      </c>
      <c r="BI165" s="26">
        <v>2.2829544318820765</v>
      </c>
      <c r="BJ165" s="26">
        <v>5.2874333728574276</v>
      </c>
      <c r="BK165" s="26">
        <v>0</v>
      </c>
      <c r="BL165" s="26">
        <v>31.821628500261276</v>
      </c>
      <c r="BM165" s="26">
        <v>39.39201630500078</v>
      </c>
      <c r="BN165" s="26">
        <v>36.462246172892293</v>
      </c>
      <c r="BO165" s="26">
        <v>0</v>
      </c>
      <c r="BP165" s="26">
        <v>0.15558320375001988</v>
      </c>
      <c r="BQ165" s="26">
        <v>0</v>
      </c>
      <c r="BR165" s="26">
        <v>0</v>
      </c>
      <c r="BS165" s="26">
        <v>0</v>
      </c>
      <c r="BT165" s="26">
        <v>0</v>
      </c>
      <c r="BU165" s="26">
        <v>0</v>
      </c>
      <c r="BV165" s="26">
        <v>0</v>
      </c>
      <c r="BW165" s="26">
        <v>0</v>
      </c>
      <c r="BX165" s="26">
        <v>38.770302628313338</v>
      </c>
      <c r="BY165" s="26">
        <v>1.8133333333333335</v>
      </c>
      <c r="BZ165" s="26">
        <v>0</v>
      </c>
      <c r="CA165" s="26">
        <v>0</v>
      </c>
      <c r="CB165" s="26">
        <v>36.617829376642312</v>
      </c>
      <c r="CC165" s="26">
        <v>40.583635961646671</v>
      </c>
      <c r="CD165" s="742">
        <v>0.90228064856603241</v>
      </c>
      <c r="CE165" s="26">
        <v>39.241001346540749</v>
      </c>
      <c r="CF165" s="26">
        <v>0.72018211700208545</v>
      </c>
      <c r="CG165" s="26">
        <v>0</v>
      </c>
      <c r="CH165" s="26">
        <v>0.72018211700208545</v>
      </c>
      <c r="CI165" s="26">
        <v>3.6008619086094006E-2</v>
      </c>
      <c r="CJ165" s="26">
        <v>0</v>
      </c>
      <c r="CK165" s="26">
        <v>3.6008619086094006E-2</v>
      </c>
      <c r="CL165" s="26"/>
      <c r="CM165" s="26">
        <v>0</v>
      </c>
      <c r="CN165" s="26"/>
      <c r="CO165" s="26">
        <v>0</v>
      </c>
      <c r="CP165" s="26">
        <v>0</v>
      </c>
      <c r="CQ165" s="26">
        <v>0</v>
      </c>
      <c r="CR165" s="26">
        <v>0</v>
      </c>
      <c r="CS165" s="26">
        <v>0</v>
      </c>
      <c r="CT165" s="26">
        <v>0</v>
      </c>
      <c r="CU165" s="26">
        <v>0</v>
      </c>
      <c r="CV165" s="26">
        <v>9999</v>
      </c>
      <c r="CW165" s="30">
        <v>9999</v>
      </c>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row>
    <row r="166" spans="1:131">
      <c r="A166" s="7" t="s">
        <v>1289</v>
      </c>
      <c r="B166" s="7"/>
      <c r="C166" s="26">
        <v>4</v>
      </c>
      <c r="D166" s="26">
        <v>63.857991001034001</v>
      </c>
      <c r="E166" s="26">
        <v>0</v>
      </c>
      <c r="F166" s="26">
        <v>9.0666666666666664</v>
      </c>
      <c r="G166" s="26">
        <v>0</v>
      </c>
      <c r="H166" s="26">
        <v>0</v>
      </c>
      <c r="I166" s="26"/>
      <c r="J166" s="26"/>
      <c r="K166" s="26"/>
      <c r="L166" s="26">
        <v>68.27798844872909</v>
      </c>
      <c r="M166" s="26">
        <v>1.8160756509132974E-4</v>
      </c>
      <c r="N166" s="26">
        <v>1.8029680312724682E-4</v>
      </c>
      <c r="O166" s="26">
        <v>0</v>
      </c>
      <c r="P166" s="26">
        <v>0</v>
      </c>
      <c r="Q166" s="26">
        <v>0</v>
      </c>
      <c r="R166" s="26">
        <v>1.8080144504196949</v>
      </c>
      <c r="S166" s="26">
        <v>4.178046397474362</v>
      </c>
      <c r="T166" s="26">
        <v>0</v>
      </c>
      <c r="U166" s="26">
        <v>32.784241780419279</v>
      </c>
      <c r="V166" s="26">
        <v>0.54400000000000004</v>
      </c>
      <c r="W166" s="26">
        <v>1.2693333333333332</v>
      </c>
      <c r="X166" s="26">
        <v>0</v>
      </c>
      <c r="Y166" s="26">
        <v>0</v>
      </c>
      <c r="Z166" s="26">
        <v>0</v>
      </c>
      <c r="AA166" s="26">
        <v>0</v>
      </c>
      <c r="AB166" s="26">
        <v>0</v>
      </c>
      <c r="AC166" s="26">
        <v>0</v>
      </c>
      <c r="AD166" s="26">
        <v>0</v>
      </c>
      <c r="AE166" s="26">
        <v>0</v>
      </c>
      <c r="AF166" s="26">
        <v>0</v>
      </c>
      <c r="AG166" s="26">
        <v>0</v>
      </c>
      <c r="AH166" s="26">
        <v>2.3520144504196949</v>
      </c>
      <c r="AI166" s="26">
        <v>5.447379730807695</v>
      </c>
      <c r="AJ166" s="26">
        <v>0</v>
      </c>
      <c r="AK166" s="26">
        <v>32.784241780419279</v>
      </c>
      <c r="AL166" s="26">
        <v>40.583635961646671</v>
      </c>
      <c r="AM166" s="26">
        <v>32.840614856714176</v>
      </c>
      <c r="AN166" s="26">
        <v>6.4170757983959437E-2</v>
      </c>
      <c r="AO166" s="26">
        <v>0</v>
      </c>
      <c r="AP166" s="26">
        <v>0</v>
      </c>
      <c r="AQ166" s="26">
        <v>32.904785614698135</v>
      </c>
      <c r="AR166" s="26">
        <v>2.3520144504196949</v>
      </c>
      <c r="AS166" s="30">
        <v>13.99004398498767</v>
      </c>
      <c r="AT166" s="26">
        <v>32.840614856714176</v>
      </c>
      <c r="AU166" s="26">
        <v>7.5959064197063914E-2</v>
      </c>
      <c r="AV166" s="26">
        <v>0</v>
      </c>
      <c r="AW166" s="26">
        <v>0</v>
      </c>
      <c r="AX166" s="26">
        <v>32.91657392091124</v>
      </c>
      <c r="AY166" s="26">
        <v>5.447379730807695</v>
      </c>
      <c r="AZ166" s="30">
        <v>6.042643536442176</v>
      </c>
      <c r="BA166" s="26">
        <v>32.840614856714176</v>
      </c>
      <c r="BB166" s="26">
        <v>0.14012982218102335</v>
      </c>
      <c r="BC166" s="26">
        <v>0</v>
      </c>
      <c r="BD166" s="26">
        <v>0</v>
      </c>
      <c r="BE166" s="26">
        <v>32.980744678895199</v>
      </c>
      <c r="BF166" s="26">
        <v>7.7993941812273908</v>
      </c>
      <c r="BG166" s="26">
        <v>8.2542279081862091</v>
      </c>
      <c r="BH166" s="30">
        <v>4.2286290335571959</v>
      </c>
      <c r="BI166" s="26">
        <v>2.5347164436466429</v>
      </c>
      <c r="BJ166" s="26">
        <v>5.8705264229995935</v>
      </c>
      <c r="BK166" s="26">
        <v>0</v>
      </c>
      <c r="BL166" s="26">
        <v>35.330886984341383</v>
      </c>
      <c r="BM166" s="26">
        <v>43.736129850987616</v>
      </c>
      <c r="BN166" s="26">
        <v>32.840614856714176</v>
      </c>
      <c r="BO166" s="26">
        <v>0</v>
      </c>
      <c r="BP166" s="26">
        <v>0.14012982218102335</v>
      </c>
      <c r="BQ166" s="26">
        <v>0</v>
      </c>
      <c r="BR166" s="26">
        <v>0</v>
      </c>
      <c r="BS166" s="26">
        <v>0</v>
      </c>
      <c r="BT166" s="26">
        <v>0</v>
      </c>
      <c r="BU166" s="26">
        <v>0</v>
      </c>
      <c r="BV166" s="26">
        <v>0</v>
      </c>
      <c r="BW166" s="26">
        <v>0</v>
      </c>
      <c r="BX166" s="26">
        <v>38.770302628313338</v>
      </c>
      <c r="BY166" s="26">
        <v>1.8133333333333335</v>
      </c>
      <c r="BZ166" s="26">
        <v>0</v>
      </c>
      <c r="CA166" s="26">
        <v>0</v>
      </c>
      <c r="CB166" s="26">
        <v>32.980744678895199</v>
      </c>
      <c r="CC166" s="26">
        <v>40.583635961646671</v>
      </c>
      <c r="CD166" s="742">
        <v>0.81266116003168021</v>
      </c>
      <c r="CE166" s="26">
        <v>43.585114892527585</v>
      </c>
      <c r="CF166" s="26">
        <v>0.64864965858142765</v>
      </c>
      <c r="CG166" s="26">
        <v>0</v>
      </c>
      <c r="CH166" s="26">
        <v>0.64864965858142765</v>
      </c>
      <c r="CI166" s="26">
        <v>3.2432044513146317E-2</v>
      </c>
      <c r="CJ166" s="26">
        <v>0</v>
      </c>
      <c r="CK166" s="26">
        <v>3.2432044513146317E-2</v>
      </c>
      <c r="CL166" s="26"/>
      <c r="CM166" s="26">
        <v>0</v>
      </c>
      <c r="CN166" s="26"/>
      <c r="CO166" s="26">
        <v>0</v>
      </c>
      <c r="CP166" s="26">
        <v>0</v>
      </c>
      <c r="CQ166" s="26">
        <v>0</v>
      </c>
      <c r="CR166" s="26">
        <v>0</v>
      </c>
      <c r="CS166" s="26">
        <v>0</v>
      </c>
      <c r="CT166" s="26">
        <v>0</v>
      </c>
      <c r="CU166" s="26">
        <v>0</v>
      </c>
      <c r="CV166" s="26">
        <v>9999</v>
      </c>
      <c r="CW166" s="30">
        <v>9999</v>
      </c>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row>
    <row r="167" spans="1:131">
      <c r="A167" s="7" t="s">
        <v>1324</v>
      </c>
      <c r="B167" s="7"/>
      <c r="C167" s="26">
        <v>15</v>
      </c>
      <c r="D167" s="26">
        <v>9.3563524639531614</v>
      </c>
      <c r="E167" s="26">
        <v>0</v>
      </c>
      <c r="F167" s="26">
        <v>3.9583333333333335</v>
      </c>
      <c r="G167" s="26">
        <v>0</v>
      </c>
      <c r="H167" s="26">
        <v>0</v>
      </c>
      <c r="I167" s="26"/>
      <c r="J167" s="26"/>
      <c r="K167" s="26"/>
      <c r="L167" s="26">
        <v>10.003962157933968</v>
      </c>
      <c r="M167" s="26">
        <v>2.6608798092117926E-5</v>
      </c>
      <c r="N167" s="26">
        <v>2.6416747720033641E-5</v>
      </c>
      <c r="O167" s="26">
        <v>0</v>
      </c>
      <c r="P167" s="26">
        <v>0</v>
      </c>
      <c r="Q167" s="26">
        <v>0</v>
      </c>
      <c r="R167" s="26">
        <v>0.78934454407109844</v>
      </c>
      <c r="S167" s="26">
        <v>1.8240551827208842</v>
      </c>
      <c r="T167" s="26">
        <v>0</v>
      </c>
      <c r="U167" s="26">
        <v>2.647617742752244</v>
      </c>
      <c r="V167" s="26">
        <v>0.23750000000000002</v>
      </c>
      <c r="W167" s="26">
        <v>0.5541666666666667</v>
      </c>
      <c r="X167" s="26">
        <v>0</v>
      </c>
      <c r="Y167" s="26">
        <v>0</v>
      </c>
      <c r="Z167" s="26">
        <v>0</v>
      </c>
      <c r="AA167" s="26">
        <v>0</v>
      </c>
      <c r="AB167" s="26">
        <v>0</v>
      </c>
      <c r="AC167" s="26">
        <v>0</v>
      </c>
      <c r="AD167" s="26">
        <v>0</v>
      </c>
      <c r="AE167" s="26">
        <v>0</v>
      </c>
      <c r="AF167" s="26">
        <v>0</v>
      </c>
      <c r="AG167" s="26">
        <v>0</v>
      </c>
      <c r="AH167" s="26">
        <v>1.0268445440710985</v>
      </c>
      <c r="AI167" s="26">
        <v>2.3782218493875509</v>
      </c>
      <c r="AJ167" s="26">
        <v>0</v>
      </c>
      <c r="AK167" s="26">
        <v>2.647617742752244</v>
      </c>
      <c r="AL167" s="26">
        <v>6.0526841362108934</v>
      </c>
      <c r="AM167" s="26">
        <v>4.8117449815697988</v>
      </c>
      <c r="AN167" s="26">
        <v>9.40217849270014E-3</v>
      </c>
      <c r="AO167" s="26">
        <v>0</v>
      </c>
      <c r="AP167" s="26">
        <v>0</v>
      </c>
      <c r="AQ167" s="26">
        <v>4.8211471600624991</v>
      </c>
      <c r="AR167" s="26">
        <v>1.0268445440710985</v>
      </c>
      <c r="AS167" s="30">
        <v>4.6951090969897429</v>
      </c>
      <c r="AT167" s="26">
        <v>4.8117449815697988</v>
      </c>
      <c r="AU167" s="26">
        <v>1.1129378897126081E-2</v>
      </c>
      <c r="AV167" s="26">
        <v>0</v>
      </c>
      <c r="AW167" s="26">
        <v>0</v>
      </c>
      <c r="AX167" s="26">
        <v>4.8228743604669253</v>
      </c>
      <c r="AY167" s="26">
        <v>2.3782218493875509</v>
      </c>
      <c r="AZ167" s="30">
        <v>2.0279329120237168</v>
      </c>
      <c r="BA167" s="26">
        <v>4.8117449815697988</v>
      </c>
      <c r="BB167" s="26">
        <v>2.0531557389826219E-2</v>
      </c>
      <c r="BC167" s="26">
        <v>0</v>
      </c>
      <c r="BD167" s="26">
        <v>0</v>
      </c>
      <c r="BE167" s="26">
        <v>4.8322765389596256</v>
      </c>
      <c r="BF167" s="26">
        <v>3.4050663934586494</v>
      </c>
      <c r="BG167" s="26">
        <v>24.894136278659708</v>
      </c>
      <c r="BH167" s="30">
        <v>1.4191431181027008</v>
      </c>
      <c r="BI167" s="26">
        <v>7.5527093840745216</v>
      </c>
      <c r="BJ167" s="26">
        <v>17.492441853045218</v>
      </c>
      <c r="BK167" s="26">
        <v>0</v>
      </c>
      <c r="BL167" s="26">
        <v>19.473918897058006</v>
      </c>
      <c r="BM167" s="26">
        <v>44.519070134177753</v>
      </c>
      <c r="BN167" s="26">
        <v>4.8117449815697988</v>
      </c>
      <c r="BO167" s="26">
        <v>0</v>
      </c>
      <c r="BP167" s="26">
        <v>2.0531557389826219E-2</v>
      </c>
      <c r="BQ167" s="26">
        <v>0</v>
      </c>
      <c r="BR167" s="26">
        <v>0</v>
      </c>
      <c r="BS167" s="26">
        <v>0</v>
      </c>
      <c r="BT167" s="26">
        <v>0</v>
      </c>
      <c r="BU167" s="26">
        <v>0</v>
      </c>
      <c r="BV167" s="26">
        <v>0</v>
      </c>
      <c r="BW167" s="26">
        <v>0</v>
      </c>
      <c r="BX167" s="26">
        <v>5.2610174695442264</v>
      </c>
      <c r="BY167" s="26">
        <v>0.79166666666666674</v>
      </c>
      <c r="BZ167" s="26">
        <v>0</v>
      </c>
      <c r="CA167" s="26">
        <v>0</v>
      </c>
      <c r="CB167" s="26">
        <v>4.8322765389596256</v>
      </c>
      <c r="CC167" s="26">
        <v>6.0526841362108934</v>
      </c>
      <c r="CD167" s="742">
        <v>0.79836919128985506</v>
      </c>
      <c r="CE167" s="26">
        <v>44.368055175717714</v>
      </c>
      <c r="CF167" s="26">
        <v>9.5038925217870746E-2</v>
      </c>
      <c r="CG167" s="26">
        <v>0</v>
      </c>
      <c r="CH167" s="26">
        <v>9.5038925217870746E-2</v>
      </c>
      <c r="CI167" s="26">
        <v>4.7518820250186337E-3</v>
      </c>
      <c r="CJ167" s="26">
        <v>0</v>
      </c>
      <c r="CK167" s="26">
        <v>4.7518820250186337E-3</v>
      </c>
      <c r="CL167" s="26"/>
      <c r="CM167" s="26">
        <v>0</v>
      </c>
      <c r="CN167" s="26"/>
      <c r="CO167" s="26">
        <v>0</v>
      </c>
      <c r="CP167" s="26">
        <v>0</v>
      </c>
      <c r="CQ167" s="26">
        <v>0</v>
      </c>
      <c r="CR167" s="26">
        <v>0</v>
      </c>
      <c r="CS167" s="26">
        <v>0</v>
      </c>
      <c r="CT167" s="26">
        <v>0</v>
      </c>
      <c r="CU167" s="26">
        <v>0</v>
      </c>
      <c r="CV167" s="26">
        <v>9999</v>
      </c>
      <c r="CW167" s="30">
        <v>9999</v>
      </c>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row>
    <row r="168" spans="1:131">
      <c r="A168" s="7" t="s">
        <v>1337</v>
      </c>
      <c r="B168" s="7"/>
      <c r="C168" s="26">
        <v>15</v>
      </c>
      <c r="D168" s="26">
        <v>9.3563524639531614</v>
      </c>
      <c r="E168" s="26">
        <v>0</v>
      </c>
      <c r="F168" s="26">
        <v>3.9583333333333335</v>
      </c>
      <c r="G168" s="26">
        <v>0</v>
      </c>
      <c r="H168" s="26">
        <v>0</v>
      </c>
      <c r="I168" s="26"/>
      <c r="J168" s="26"/>
      <c r="K168" s="26"/>
      <c r="L168" s="26">
        <v>10.003962157933968</v>
      </c>
      <c r="M168" s="26">
        <v>2.6608798092117926E-5</v>
      </c>
      <c r="N168" s="26">
        <v>2.6416747720033641E-5</v>
      </c>
      <c r="O168" s="26">
        <v>0</v>
      </c>
      <c r="P168" s="26">
        <v>0</v>
      </c>
      <c r="Q168" s="26">
        <v>0</v>
      </c>
      <c r="R168" s="26">
        <v>0.78934454407109844</v>
      </c>
      <c r="S168" s="26">
        <v>1.8240551827208842</v>
      </c>
      <c r="T168" s="26">
        <v>0</v>
      </c>
      <c r="U168" s="26">
        <v>2.647617742752244</v>
      </c>
      <c r="V168" s="26">
        <v>0.23750000000000002</v>
      </c>
      <c r="W168" s="26">
        <v>0.5541666666666667</v>
      </c>
      <c r="X168" s="26">
        <v>0</v>
      </c>
      <c r="Y168" s="26">
        <v>0</v>
      </c>
      <c r="Z168" s="26">
        <v>0</v>
      </c>
      <c r="AA168" s="26">
        <v>0</v>
      </c>
      <c r="AB168" s="26">
        <v>0</v>
      </c>
      <c r="AC168" s="26">
        <v>0</v>
      </c>
      <c r="AD168" s="26">
        <v>0</v>
      </c>
      <c r="AE168" s="26">
        <v>0</v>
      </c>
      <c r="AF168" s="26">
        <v>0</v>
      </c>
      <c r="AG168" s="26">
        <v>0</v>
      </c>
      <c r="AH168" s="26">
        <v>1.0268445440710985</v>
      </c>
      <c r="AI168" s="26">
        <v>2.3782218493875509</v>
      </c>
      <c r="AJ168" s="26">
        <v>0</v>
      </c>
      <c r="AK168" s="26">
        <v>2.647617742752244</v>
      </c>
      <c r="AL168" s="26">
        <v>6.0526841362108934</v>
      </c>
      <c r="AM168" s="26">
        <v>4.8117449815697988</v>
      </c>
      <c r="AN168" s="26">
        <v>9.40217849270014E-3</v>
      </c>
      <c r="AO168" s="26">
        <v>0</v>
      </c>
      <c r="AP168" s="26">
        <v>0</v>
      </c>
      <c r="AQ168" s="26">
        <v>4.8211471600624991</v>
      </c>
      <c r="AR168" s="26">
        <v>1.0268445440710985</v>
      </c>
      <c r="AS168" s="30">
        <v>4.6951090969897429</v>
      </c>
      <c r="AT168" s="26">
        <v>4.8117449815697988</v>
      </c>
      <c r="AU168" s="26">
        <v>1.1129378897126081E-2</v>
      </c>
      <c r="AV168" s="26">
        <v>0</v>
      </c>
      <c r="AW168" s="26">
        <v>0</v>
      </c>
      <c r="AX168" s="26">
        <v>4.8228743604669253</v>
      </c>
      <c r="AY168" s="26">
        <v>2.3782218493875509</v>
      </c>
      <c r="AZ168" s="30">
        <v>2.0279329120237168</v>
      </c>
      <c r="BA168" s="26">
        <v>4.8117449815697988</v>
      </c>
      <c r="BB168" s="26">
        <v>2.0531557389826219E-2</v>
      </c>
      <c r="BC168" s="26">
        <v>0</v>
      </c>
      <c r="BD168" s="26">
        <v>0</v>
      </c>
      <c r="BE168" s="26">
        <v>4.8322765389596256</v>
      </c>
      <c r="BF168" s="26">
        <v>3.4050663934586494</v>
      </c>
      <c r="BG168" s="26">
        <v>24.894136278659708</v>
      </c>
      <c r="BH168" s="30">
        <v>1.4191431181027008</v>
      </c>
      <c r="BI168" s="26">
        <v>7.5527093840745216</v>
      </c>
      <c r="BJ168" s="26">
        <v>17.492441853045218</v>
      </c>
      <c r="BK168" s="26">
        <v>0</v>
      </c>
      <c r="BL168" s="26">
        <v>19.473918897058006</v>
      </c>
      <c r="BM168" s="26">
        <v>44.519070134177753</v>
      </c>
      <c r="BN168" s="26">
        <v>4.8117449815697988</v>
      </c>
      <c r="BO168" s="26">
        <v>0</v>
      </c>
      <c r="BP168" s="26">
        <v>2.0531557389826219E-2</v>
      </c>
      <c r="BQ168" s="26">
        <v>0</v>
      </c>
      <c r="BR168" s="26">
        <v>0</v>
      </c>
      <c r="BS168" s="26">
        <v>0</v>
      </c>
      <c r="BT168" s="26">
        <v>0</v>
      </c>
      <c r="BU168" s="26">
        <v>0</v>
      </c>
      <c r="BV168" s="26">
        <v>0</v>
      </c>
      <c r="BW168" s="26">
        <v>0</v>
      </c>
      <c r="BX168" s="26">
        <v>5.2610174695442264</v>
      </c>
      <c r="BY168" s="26">
        <v>0.79166666666666674</v>
      </c>
      <c r="BZ168" s="26">
        <v>0</v>
      </c>
      <c r="CA168" s="26">
        <v>0</v>
      </c>
      <c r="CB168" s="26">
        <v>4.8322765389596256</v>
      </c>
      <c r="CC168" s="26">
        <v>6.0526841362108934</v>
      </c>
      <c r="CD168" s="742">
        <v>0.79836919128985506</v>
      </c>
      <c r="CE168" s="26">
        <v>44.368055175717714</v>
      </c>
      <c r="CF168" s="26">
        <v>9.5038925217870746E-2</v>
      </c>
      <c r="CG168" s="26">
        <v>0</v>
      </c>
      <c r="CH168" s="26">
        <v>9.5038925217870746E-2</v>
      </c>
      <c r="CI168" s="26">
        <v>4.7518820250186337E-3</v>
      </c>
      <c r="CJ168" s="26">
        <v>0</v>
      </c>
      <c r="CK168" s="26">
        <v>4.7518820250186337E-3</v>
      </c>
      <c r="CL168" s="26"/>
      <c r="CM168" s="26">
        <v>0</v>
      </c>
      <c r="CN168" s="26"/>
      <c r="CO168" s="26">
        <v>0</v>
      </c>
      <c r="CP168" s="26">
        <v>0</v>
      </c>
      <c r="CQ168" s="26">
        <v>0</v>
      </c>
      <c r="CR168" s="26">
        <v>0</v>
      </c>
      <c r="CS168" s="26">
        <v>0</v>
      </c>
      <c r="CT168" s="26">
        <v>0</v>
      </c>
      <c r="CU168" s="26">
        <v>0</v>
      </c>
      <c r="CV168" s="26">
        <v>9999</v>
      </c>
      <c r="CW168" s="30">
        <v>9999</v>
      </c>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row>
    <row r="169" spans="1:131">
      <c r="A169" s="7" t="s">
        <v>1323</v>
      </c>
      <c r="B169" s="7"/>
      <c r="C169" s="26">
        <v>5</v>
      </c>
      <c r="D169" s="26">
        <v>122.56941681015363</v>
      </c>
      <c r="E169" s="26">
        <v>0</v>
      </c>
      <c r="F169" s="26">
        <v>24.253499999999999</v>
      </c>
      <c r="G169" s="26">
        <v>0</v>
      </c>
      <c r="H169" s="26">
        <v>0</v>
      </c>
      <c r="I169" s="26"/>
      <c r="J169" s="26"/>
      <c r="K169" s="26"/>
      <c r="L169" s="26">
        <v>131.05318682818603</v>
      </c>
      <c r="M169" s="26">
        <v>3.4857866639111573E-4</v>
      </c>
      <c r="N169" s="26">
        <v>3.4606278189496903E-4</v>
      </c>
      <c r="O169" s="26">
        <v>0</v>
      </c>
      <c r="P169" s="26">
        <v>0</v>
      </c>
      <c r="Q169" s="26">
        <v>0</v>
      </c>
      <c r="R169" s="26">
        <v>4.836471890432434</v>
      </c>
      <c r="S169" s="26">
        <v>11.176350915567401</v>
      </c>
      <c r="T169" s="26">
        <v>0</v>
      </c>
      <c r="U169" s="26">
        <v>68.105359363045466</v>
      </c>
      <c r="V169" s="26">
        <v>1.4552099999999999</v>
      </c>
      <c r="W169" s="26">
        <v>3.3954899999999997</v>
      </c>
      <c r="X169" s="26">
        <v>0</v>
      </c>
      <c r="Y169" s="26">
        <v>0</v>
      </c>
      <c r="Z169" s="26">
        <v>0</v>
      </c>
      <c r="AA169" s="26">
        <v>0</v>
      </c>
      <c r="AB169" s="26">
        <v>0</v>
      </c>
      <c r="AC169" s="26">
        <v>0</v>
      </c>
      <c r="AD169" s="26">
        <v>0</v>
      </c>
      <c r="AE169" s="26">
        <v>0</v>
      </c>
      <c r="AF169" s="26">
        <v>0</v>
      </c>
      <c r="AG169" s="26">
        <v>0</v>
      </c>
      <c r="AH169" s="26">
        <v>6.2916818904324341</v>
      </c>
      <c r="AI169" s="26">
        <v>14.5718409155674</v>
      </c>
      <c r="AJ169" s="26">
        <v>0</v>
      </c>
      <c r="AK169" s="26">
        <v>68.105359363045466</v>
      </c>
      <c r="AL169" s="26">
        <v>88.968882169045301</v>
      </c>
      <c r="AM169" s="26">
        <v>63.03447614894656</v>
      </c>
      <c r="AN169" s="26">
        <v>0.12316974366187095</v>
      </c>
      <c r="AO169" s="26">
        <v>0</v>
      </c>
      <c r="AP169" s="26">
        <v>0</v>
      </c>
      <c r="AQ169" s="26">
        <v>63.157645892608429</v>
      </c>
      <c r="AR169" s="26">
        <v>6.2916818904324341</v>
      </c>
      <c r="AS169" s="30">
        <v>10.038277044592846</v>
      </c>
      <c r="AT169" s="26">
        <v>63.03447614894656</v>
      </c>
      <c r="AU169" s="26">
        <v>0.14579629039580011</v>
      </c>
      <c r="AV169" s="26">
        <v>0</v>
      </c>
      <c r="AW169" s="26">
        <v>0</v>
      </c>
      <c r="AX169" s="26">
        <v>63.18027243934236</v>
      </c>
      <c r="AY169" s="26">
        <v>14.5718409155674</v>
      </c>
      <c r="AZ169" s="30">
        <v>4.335778355351489</v>
      </c>
      <c r="BA169" s="26">
        <v>63.03447614894656</v>
      </c>
      <c r="BB169" s="26">
        <v>0.26896603405767106</v>
      </c>
      <c r="BC169" s="26">
        <v>0</v>
      </c>
      <c r="BD169" s="26">
        <v>0</v>
      </c>
      <c r="BE169" s="26">
        <v>63.303442183004229</v>
      </c>
      <c r="BF169" s="26">
        <v>20.863522805999835</v>
      </c>
      <c r="BG169" s="26">
        <v>11.56311854139439</v>
      </c>
      <c r="BH169" s="30">
        <v>3.0341684274335359</v>
      </c>
      <c r="BI169" s="26">
        <v>3.5325578661120058</v>
      </c>
      <c r="BJ169" s="26">
        <v>8.1815756337424119</v>
      </c>
      <c r="BK169" s="26">
        <v>0</v>
      </c>
      <c r="BL169" s="26">
        <v>38.238761452349188</v>
      </c>
      <c r="BM169" s="26">
        <v>49.952894952203607</v>
      </c>
      <c r="BN169" s="26">
        <v>63.03447614894656</v>
      </c>
      <c r="BO169" s="26">
        <v>0</v>
      </c>
      <c r="BP169" s="26">
        <v>0.26896603405767106</v>
      </c>
      <c r="BQ169" s="26">
        <v>0</v>
      </c>
      <c r="BR169" s="26">
        <v>0</v>
      </c>
      <c r="BS169" s="26">
        <v>0</v>
      </c>
      <c r="BT169" s="26">
        <v>0</v>
      </c>
      <c r="BU169" s="26">
        <v>0</v>
      </c>
      <c r="BV169" s="26">
        <v>0</v>
      </c>
      <c r="BW169" s="26">
        <v>0</v>
      </c>
      <c r="BX169" s="26">
        <v>84.118182169045298</v>
      </c>
      <c r="BY169" s="26">
        <v>4.8506999999999998</v>
      </c>
      <c r="BZ169" s="26">
        <v>0</v>
      </c>
      <c r="CA169" s="26">
        <v>0</v>
      </c>
      <c r="CB169" s="26">
        <v>63.303442183004229</v>
      </c>
      <c r="CC169" s="26">
        <v>88.968882169045301</v>
      </c>
      <c r="CD169" s="742">
        <v>0.71152340728216124</v>
      </c>
      <c r="CE169" s="26">
        <v>49.801879993743583</v>
      </c>
      <c r="CF169" s="26">
        <v>1.2450221048316961</v>
      </c>
      <c r="CG169" s="26">
        <v>0</v>
      </c>
      <c r="CH169" s="26">
        <v>1.2450221048316961</v>
      </c>
      <c r="CI169" s="26">
        <v>6.2250263743388358E-2</v>
      </c>
      <c r="CJ169" s="26">
        <v>0</v>
      </c>
      <c r="CK169" s="26">
        <v>6.2250263743388358E-2</v>
      </c>
      <c r="CL169" s="26"/>
      <c r="CM169" s="26">
        <v>0</v>
      </c>
      <c r="CN169" s="26"/>
      <c r="CO169" s="26">
        <v>0</v>
      </c>
      <c r="CP169" s="26">
        <v>0</v>
      </c>
      <c r="CQ169" s="26">
        <v>0</v>
      </c>
      <c r="CR169" s="26">
        <v>0</v>
      </c>
      <c r="CS169" s="26">
        <v>0</v>
      </c>
      <c r="CT169" s="26">
        <v>0</v>
      </c>
      <c r="CU169" s="26">
        <v>0</v>
      </c>
      <c r="CV169" s="26">
        <v>9999</v>
      </c>
      <c r="CW169" s="30">
        <v>9999</v>
      </c>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row>
    <row r="170" spans="1:131">
      <c r="A170" s="7" t="s">
        <v>1336</v>
      </c>
      <c r="B170" s="7"/>
      <c r="C170" s="26">
        <v>5</v>
      </c>
      <c r="D170" s="26">
        <v>122.56941681015363</v>
      </c>
      <c r="E170" s="26">
        <v>0</v>
      </c>
      <c r="F170" s="26">
        <v>24.253499999999999</v>
      </c>
      <c r="G170" s="26">
        <v>0</v>
      </c>
      <c r="H170" s="26">
        <v>0</v>
      </c>
      <c r="I170" s="26"/>
      <c r="J170" s="26"/>
      <c r="K170" s="26"/>
      <c r="L170" s="26">
        <v>131.05318682818603</v>
      </c>
      <c r="M170" s="26">
        <v>3.4857866639111573E-4</v>
      </c>
      <c r="N170" s="26">
        <v>3.4606278189496903E-4</v>
      </c>
      <c r="O170" s="26">
        <v>0</v>
      </c>
      <c r="P170" s="26">
        <v>0</v>
      </c>
      <c r="Q170" s="26">
        <v>0</v>
      </c>
      <c r="R170" s="26">
        <v>4.836471890432434</v>
      </c>
      <c r="S170" s="26">
        <v>11.176350915567401</v>
      </c>
      <c r="T170" s="26">
        <v>0</v>
      </c>
      <c r="U170" s="26">
        <v>68.105359363045466</v>
      </c>
      <c r="V170" s="26">
        <v>1.4552099999999999</v>
      </c>
      <c r="W170" s="26">
        <v>3.3954899999999997</v>
      </c>
      <c r="X170" s="26">
        <v>0</v>
      </c>
      <c r="Y170" s="26">
        <v>0</v>
      </c>
      <c r="Z170" s="26">
        <v>0</v>
      </c>
      <c r="AA170" s="26">
        <v>0</v>
      </c>
      <c r="AB170" s="26">
        <v>0</v>
      </c>
      <c r="AC170" s="26">
        <v>0</v>
      </c>
      <c r="AD170" s="26">
        <v>0</v>
      </c>
      <c r="AE170" s="26">
        <v>0</v>
      </c>
      <c r="AF170" s="26">
        <v>0</v>
      </c>
      <c r="AG170" s="26">
        <v>0</v>
      </c>
      <c r="AH170" s="26">
        <v>6.2916818904324341</v>
      </c>
      <c r="AI170" s="26">
        <v>14.5718409155674</v>
      </c>
      <c r="AJ170" s="26">
        <v>0</v>
      </c>
      <c r="AK170" s="26">
        <v>68.105359363045466</v>
      </c>
      <c r="AL170" s="26">
        <v>88.968882169045301</v>
      </c>
      <c r="AM170" s="26">
        <v>63.03447614894656</v>
      </c>
      <c r="AN170" s="26">
        <v>0.12316974366187095</v>
      </c>
      <c r="AO170" s="26">
        <v>0</v>
      </c>
      <c r="AP170" s="26">
        <v>0</v>
      </c>
      <c r="AQ170" s="26">
        <v>63.157645892608429</v>
      </c>
      <c r="AR170" s="26">
        <v>6.2916818904324341</v>
      </c>
      <c r="AS170" s="30">
        <v>10.038277044592846</v>
      </c>
      <c r="AT170" s="26">
        <v>63.03447614894656</v>
      </c>
      <c r="AU170" s="26">
        <v>0.14579629039580011</v>
      </c>
      <c r="AV170" s="26">
        <v>0</v>
      </c>
      <c r="AW170" s="26">
        <v>0</v>
      </c>
      <c r="AX170" s="26">
        <v>63.18027243934236</v>
      </c>
      <c r="AY170" s="26">
        <v>14.5718409155674</v>
      </c>
      <c r="AZ170" s="30">
        <v>4.335778355351489</v>
      </c>
      <c r="BA170" s="26">
        <v>63.03447614894656</v>
      </c>
      <c r="BB170" s="26">
        <v>0.26896603405767106</v>
      </c>
      <c r="BC170" s="26">
        <v>0</v>
      </c>
      <c r="BD170" s="26">
        <v>0</v>
      </c>
      <c r="BE170" s="26">
        <v>63.303442183004229</v>
      </c>
      <c r="BF170" s="26">
        <v>20.863522805999835</v>
      </c>
      <c r="BG170" s="26">
        <v>11.56311854139439</v>
      </c>
      <c r="BH170" s="30">
        <v>3.0341684274335359</v>
      </c>
      <c r="BI170" s="26">
        <v>3.5325578661120058</v>
      </c>
      <c r="BJ170" s="26">
        <v>8.1815756337424119</v>
      </c>
      <c r="BK170" s="26">
        <v>0</v>
      </c>
      <c r="BL170" s="26">
        <v>38.238761452349188</v>
      </c>
      <c r="BM170" s="26">
        <v>49.952894952203607</v>
      </c>
      <c r="BN170" s="26">
        <v>63.03447614894656</v>
      </c>
      <c r="BO170" s="26">
        <v>0</v>
      </c>
      <c r="BP170" s="26">
        <v>0.26896603405767106</v>
      </c>
      <c r="BQ170" s="26">
        <v>0</v>
      </c>
      <c r="BR170" s="26">
        <v>0</v>
      </c>
      <c r="BS170" s="26">
        <v>0</v>
      </c>
      <c r="BT170" s="26">
        <v>0</v>
      </c>
      <c r="BU170" s="26">
        <v>0</v>
      </c>
      <c r="BV170" s="26">
        <v>0</v>
      </c>
      <c r="BW170" s="26">
        <v>0</v>
      </c>
      <c r="BX170" s="26">
        <v>84.118182169045298</v>
      </c>
      <c r="BY170" s="26">
        <v>4.8506999999999998</v>
      </c>
      <c r="BZ170" s="26">
        <v>0</v>
      </c>
      <c r="CA170" s="26">
        <v>0</v>
      </c>
      <c r="CB170" s="26">
        <v>63.303442183004229</v>
      </c>
      <c r="CC170" s="26">
        <v>88.968882169045301</v>
      </c>
      <c r="CD170" s="742">
        <v>0.71152340728216124</v>
      </c>
      <c r="CE170" s="26">
        <v>49.801879993743583</v>
      </c>
      <c r="CF170" s="26">
        <v>1.2450221048316961</v>
      </c>
      <c r="CG170" s="26">
        <v>0</v>
      </c>
      <c r="CH170" s="26">
        <v>1.2450221048316961</v>
      </c>
      <c r="CI170" s="26">
        <v>6.2250263743388358E-2</v>
      </c>
      <c r="CJ170" s="26">
        <v>0</v>
      </c>
      <c r="CK170" s="26">
        <v>6.2250263743388358E-2</v>
      </c>
      <c r="CL170" s="26"/>
      <c r="CM170" s="26">
        <v>0</v>
      </c>
      <c r="CN170" s="26"/>
      <c r="CO170" s="26">
        <v>0</v>
      </c>
      <c r="CP170" s="26">
        <v>0</v>
      </c>
      <c r="CQ170" s="26">
        <v>0</v>
      </c>
      <c r="CR170" s="26">
        <v>0</v>
      </c>
      <c r="CS170" s="26">
        <v>0</v>
      </c>
      <c r="CT170" s="26">
        <v>0</v>
      </c>
      <c r="CU170" s="26">
        <v>0</v>
      </c>
      <c r="CV170" s="26">
        <v>9999</v>
      </c>
      <c r="CW170" s="30">
        <v>9999</v>
      </c>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row>
    <row r="171" spans="1:131">
      <c r="A171" s="7" t="s">
        <v>1307</v>
      </c>
      <c r="B171" s="7"/>
      <c r="C171" s="26">
        <v>15</v>
      </c>
      <c r="D171" s="26">
        <v>7.2091333020215753</v>
      </c>
      <c r="E171" s="26">
        <v>0</v>
      </c>
      <c r="F171" s="26">
        <v>3.9583333333333335</v>
      </c>
      <c r="G171" s="26">
        <v>0</v>
      </c>
      <c r="H171" s="26">
        <v>0</v>
      </c>
      <c r="I171" s="26"/>
      <c r="J171" s="26"/>
      <c r="K171" s="26"/>
      <c r="L171" s="26">
        <v>7.7081209822715397</v>
      </c>
      <c r="M171" s="26">
        <v>2.0502260169408662E-5</v>
      </c>
      <c r="N171" s="26">
        <v>2.0354284049612779E-5</v>
      </c>
      <c r="O171" s="26">
        <v>0</v>
      </c>
      <c r="P171" s="26">
        <v>0</v>
      </c>
      <c r="Q171" s="26">
        <v>0</v>
      </c>
      <c r="R171" s="26">
        <v>0.78934454407109844</v>
      </c>
      <c r="S171" s="26">
        <v>1.8240551827208842</v>
      </c>
      <c r="T171" s="26">
        <v>0</v>
      </c>
      <c r="U171" s="26">
        <v>2.647617742752244</v>
      </c>
      <c r="V171" s="26">
        <v>0.23750000000000002</v>
      </c>
      <c r="W171" s="26">
        <v>0.5541666666666667</v>
      </c>
      <c r="X171" s="26">
        <v>0</v>
      </c>
      <c r="Y171" s="26">
        <v>0</v>
      </c>
      <c r="Z171" s="26">
        <v>0</v>
      </c>
      <c r="AA171" s="26">
        <v>0</v>
      </c>
      <c r="AB171" s="26">
        <v>0</v>
      </c>
      <c r="AC171" s="26">
        <v>0</v>
      </c>
      <c r="AD171" s="26">
        <v>0</v>
      </c>
      <c r="AE171" s="26">
        <v>0</v>
      </c>
      <c r="AF171" s="26">
        <v>0</v>
      </c>
      <c r="AG171" s="26">
        <v>0</v>
      </c>
      <c r="AH171" s="26">
        <v>1.0268445440710985</v>
      </c>
      <c r="AI171" s="26">
        <v>2.3782218493875509</v>
      </c>
      <c r="AJ171" s="26">
        <v>0</v>
      </c>
      <c r="AK171" s="26">
        <v>2.647617742752244</v>
      </c>
      <c r="AL171" s="26">
        <v>6.0526841362108934</v>
      </c>
      <c r="AM171" s="26">
        <v>3.7074822823437872</v>
      </c>
      <c r="AN171" s="26">
        <v>7.2444425693040998E-3</v>
      </c>
      <c r="AO171" s="26">
        <v>0</v>
      </c>
      <c r="AP171" s="26">
        <v>0</v>
      </c>
      <c r="AQ171" s="26">
        <v>3.7147267249130911</v>
      </c>
      <c r="AR171" s="26">
        <v>1.0268445440710985</v>
      </c>
      <c r="AS171" s="30">
        <v>3.6176135388375634</v>
      </c>
      <c r="AT171" s="26">
        <v>3.7074822823437872</v>
      </c>
      <c r="AU171" s="26">
        <v>8.5752622453246496E-3</v>
      </c>
      <c r="AV171" s="26">
        <v>0</v>
      </c>
      <c r="AW171" s="26">
        <v>0</v>
      </c>
      <c r="AX171" s="26">
        <v>3.7160575445891117</v>
      </c>
      <c r="AY171" s="26">
        <v>2.3782218493875509</v>
      </c>
      <c r="AZ171" s="30">
        <v>1.5625361214918136</v>
      </c>
      <c r="BA171" s="26">
        <v>3.7074822823437872</v>
      </c>
      <c r="BB171" s="26">
        <v>1.581970481462875E-2</v>
      </c>
      <c r="BC171" s="26">
        <v>0</v>
      </c>
      <c r="BD171" s="26">
        <v>0</v>
      </c>
      <c r="BE171" s="26">
        <v>3.7233019871584156</v>
      </c>
      <c r="BF171" s="26">
        <v>3.4050663934586494</v>
      </c>
      <c r="BG171" s="26">
        <v>32.353760951536543</v>
      </c>
      <c r="BH171" s="30">
        <v>1.0934594386503351</v>
      </c>
      <c r="BI171" s="26">
        <v>9.8022616720642155</v>
      </c>
      <c r="BJ171" s="26">
        <v>22.702514237932348</v>
      </c>
      <c r="BK171" s="26">
        <v>0</v>
      </c>
      <c r="BL171" s="26">
        <v>25.274168394724938</v>
      </c>
      <c r="BM171" s="26">
        <v>57.778944304721506</v>
      </c>
      <c r="BN171" s="26">
        <v>3.7074822823437872</v>
      </c>
      <c r="BO171" s="26">
        <v>0</v>
      </c>
      <c r="BP171" s="26">
        <v>1.581970481462875E-2</v>
      </c>
      <c r="BQ171" s="26">
        <v>0</v>
      </c>
      <c r="BR171" s="26">
        <v>0</v>
      </c>
      <c r="BS171" s="26">
        <v>0</v>
      </c>
      <c r="BT171" s="26">
        <v>0</v>
      </c>
      <c r="BU171" s="26">
        <v>0</v>
      </c>
      <c r="BV171" s="26">
        <v>0</v>
      </c>
      <c r="BW171" s="26">
        <v>0</v>
      </c>
      <c r="BX171" s="26">
        <v>5.2610174695442264</v>
      </c>
      <c r="BY171" s="26">
        <v>0.79166666666666674</v>
      </c>
      <c r="BZ171" s="26">
        <v>0</v>
      </c>
      <c r="CA171" s="26">
        <v>0</v>
      </c>
      <c r="CB171" s="26">
        <v>3.7233019871584156</v>
      </c>
      <c r="CC171" s="26">
        <v>6.0526841362108934</v>
      </c>
      <c r="CD171" s="742">
        <v>0.61514889978866139</v>
      </c>
      <c r="CE171" s="26">
        <v>57.627929346261482</v>
      </c>
      <c r="CF171" s="26">
        <v>7.3228139215162302E-2</v>
      </c>
      <c r="CG171" s="26">
        <v>0</v>
      </c>
      <c r="CH171" s="26">
        <v>7.3228139215162302E-2</v>
      </c>
      <c r="CI171" s="26">
        <v>3.6613574665789812E-3</v>
      </c>
      <c r="CJ171" s="26">
        <v>0</v>
      </c>
      <c r="CK171" s="26">
        <v>3.6613574665789812E-3</v>
      </c>
      <c r="CL171" s="26"/>
      <c r="CM171" s="26">
        <v>0</v>
      </c>
      <c r="CN171" s="26"/>
      <c r="CO171" s="26">
        <v>0</v>
      </c>
      <c r="CP171" s="26">
        <v>0</v>
      </c>
      <c r="CQ171" s="26">
        <v>0</v>
      </c>
      <c r="CR171" s="26">
        <v>0</v>
      </c>
      <c r="CS171" s="26">
        <v>0</v>
      </c>
      <c r="CT171" s="26">
        <v>0</v>
      </c>
      <c r="CU171" s="26">
        <v>0</v>
      </c>
      <c r="CV171" s="26">
        <v>9999</v>
      </c>
      <c r="CW171" s="30">
        <v>9999</v>
      </c>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row>
    <row r="172" spans="1:131">
      <c r="A172" s="7" t="s">
        <v>1305</v>
      </c>
      <c r="B172" s="7"/>
      <c r="C172" s="26">
        <v>5</v>
      </c>
      <c r="D172" s="26">
        <v>94.440570504341878</v>
      </c>
      <c r="E172" s="26">
        <v>0</v>
      </c>
      <c r="F172" s="26">
        <v>24.253499999999999</v>
      </c>
      <c r="G172" s="26">
        <v>0</v>
      </c>
      <c r="H172" s="26">
        <v>0</v>
      </c>
      <c r="I172" s="26"/>
      <c r="J172" s="26"/>
      <c r="K172" s="26"/>
      <c r="L172" s="26">
        <v>100.97737308839594</v>
      </c>
      <c r="M172" s="26">
        <v>2.6858223671414699E-4</v>
      </c>
      <c r="N172" s="26">
        <v>2.666437305735235E-4</v>
      </c>
      <c r="O172" s="26">
        <v>0</v>
      </c>
      <c r="P172" s="26">
        <v>0</v>
      </c>
      <c r="Q172" s="26">
        <v>0</v>
      </c>
      <c r="R172" s="26">
        <v>4.836471890432434</v>
      </c>
      <c r="S172" s="26">
        <v>11.176350915567401</v>
      </c>
      <c r="T172" s="26">
        <v>0</v>
      </c>
      <c r="U172" s="26">
        <v>68.105359363045466</v>
      </c>
      <c r="V172" s="26">
        <v>1.4552099999999999</v>
      </c>
      <c r="W172" s="26">
        <v>3.3954899999999997</v>
      </c>
      <c r="X172" s="26">
        <v>0</v>
      </c>
      <c r="Y172" s="26">
        <v>0</v>
      </c>
      <c r="Z172" s="26">
        <v>0</v>
      </c>
      <c r="AA172" s="26">
        <v>0</v>
      </c>
      <c r="AB172" s="26">
        <v>0</v>
      </c>
      <c r="AC172" s="26">
        <v>0</v>
      </c>
      <c r="AD172" s="26">
        <v>0</v>
      </c>
      <c r="AE172" s="26">
        <v>0</v>
      </c>
      <c r="AF172" s="26">
        <v>0</v>
      </c>
      <c r="AG172" s="26">
        <v>0</v>
      </c>
      <c r="AH172" s="26">
        <v>6.2916818904324341</v>
      </c>
      <c r="AI172" s="26">
        <v>14.5718409155674</v>
      </c>
      <c r="AJ172" s="26">
        <v>0</v>
      </c>
      <c r="AK172" s="26">
        <v>68.105359363045466</v>
      </c>
      <c r="AL172" s="26">
        <v>88.968882169045301</v>
      </c>
      <c r="AM172" s="26">
        <v>48.568493216944916</v>
      </c>
      <c r="AN172" s="26">
        <v>9.4903126432572094E-2</v>
      </c>
      <c r="AO172" s="26">
        <v>0</v>
      </c>
      <c r="AP172" s="26">
        <v>0</v>
      </c>
      <c r="AQ172" s="26">
        <v>48.663396343377485</v>
      </c>
      <c r="AR172" s="26">
        <v>6.2916818904324341</v>
      </c>
      <c r="AS172" s="30">
        <v>7.7345608361698019</v>
      </c>
      <c r="AT172" s="26">
        <v>48.568493216944916</v>
      </c>
      <c r="AU172" s="26">
        <v>0.11233703480634848</v>
      </c>
      <c r="AV172" s="26">
        <v>0</v>
      </c>
      <c r="AW172" s="26">
        <v>0</v>
      </c>
      <c r="AX172" s="26">
        <v>48.680830251751267</v>
      </c>
      <c r="AY172" s="26">
        <v>14.5718409155674</v>
      </c>
      <c r="AZ172" s="30">
        <v>3.3407467549103234</v>
      </c>
      <c r="BA172" s="26">
        <v>48.568493216944916</v>
      </c>
      <c r="BB172" s="26">
        <v>0.20724016123892058</v>
      </c>
      <c r="BC172" s="26">
        <v>0</v>
      </c>
      <c r="BD172" s="26">
        <v>0</v>
      </c>
      <c r="BE172" s="26">
        <v>48.775733378183837</v>
      </c>
      <c r="BF172" s="26">
        <v>20.863522805999835</v>
      </c>
      <c r="BG172" s="26">
        <v>15.052138769284864</v>
      </c>
      <c r="BH172" s="30">
        <v>2.3378474398464069</v>
      </c>
      <c r="BI172" s="26">
        <v>4.5847198421737927</v>
      </c>
      <c r="BJ172" s="26">
        <v>10.6184338855711</v>
      </c>
      <c r="BK172" s="26">
        <v>0</v>
      </c>
      <c r="BL172" s="26">
        <v>49.62806414369917</v>
      </c>
      <c r="BM172" s="26">
        <v>64.831217871444068</v>
      </c>
      <c r="BN172" s="26">
        <v>48.568493216944916</v>
      </c>
      <c r="BO172" s="26">
        <v>0</v>
      </c>
      <c r="BP172" s="26">
        <v>0.20724016123892058</v>
      </c>
      <c r="BQ172" s="26">
        <v>0</v>
      </c>
      <c r="BR172" s="26">
        <v>0</v>
      </c>
      <c r="BS172" s="26">
        <v>0</v>
      </c>
      <c r="BT172" s="26">
        <v>0</v>
      </c>
      <c r="BU172" s="26">
        <v>0</v>
      </c>
      <c r="BV172" s="26">
        <v>0</v>
      </c>
      <c r="BW172" s="26">
        <v>0</v>
      </c>
      <c r="BX172" s="26">
        <v>84.118182169045298</v>
      </c>
      <c r="BY172" s="26">
        <v>4.8506999999999998</v>
      </c>
      <c r="BZ172" s="26">
        <v>0</v>
      </c>
      <c r="CA172" s="26">
        <v>0</v>
      </c>
      <c r="CB172" s="26">
        <v>48.775733378183837</v>
      </c>
      <c r="CC172" s="26">
        <v>88.968882169045301</v>
      </c>
      <c r="CD172" s="742">
        <v>0.54823363168155259</v>
      </c>
      <c r="CE172" s="26">
        <v>64.680202912984029</v>
      </c>
      <c r="CF172" s="26">
        <v>0.95929801194160247</v>
      </c>
      <c r="CG172" s="26">
        <v>0</v>
      </c>
      <c r="CH172" s="26">
        <v>0.95929801194160247</v>
      </c>
      <c r="CI172" s="26">
        <v>4.7964252216988058E-2</v>
      </c>
      <c r="CJ172" s="26">
        <v>0</v>
      </c>
      <c r="CK172" s="26">
        <v>4.7964252216988058E-2</v>
      </c>
      <c r="CL172" s="26"/>
      <c r="CM172" s="26">
        <v>0</v>
      </c>
      <c r="CN172" s="26"/>
      <c r="CO172" s="26">
        <v>0</v>
      </c>
      <c r="CP172" s="26">
        <v>0</v>
      </c>
      <c r="CQ172" s="26">
        <v>0</v>
      </c>
      <c r="CR172" s="26">
        <v>0</v>
      </c>
      <c r="CS172" s="26">
        <v>0</v>
      </c>
      <c r="CT172" s="26">
        <v>0</v>
      </c>
      <c r="CU172" s="26">
        <v>0</v>
      </c>
      <c r="CV172" s="26">
        <v>9999</v>
      </c>
      <c r="CW172" s="30">
        <v>9999</v>
      </c>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row>
    <row r="173" spans="1:131">
      <c r="A173" s="7" t="s">
        <v>1321</v>
      </c>
      <c r="B173" s="7"/>
      <c r="C173" s="26">
        <v>10</v>
      </c>
      <c r="D173" s="26">
        <v>321.16441941429207</v>
      </c>
      <c r="E173" s="26">
        <v>0</v>
      </c>
      <c r="F173" s="26">
        <v>160</v>
      </c>
      <c r="G173" s="26">
        <v>0</v>
      </c>
      <c r="H173" s="26">
        <v>0</v>
      </c>
      <c r="I173" s="26"/>
      <c r="J173" s="26"/>
      <c r="K173" s="26"/>
      <c r="L173" s="26">
        <v>343.39414966181369</v>
      </c>
      <c r="M173" s="26">
        <v>9.133686683449805E-4</v>
      </c>
      <c r="N173" s="26">
        <v>9.0677638289118011E-4</v>
      </c>
      <c r="O173" s="26">
        <v>0</v>
      </c>
      <c r="P173" s="26">
        <v>0</v>
      </c>
      <c r="Q173" s="26">
        <v>0</v>
      </c>
      <c r="R173" s="26">
        <v>31.906137360347557</v>
      </c>
      <c r="S173" s="26">
        <v>73.730230543665215</v>
      </c>
      <c r="T173" s="26">
        <v>0</v>
      </c>
      <c r="U173" s="26">
        <v>191.76973147720528</v>
      </c>
      <c r="V173" s="26">
        <v>9.6</v>
      </c>
      <c r="W173" s="26">
        <v>22.4</v>
      </c>
      <c r="X173" s="26">
        <v>0</v>
      </c>
      <c r="Y173" s="26">
        <v>0</v>
      </c>
      <c r="Z173" s="26">
        <v>0</v>
      </c>
      <c r="AA173" s="26">
        <v>0</v>
      </c>
      <c r="AB173" s="26">
        <v>0</v>
      </c>
      <c r="AC173" s="26">
        <v>0</v>
      </c>
      <c r="AD173" s="26">
        <v>0</v>
      </c>
      <c r="AE173" s="26">
        <v>0</v>
      </c>
      <c r="AF173" s="26">
        <v>0</v>
      </c>
      <c r="AG173" s="26">
        <v>0</v>
      </c>
      <c r="AH173" s="26">
        <v>41.506137360347559</v>
      </c>
      <c r="AI173" s="26">
        <v>96.13023054366522</v>
      </c>
      <c r="AJ173" s="26">
        <v>0</v>
      </c>
      <c r="AK173" s="26">
        <v>191.76973147720528</v>
      </c>
      <c r="AL173" s="26">
        <v>329.40609938121804</v>
      </c>
      <c r="AM173" s="26">
        <v>165.16706583353366</v>
      </c>
      <c r="AN173" s="26">
        <v>0.32273743517799786</v>
      </c>
      <c r="AO173" s="26">
        <v>0</v>
      </c>
      <c r="AP173" s="26">
        <v>0</v>
      </c>
      <c r="AQ173" s="26">
        <v>165.48980326871165</v>
      </c>
      <c r="AR173" s="26">
        <v>41.506137360347559</v>
      </c>
      <c r="AS173" s="30">
        <v>3.9871164553801761</v>
      </c>
      <c r="AT173" s="26">
        <v>165.16706583353366</v>
      </c>
      <c r="AU173" s="26">
        <v>0.38202499592741579</v>
      </c>
      <c r="AV173" s="26">
        <v>0</v>
      </c>
      <c r="AW173" s="26">
        <v>0</v>
      </c>
      <c r="AX173" s="26">
        <v>165.54909082946108</v>
      </c>
      <c r="AY173" s="26">
        <v>96.13023054366522</v>
      </c>
      <c r="AZ173" s="30">
        <v>1.7221335046550601</v>
      </c>
      <c r="BA173" s="26">
        <v>165.16706583353366</v>
      </c>
      <c r="BB173" s="26">
        <v>0.7047624311054137</v>
      </c>
      <c r="BC173" s="26">
        <v>0</v>
      </c>
      <c r="BD173" s="26">
        <v>0</v>
      </c>
      <c r="BE173" s="26">
        <v>165.87182826463908</v>
      </c>
      <c r="BF173" s="26">
        <v>137.63636790401279</v>
      </c>
      <c r="BG173" s="26">
        <v>29.341406124503401</v>
      </c>
      <c r="BH173" s="30">
        <v>1.2051453463253086</v>
      </c>
      <c r="BI173" s="26">
        <v>8.8938446952653223</v>
      </c>
      <c r="BJ173" s="26">
        <v>20.598576387698106</v>
      </c>
      <c r="BK173" s="26">
        <v>0</v>
      </c>
      <c r="BL173" s="26">
        <v>41.092000303559828</v>
      </c>
      <c r="BM173" s="26">
        <v>70.584421386523246</v>
      </c>
      <c r="BN173" s="26">
        <v>165.16706583353366</v>
      </c>
      <c r="BO173" s="26">
        <v>0</v>
      </c>
      <c r="BP173" s="26">
        <v>0.7047624311054137</v>
      </c>
      <c r="BQ173" s="26">
        <v>0</v>
      </c>
      <c r="BR173" s="26">
        <v>0</v>
      </c>
      <c r="BS173" s="26">
        <v>0</v>
      </c>
      <c r="BT173" s="26">
        <v>0</v>
      </c>
      <c r="BU173" s="26">
        <v>0</v>
      </c>
      <c r="BV173" s="26">
        <v>0</v>
      </c>
      <c r="BW173" s="26">
        <v>0</v>
      </c>
      <c r="BX173" s="26">
        <v>297.40609938121804</v>
      </c>
      <c r="BY173" s="26">
        <v>32</v>
      </c>
      <c r="BZ173" s="26">
        <v>0</v>
      </c>
      <c r="CA173" s="26">
        <v>0</v>
      </c>
      <c r="CB173" s="26">
        <v>165.87182826463908</v>
      </c>
      <c r="CC173" s="26">
        <v>329.40609938121804</v>
      </c>
      <c r="CD173" s="742">
        <v>0.5035481388360008</v>
      </c>
      <c r="CE173" s="26">
        <v>70.433406428063208</v>
      </c>
      <c r="CF173" s="26">
        <v>3.2622885207617998</v>
      </c>
      <c r="CG173" s="26">
        <v>0</v>
      </c>
      <c r="CH173" s="26">
        <v>3.2622885207617998</v>
      </c>
      <c r="CI173" s="26">
        <v>0.16311222108936146</v>
      </c>
      <c r="CJ173" s="26">
        <v>0</v>
      </c>
      <c r="CK173" s="26">
        <v>0.16311222108936146</v>
      </c>
      <c r="CL173" s="26"/>
      <c r="CM173" s="26">
        <v>0</v>
      </c>
      <c r="CN173" s="26"/>
      <c r="CO173" s="26">
        <v>0</v>
      </c>
      <c r="CP173" s="26">
        <v>0</v>
      </c>
      <c r="CQ173" s="26">
        <v>0</v>
      </c>
      <c r="CR173" s="26">
        <v>0</v>
      </c>
      <c r="CS173" s="26">
        <v>0</v>
      </c>
      <c r="CT173" s="26">
        <v>0</v>
      </c>
      <c r="CU173" s="26">
        <v>0</v>
      </c>
      <c r="CV173" s="26">
        <v>9999</v>
      </c>
      <c r="CW173" s="30">
        <v>9999</v>
      </c>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row>
    <row r="174" spans="1:131">
      <c r="A174" s="7" t="s">
        <v>1334</v>
      </c>
      <c r="B174" s="7"/>
      <c r="C174" s="26">
        <v>10</v>
      </c>
      <c r="D174" s="26">
        <v>321.16441941429207</v>
      </c>
      <c r="E174" s="26">
        <v>0</v>
      </c>
      <c r="F174" s="26">
        <v>160</v>
      </c>
      <c r="G174" s="26">
        <v>0</v>
      </c>
      <c r="H174" s="26">
        <v>0</v>
      </c>
      <c r="I174" s="26"/>
      <c r="J174" s="26"/>
      <c r="K174" s="26"/>
      <c r="L174" s="26">
        <v>343.39414966181369</v>
      </c>
      <c r="M174" s="26">
        <v>9.133686683449805E-4</v>
      </c>
      <c r="N174" s="26">
        <v>9.0677638289118011E-4</v>
      </c>
      <c r="O174" s="26">
        <v>0</v>
      </c>
      <c r="P174" s="26">
        <v>0</v>
      </c>
      <c r="Q174" s="26">
        <v>0</v>
      </c>
      <c r="R174" s="26">
        <v>31.906137360347557</v>
      </c>
      <c r="S174" s="26">
        <v>73.730230543665215</v>
      </c>
      <c r="T174" s="26">
        <v>0</v>
      </c>
      <c r="U174" s="26">
        <v>191.76973147720528</v>
      </c>
      <c r="V174" s="26">
        <v>9.6</v>
      </c>
      <c r="W174" s="26">
        <v>22.4</v>
      </c>
      <c r="X174" s="26">
        <v>0</v>
      </c>
      <c r="Y174" s="26">
        <v>0</v>
      </c>
      <c r="Z174" s="26">
        <v>0</v>
      </c>
      <c r="AA174" s="26">
        <v>0</v>
      </c>
      <c r="AB174" s="26">
        <v>0</v>
      </c>
      <c r="AC174" s="26">
        <v>0</v>
      </c>
      <c r="AD174" s="26">
        <v>0</v>
      </c>
      <c r="AE174" s="26">
        <v>0</v>
      </c>
      <c r="AF174" s="26">
        <v>0</v>
      </c>
      <c r="AG174" s="26">
        <v>0</v>
      </c>
      <c r="AH174" s="26">
        <v>41.506137360347559</v>
      </c>
      <c r="AI174" s="26">
        <v>96.13023054366522</v>
      </c>
      <c r="AJ174" s="26">
        <v>0</v>
      </c>
      <c r="AK174" s="26">
        <v>191.76973147720528</v>
      </c>
      <c r="AL174" s="26">
        <v>329.40609938121804</v>
      </c>
      <c r="AM174" s="26">
        <v>165.16706583353366</v>
      </c>
      <c r="AN174" s="26">
        <v>0.32273743517799786</v>
      </c>
      <c r="AO174" s="26">
        <v>0</v>
      </c>
      <c r="AP174" s="26">
        <v>0</v>
      </c>
      <c r="AQ174" s="26">
        <v>165.48980326871165</v>
      </c>
      <c r="AR174" s="26">
        <v>41.506137360347559</v>
      </c>
      <c r="AS174" s="30">
        <v>3.9871164553801761</v>
      </c>
      <c r="AT174" s="26">
        <v>165.16706583353366</v>
      </c>
      <c r="AU174" s="26">
        <v>0.38202499592741579</v>
      </c>
      <c r="AV174" s="26">
        <v>0</v>
      </c>
      <c r="AW174" s="26">
        <v>0</v>
      </c>
      <c r="AX174" s="26">
        <v>165.54909082946108</v>
      </c>
      <c r="AY174" s="26">
        <v>96.13023054366522</v>
      </c>
      <c r="AZ174" s="30">
        <v>1.7221335046550601</v>
      </c>
      <c r="BA174" s="26">
        <v>165.16706583353366</v>
      </c>
      <c r="BB174" s="26">
        <v>0.7047624311054137</v>
      </c>
      <c r="BC174" s="26">
        <v>0</v>
      </c>
      <c r="BD174" s="26">
        <v>0</v>
      </c>
      <c r="BE174" s="26">
        <v>165.87182826463908</v>
      </c>
      <c r="BF174" s="26">
        <v>137.63636790401279</v>
      </c>
      <c r="BG174" s="26">
        <v>29.341406124503401</v>
      </c>
      <c r="BH174" s="30">
        <v>1.2051453463253086</v>
      </c>
      <c r="BI174" s="26">
        <v>8.8938446952653223</v>
      </c>
      <c r="BJ174" s="26">
        <v>20.598576387698106</v>
      </c>
      <c r="BK174" s="26">
        <v>0</v>
      </c>
      <c r="BL174" s="26">
        <v>41.092000303559828</v>
      </c>
      <c r="BM174" s="26">
        <v>70.584421386523246</v>
      </c>
      <c r="BN174" s="26">
        <v>165.16706583353366</v>
      </c>
      <c r="BO174" s="26">
        <v>0</v>
      </c>
      <c r="BP174" s="26">
        <v>0.7047624311054137</v>
      </c>
      <c r="BQ174" s="26">
        <v>0</v>
      </c>
      <c r="BR174" s="26">
        <v>0</v>
      </c>
      <c r="BS174" s="26">
        <v>0</v>
      </c>
      <c r="BT174" s="26">
        <v>0</v>
      </c>
      <c r="BU174" s="26">
        <v>0</v>
      </c>
      <c r="BV174" s="26">
        <v>0</v>
      </c>
      <c r="BW174" s="26">
        <v>0</v>
      </c>
      <c r="BX174" s="26">
        <v>297.40609938121804</v>
      </c>
      <c r="BY174" s="26">
        <v>32</v>
      </c>
      <c r="BZ174" s="26">
        <v>0</v>
      </c>
      <c r="CA174" s="26">
        <v>0</v>
      </c>
      <c r="CB174" s="26">
        <v>165.87182826463908</v>
      </c>
      <c r="CC174" s="26">
        <v>329.40609938121804</v>
      </c>
      <c r="CD174" s="742">
        <v>0.5035481388360008</v>
      </c>
      <c r="CE174" s="26">
        <v>70.433406428063208</v>
      </c>
      <c r="CF174" s="26">
        <v>3.2622885207617998</v>
      </c>
      <c r="CG174" s="26">
        <v>0</v>
      </c>
      <c r="CH174" s="26">
        <v>3.2622885207617998</v>
      </c>
      <c r="CI174" s="26">
        <v>0.16311222108936146</v>
      </c>
      <c r="CJ174" s="26">
        <v>0</v>
      </c>
      <c r="CK174" s="26">
        <v>0.16311222108936146</v>
      </c>
      <c r="CL174" s="26"/>
      <c r="CM174" s="26">
        <v>0</v>
      </c>
      <c r="CN174" s="26"/>
      <c r="CO174" s="26">
        <v>0</v>
      </c>
      <c r="CP174" s="26">
        <v>0</v>
      </c>
      <c r="CQ174" s="26">
        <v>0</v>
      </c>
      <c r="CR174" s="26">
        <v>0</v>
      </c>
      <c r="CS174" s="26">
        <v>0</v>
      </c>
      <c r="CT174" s="26">
        <v>0</v>
      </c>
      <c r="CU174" s="26">
        <v>0</v>
      </c>
      <c r="CV174" s="26">
        <v>9999</v>
      </c>
      <c r="CW174" s="30">
        <v>9999</v>
      </c>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row>
    <row r="175" spans="1:131">
      <c r="A175" s="7" t="s">
        <v>1317</v>
      </c>
      <c r="B175" s="7"/>
      <c r="C175" s="26">
        <v>5</v>
      </c>
      <c r="D175" s="26">
        <v>62.327826960526821</v>
      </c>
      <c r="E175" s="26">
        <v>0</v>
      </c>
      <c r="F175" s="26">
        <v>19.733333333333334</v>
      </c>
      <c r="G175" s="26">
        <v>0</v>
      </c>
      <c r="H175" s="26">
        <v>0</v>
      </c>
      <c r="I175" s="26"/>
      <c r="J175" s="26"/>
      <c r="K175" s="26"/>
      <c r="L175" s="26">
        <v>66.641912508276818</v>
      </c>
      <c r="M175" s="26">
        <v>1.7725588785829057E-4</v>
      </c>
      <c r="N175" s="26">
        <v>1.75976534348994E-4</v>
      </c>
      <c r="O175" s="26">
        <v>0</v>
      </c>
      <c r="P175" s="26">
        <v>0</v>
      </c>
      <c r="Q175" s="26">
        <v>0</v>
      </c>
      <c r="R175" s="26">
        <v>3.9350902744428655</v>
      </c>
      <c r="S175" s="26">
        <v>9.0933951003853757</v>
      </c>
      <c r="T175" s="26">
        <v>0</v>
      </c>
      <c r="U175" s="26">
        <v>55.412445960270915</v>
      </c>
      <c r="V175" s="26">
        <v>1.1840000000000002</v>
      </c>
      <c r="W175" s="26">
        <v>2.7626666666666666</v>
      </c>
      <c r="X175" s="26">
        <v>0</v>
      </c>
      <c r="Y175" s="26">
        <v>0</v>
      </c>
      <c r="Z175" s="26">
        <v>0</v>
      </c>
      <c r="AA175" s="26">
        <v>0</v>
      </c>
      <c r="AB175" s="26">
        <v>0</v>
      </c>
      <c r="AC175" s="26">
        <v>0</v>
      </c>
      <c r="AD175" s="26">
        <v>0</v>
      </c>
      <c r="AE175" s="26">
        <v>0</v>
      </c>
      <c r="AF175" s="26">
        <v>0</v>
      </c>
      <c r="AG175" s="26">
        <v>0</v>
      </c>
      <c r="AH175" s="26">
        <v>5.1190902744428657</v>
      </c>
      <c r="AI175" s="26">
        <v>11.856061767052042</v>
      </c>
      <c r="AJ175" s="26">
        <v>0</v>
      </c>
      <c r="AK175" s="26">
        <v>55.412445960270915</v>
      </c>
      <c r="AL175" s="26">
        <v>72.387598001765824</v>
      </c>
      <c r="AM175" s="26">
        <v>32.05368862971968</v>
      </c>
      <c r="AN175" s="26">
        <v>6.2633099426590261E-2</v>
      </c>
      <c r="AO175" s="26">
        <v>0</v>
      </c>
      <c r="AP175" s="26">
        <v>0</v>
      </c>
      <c r="AQ175" s="26">
        <v>32.116321729146271</v>
      </c>
      <c r="AR175" s="26">
        <v>5.1190902744428657</v>
      </c>
      <c r="AS175" s="30">
        <v>6.2738338273672349</v>
      </c>
      <c r="AT175" s="26">
        <v>32.05368862971968</v>
      </c>
      <c r="AU175" s="26">
        <v>7.4138934456636538E-2</v>
      </c>
      <c r="AV175" s="26">
        <v>0</v>
      </c>
      <c r="AW175" s="26">
        <v>0</v>
      </c>
      <c r="AX175" s="26">
        <v>32.127827564176314</v>
      </c>
      <c r="AY175" s="26">
        <v>11.856061767052042</v>
      </c>
      <c r="AZ175" s="30">
        <v>2.7098228902163317</v>
      </c>
      <c r="BA175" s="26">
        <v>32.05368862971968</v>
      </c>
      <c r="BB175" s="26">
        <v>0.13677203388322678</v>
      </c>
      <c r="BC175" s="26">
        <v>0</v>
      </c>
      <c r="BD175" s="26">
        <v>0</v>
      </c>
      <c r="BE175" s="26">
        <v>32.190460663602906</v>
      </c>
      <c r="BF175" s="26">
        <v>16.975152041494908</v>
      </c>
      <c r="BG175" s="26">
        <v>18.591865494628127</v>
      </c>
      <c r="BH175" s="30">
        <v>1.8963282676299416</v>
      </c>
      <c r="BI175" s="26">
        <v>5.6521730590637693</v>
      </c>
      <c r="BJ175" s="26">
        <v>13.090707394024385</v>
      </c>
      <c r="BK175" s="26">
        <v>0</v>
      </c>
      <c r="BL175" s="26">
        <v>61.182889420241246</v>
      </c>
      <c r="BM175" s="26">
        <v>79.925769873329401</v>
      </c>
      <c r="BN175" s="26">
        <v>32.05368862971968</v>
      </c>
      <c r="BO175" s="26">
        <v>0</v>
      </c>
      <c r="BP175" s="26">
        <v>0.13677203388322678</v>
      </c>
      <c r="BQ175" s="26">
        <v>0</v>
      </c>
      <c r="BR175" s="26">
        <v>0</v>
      </c>
      <c r="BS175" s="26">
        <v>0</v>
      </c>
      <c r="BT175" s="26">
        <v>0</v>
      </c>
      <c r="BU175" s="26">
        <v>0</v>
      </c>
      <c r="BV175" s="26">
        <v>0</v>
      </c>
      <c r="BW175" s="26">
        <v>0</v>
      </c>
      <c r="BX175" s="26">
        <v>68.440931335099151</v>
      </c>
      <c r="BY175" s="26">
        <v>3.9466666666666672</v>
      </c>
      <c r="BZ175" s="26">
        <v>0</v>
      </c>
      <c r="CA175" s="26">
        <v>0</v>
      </c>
      <c r="CB175" s="26">
        <v>32.190460663602906</v>
      </c>
      <c r="CC175" s="26">
        <v>72.387598001765824</v>
      </c>
      <c r="CD175" s="742">
        <v>0.44469579806775261</v>
      </c>
      <c r="CE175" s="26">
        <v>79.774754914869376</v>
      </c>
      <c r="CF175" s="26">
        <v>0.63310672704084014</v>
      </c>
      <c r="CG175" s="26">
        <v>0</v>
      </c>
      <c r="CH175" s="26">
        <v>0.63310672704084014</v>
      </c>
      <c r="CI175" s="26">
        <v>3.1654908441431491E-2</v>
      </c>
      <c r="CJ175" s="26">
        <v>0</v>
      </c>
      <c r="CK175" s="26">
        <v>3.1654908441431491E-2</v>
      </c>
      <c r="CL175" s="26"/>
      <c r="CM175" s="26">
        <v>0</v>
      </c>
      <c r="CN175" s="26"/>
      <c r="CO175" s="26">
        <v>0</v>
      </c>
      <c r="CP175" s="26">
        <v>0</v>
      </c>
      <c r="CQ175" s="26">
        <v>0</v>
      </c>
      <c r="CR175" s="26">
        <v>0</v>
      </c>
      <c r="CS175" s="26">
        <v>0</v>
      </c>
      <c r="CT175" s="26">
        <v>0</v>
      </c>
      <c r="CU175" s="26">
        <v>0</v>
      </c>
      <c r="CV175" s="26">
        <v>9999</v>
      </c>
      <c r="CW175" s="30">
        <v>9999</v>
      </c>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row>
    <row r="176" spans="1:131">
      <c r="A176" s="7" t="s">
        <v>1330</v>
      </c>
      <c r="B176" s="7"/>
      <c r="C176" s="26">
        <v>5</v>
      </c>
      <c r="D176" s="26">
        <v>62.327826960526821</v>
      </c>
      <c r="E176" s="26">
        <v>0</v>
      </c>
      <c r="F176" s="26">
        <v>19.733333333333334</v>
      </c>
      <c r="G176" s="26">
        <v>0</v>
      </c>
      <c r="H176" s="26">
        <v>0</v>
      </c>
      <c r="I176" s="26"/>
      <c r="J176" s="26"/>
      <c r="K176" s="26"/>
      <c r="L176" s="26">
        <v>66.641912508276818</v>
      </c>
      <c r="M176" s="26">
        <v>1.7725588785829057E-4</v>
      </c>
      <c r="N176" s="26">
        <v>1.75976534348994E-4</v>
      </c>
      <c r="O176" s="26">
        <v>0</v>
      </c>
      <c r="P176" s="26">
        <v>0</v>
      </c>
      <c r="Q176" s="26">
        <v>0</v>
      </c>
      <c r="R176" s="26">
        <v>3.9350902744428655</v>
      </c>
      <c r="S176" s="26">
        <v>9.0933951003853757</v>
      </c>
      <c r="T176" s="26">
        <v>0</v>
      </c>
      <c r="U176" s="26">
        <v>55.412445960270915</v>
      </c>
      <c r="V176" s="26">
        <v>1.1840000000000002</v>
      </c>
      <c r="W176" s="26">
        <v>2.7626666666666666</v>
      </c>
      <c r="X176" s="26">
        <v>0</v>
      </c>
      <c r="Y176" s="26">
        <v>0</v>
      </c>
      <c r="Z176" s="26">
        <v>0</v>
      </c>
      <c r="AA176" s="26">
        <v>0</v>
      </c>
      <c r="AB176" s="26">
        <v>0</v>
      </c>
      <c r="AC176" s="26">
        <v>0</v>
      </c>
      <c r="AD176" s="26">
        <v>0</v>
      </c>
      <c r="AE176" s="26">
        <v>0</v>
      </c>
      <c r="AF176" s="26">
        <v>0</v>
      </c>
      <c r="AG176" s="26">
        <v>0</v>
      </c>
      <c r="AH176" s="26">
        <v>5.1190902744428657</v>
      </c>
      <c r="AI176" s="26">
        <v>11.856061767052042</v>
      </c>
      <c r="AJ176" s="26">
        <v>0</v>
      </c>
      <c r="AK176" s="26">
        <v>55.412445960270915</v>
      </c>
      <c r="AL176" s="26">
        <v>72.387598001765824</v>
      </c>
      <c r="AM176" s="26">
        <v>32.05368862971968</v>
      </c>
      <c r="AN176" s="26">
        <v>6.2633099426590261E-2</v>
      </c>
      <c r="AO176" s="26">
        <v>0</v>
      </c>
      <c r="AP176" s="26">
        <v>0</v>
      </c>
      <c r="AQ176" s="26">
        <v>32.116321729146271</v>
      </c>
      <c r="AR176" s="26">
        <v>5.1190902744428657</v>
      </c>
      <c r="AS176" s="30">
        <v>6.2738338273672349</v>
      </c>
      <c r="AT176" s="26">
        <v>32.05368862971968</v>
      </c>
      <c r="AU176" s="26">
        <v>7.4138934456636538E-2</v>
      </c>
      <c r="AV176" s="26">
        <v>0</v>
      </c>
      <c r="AW176" s="26">
        <v>0</v>
      </c>
      <c r="AX176" s="26">
        <v>32.127827564176314</v>
      </c>
      <c r="AY176" s="26">
        <v>11.856061767052042</v>
      </c>
      <c r="AZ176" s="30">
        <v>2.7098228902163317</v>
      </c>
      <c r="BA176" s="26">
        <v>32.05368862971968</v>
      </c>
      <c r="BB176" s="26">
        <v>0.13677203388322678</v>
      </c>
      <c r="BC176" s="26">
        <v>0</v>
      </c>
      <c r="BD176" s="26">
        <v>0</v>
      </c>
      <c r="BE176" s="26">
        <v>32.190460663602906</v>
      </c>
      <c r="BF176" s="26">
        <v>16.975152041494908</v>
      </c>
      <c r="BG176" s="26">
        <v>18.591865494628127</v>
      </c>
      <c r="BH176" s="30">
        <v>1.8963282676299416</v>
      </c>
      <c r="BI176" s="26">
        <v>5.6521730590637693</v>
      </c>
      <c r="BJ176" s="26">
        <v>13.090707394024385</v>
      </c>
      <c r="BK176" s="26">
        <v>0</v>
      </c>
      <c r="BL176" s="26">
        <v>61.182889420241246</v>
      </c>
      <c r="BM176" s="26">
        <v>79.925769873329401</v>
      </c>
      <c r="BN176" s="26">
        <v>32.05368862971968</v>
      </c>
      <c r="BO176" s="26">
        <v>0</v>
      </c>
      <c r="BP176" s="26">
        <v>0.13677203388322678</v>
      </c>
      <c r="BQ176" s="26">
        <v>0</v>
      </c>
      <c r="BR176" s="26">
        <v>0</v>
      </c>
      <c r="BS176" s="26">
        <v>0</v>
      </c>
      <c r="BT176" s="26">
        <v>0</v>
      </c>
      <c r="BU176" s="26">
        <v>0</v>
      </c>
      <c r="BV176" s="26">
        <v>0</v>
      </c>
      <c r="BW176" s="26">
        <v>0</v>
      </c>
      <c r="BX176" s="26">
        <v>68.440931335099151</v>
      </c>
      <c r="BY176" s="26">
        <v>3.9466666666666672</v>
      </c>
      <c r="BZ176" s="26">
        <v>0</v>
      </c>
      <c r="CA176" s="26">
        <v>0</v>
      </c>
      <c r="CB176" s="26">
        <v>32.190460663602906</v>
      </c>
      <c r="CC176" s="26">
        <v>72.387598001765824</v>
      </c>
      <c r="CD176" s="742">
        <v>0.44469579806775261</v>
      </c>
      <c r="CE176" s="26">
        <v>79.774754914869376</v>
      </c>
      <c r="CF176" s="26">
        <v>0.63310672704084014</v>
      </c>
      <c r="CG176" s="26">
        <v>0</v>
      </c>
      <c r="CH176" s="26">
        <v>0.63310672704084014</v>
      </c>
      <c r="CI176" s="26">
        <v>3.1654908441431491E-2</v>
      </c>
      <c r="CJ176" s="26">
        <v>0</v>
      </c>
      <c r="CK176" s="26">
        <v>3.1654908441431491E-2</v>
      </c>
      <c r="CL176" s="26"/>
      <c r="CM176" s="26">
        <v>0</v>
      </c>
      <c r="CN176" s="26"/>
      <c r="CO176" s="26">
        <v>0</v>
      </c>
      <c r="CP176" s="26">
        <v>0</v>
      </c>
      <c r="CQ176" s="26">
        <v>0</v>
      </c>
      <c r="CR176" s="26">
        <v>0</v>
      </c>
      <c r="CS176" s="26">
        <v>0</v>
      </c>
      <c r="CT176" s="26">
        <v>0</v>
      </c>
      <c r="CU176" s="26">
        <v>0</v>
      </c>
      <c r="CV176" s="26">
        <v>9999</v>
      </c>
      <c r="CW176" s="30">
        <v>9999</v>
      </c>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row>
    <row r="177" spans="1:131">
      <c r="A177" s="7" t="s">
        <v>1325</v>
      </c>
      <c r="B177" s="7"/>
      <c r="C177" s="26">
        <v>10</v>
      </c>
      <c r="D177" s="26">
        <v>9.3563524639531614</v>
      </c>
      <c r="E177" s="26">
        <v>0</v>
      </c>
      <c r="F177" s="26">
        <v>6.1749999999999998</v>
      </c>
      <c r="G177" s="26">
        <v>0</v>
      </c>
      <c r="H177" s="26">
        <v>0</v>
      </c>
      <c r="I177" s="26"/>
      <c r="J177" s="26"/>
      <c r="K177" s="26"/>
      <c r="L177" s="26">
        <v>10.003962157933968</v>
      </c>
      <c r="M177" s="26">
        <v>2.6608798092117926E-5</v>
      </c>
      <c r="N177" s="26">
        <v>2.6416747720033641E-5</v>
      </c>
      <c r="O177" s="26">
        <v>0</v>
      </c>
      <c r="P177" s="26">
        <v>0</v>
      </c>
      <c r="Q177" s="26">
        <v>0</v>
      </c>
      <c r="R177" s="26">
        <v>1.2313774887509135</v>
      </c>
      <c r="S177" s="26">
        <v>2.8455260850445794</v>
      </c>
      <c r="T177" s="26">
        <v>0</v>
      </c>
      <c r="U177" s="26">
        <v>7.4011130741983902</v>
      </c>
      <c r="V177" s="26">
        <v>0.3705</v>
      </c>
      <c r="W177" s="26">
        <v>0.86449999999999994</v>
      </c>
      <c r="X177" s="26">
        <v>0</v>
      </c>
      <c r="Y177" s="26">
        <v>0</v>
      </c>
      <c r="Z177" s="26">
        <v>0</v>
      </c>
      <c r="AA177" s="26">
        <v>0</v>
      </c>
      <c r="AB177" s="26">
        <v>0</v>
      </c>
      <c r="AC177" s="26">
        <v>0</v>
      </c>
      <c r="AD177" s="26">
        <v>0</v>
      </c>
      <c r="AE177" s="26">
        <v>0</v>
      </c>
      <c r="AF177" s="26">
        <v>0</v>
      </c>
      <c r="AG177" s="26">
        <v>0</v>
      </c>
      <c r="AH177" s="26">
        <v>1.6018774887509135</v>
      </c>
      <c r="AI177" s="26">
        <v>3.7100260850445794</v>
      </c>
      <c r="AJ177" s="26">
        <v>0</v>
      </c>
      <c r="AK177" s="26">
        <v>7.4011130741983902</v>
      </c>
      <c r="AL177" s="26">
        <v>12.713016647993882</v>
      </c>
      <c r="AM177" s="26">
        <v>4.8117449815697988</v>
      </c>
      <c r="AN177" s="26">
        <v>9.40217849270014E-3</v>
      </c>
      <c r="AO177" s="26">
        <v>0</v>
      </c>
      <c r="AP177" s="26">
        <v>0</v>
      </c>
      <c r="AQ177" s="26">
        <v>4.8211471600624991</v>
      </c>
      <c r="AR177" s="26">
        <v>1.6018774887509135</v>
      </c>
      <c r="AS177" s="30">
        <v>3.0096853185831685</v>
      </c>
      <c r="AT177" s="26">
        <v>4.8117449815697988</v>
      </c>
      <c r="AU177" s="26">
        <v>1.1129378897126081E-2</v>
      </c>
      <c r="AV177" s="26">
        <v>0</v>
      </c>
      <c r="AW177" s="26">
        <v>0</v>
      </c>
      <c r="AX177" s="26">
        <v>4.8228743604669253</v>
      </c>
      <c r="AY177" s="26">
        <v>3.7100260850445794</v>
      </c>
      <c r="AZ177" s="30">
        <v>1.299956994886998</v>
      </c>
      <c r="BA177" s="26">
        <v>4.8117449815697988</v>
      </c>
      <c r="BB177" s="26">
        <v>2.0531557389826219E-2</v>
      </c>
      <c r="BC177" s="26">
        <v>0</v>
      </c>
      <c r="BD177" s="26">
        <v>0</v>
      </c>
      <c r="BE177" s="26">
        <v>4.8322765389596256</v>
      </c>
      <c r="BF177" s="26">
        <v>5.3119035737954921</v>
      </c>
      <c r="BG177" s="26">
        <v>38.919420971446755</v>
      </c>
      <c r="BH177" s="742">
        <v>0.90970712698891099</v>
      </c>
      <c r="BI177" s="26">
        <v>11.782226639156253</v>
      </c>
      <c r="BJ177" s="26">
        <v>27.288209290750544</v>
      </c>
      <c r="BK177" s="26">
        <v>0</v>
      </c>
      <c r="BL177" s="26">
        <v>54.437116592620683</v>
      </c>
      <c r="BM177" s="26">
        <v>93.507552522527476</v>
      </c>
      <c r="BN177" s="26">
        <v>4.8117449815697988</v>
      </c>
      <c r="BO177" s="26">
        <v>0</v>
      </c>
      <c r="BP177" s="26">
        <v>2.0531557389826219E-2</v>
      </c>
      <c r="BQ177" s="26">
        <v>0</v>
      </c>
      <c r="BR177" s="26">
        <v>0</v>
      </c>
      <c r="BS177" s="26">
        <v>0</v>
      </c>
      <c r="BT177" s="26">
        <v>0</v>
      </c>
      <c r="BU177" s="26">
        <v>0</v>
      </c>
      <c r="BV177" s="26">
        <v>0</v>
      </c>
      <c r="BW177" s="26">
        <v>0</v>
      </c>
      <c r="BX177" s="26">
        <v>11.478016647993883</v>
      </c>
      <c r="BY177" s="26">
        <v>1.2350000000000001</v>
      </c>
      <c r="BZ177" s="26">
        <v>0</v>
      </c>
      <c r="CA177" s="26">
        <v>0</v>
      </c>
      <c r="CB177" s="26">
        <v>4.8322765389596256</v>
      </c>
      <c r="CC177" s="26">
        <v>12.713016647993882</v>
      </c>
      <c r="CD177" s="742">
        <v>0.38010463391646387</v>
      </c>
      <c r="CE177" s="26">
        <v>93.356537564067438</v>
      </c>
      <c r="CF177" s="26">
        <v>9.5038925217870746E-2</v>
      </c>
      <c r="CG177" s="26">
        <v>0</v>
      </c>
      <c r="CH177" s="26">
        <v>9.5038925217870746E-2</v>
      </c>
      <c r="CI177" s="26">
        <v>4.7518820250186337E-3</v>
      </c>
      <c r="CJ177" s="26">
        <v>0</v>
      </c>
      <c r="CK177" s="26">
        <v>4.7518820250186337E-3</v>
      </c>
      <c r="CL177" s="26"/>
      <c r="CM177" s="26">
        <v>0</v>
      </c>
      <c r="CN177" s="26"/>
      <c r="CO177" s="26">
        <v>0</v>
      </c>
      <c r="CP177" s="26">
        <v>0</v>
      </c>
      <c r="CQ177" s="26">
        <v>0</v>
      </c>
      <c r="CR177" s="26">
        <v>0</v>
      </c>
      <c r="CS177" s="26">
        <v>0</v>
      </c>
      <c r="CT177" s="26">
        <v>0</v>
      </c>
      <c r="CU177" s="26">
        <v>0</v>
      </c>
      <c r="CV177" s="26">
        <v>9999</v>
      </c>
      <c r="CW177" s="30">
        <v>9999</v>
      </c>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row>
    <row r="178" spans="1:131">
      <c r="A178" s="7" t="s">
        <v>1338</v>
      </c>
      <c r="B178" s="7"/>
      <c r="C178" s="26">
        <v>10</v>
      </c>
      <c r="D178" s="26">
        <v>9.3563524639531614</v>
      </c>
      <c r="E178" s="26">
        <v>0</v>
      </c>
      <c r="F178" s="26">
        <v>6.1749999999999998</v>
      </c>
      <c r="G178" s="26">
        <v>0</v>
      </c>
      <c r="H178" s="26">
        <v>0</v>
      </c>
      <c r="I178" s="26"/>
      <c r="J178" s="26"/>
      <c r="K178" s="26"/>
      <c r="L178" s="26">
        <v>10.003962157933968</v>
      </c>
      <c r="M178" s="26">
        <v>2.6608798092117926E-5</v>
      </c>
      <c r="N178" s="26">
        <v>2.6416747720033641E-5</v>
      </c>
      <c r="O178" s="26">
        <v>0</v>
      </c>
      <c r="P178" s="26">
        <v>0</v>
      </c>
      <c r="Q178" s="26">
        <v>0</v>
      </c>
      <c r="R178" s="26">
        <v>1.2313774887509135</v>
      </c>
      <c r="S178" s="26">
        <v>2.8455260850445794</v>
      </c>
      <c r="T178" s="26">
        <v>0</v>
      </c>
      <c r="U178" s="26">
        <v>7.4011130741983902</v>
      </c>
      <c r="V178" s="26">
        <v>0.3705</v>
      </c>
      <c r="W178" s="26">
        <v>0.86449999999999994</v>
      </c>
      <c r="X178" s="26">
        <v>0</v>
      </c>
      <c r="Y178" s="26">
        <v>0</v>
      </c>
      <c r="Z178" s="26">
        <v>0</v>
      </c>
      <c r="AA178" s="26">
        <v>0</v>
      </c>
      <c r="AB178" s="26">
        <v>0</v>
      </c>
      <c r="AC178" s="26">
        <v>0</v>
      </c>
      <c r="AD178" s="26">
        <v>0</v>
      </c>
      <c r="AE178" s="26">
        <v>0</v>
      </c>
      <c r="AF178" s="26">
        <v>0</v>
      </c>
      <c r="AG178" s="26">
        <v>0</v>
      </c>
      <c r="AH178" s="26">
        <v>1.6018774887509135</v>
      </c>
      <c r="AI178" s="26">
        <v>3.7100260850445794</v>
      </c>
      <c r="AJ178" s="26">
        <v>0</v>
      </c>
      <c r="AK178" s="26">
        <v>7.4011130741983902</v>
      </c>
      <c r="AL178" s="26">
        <v>12.713016647993882</v>
      </c>
      <c r="AM178" s="26">
        <v>4.8117449815697988</v>
      </c>
      <c r="AN178" s="26">
        <v>9.40217849270014E-3</v>
      </c>
      <c r="AO178" s="26">
        <v>0</v>
      </c>
      <c r="AP178" s="26">
        <v>0</v>
      </c>
      <c r="AQ178" s="26">
        <v>4.8211471600624991</v>
      </c>
      <c r="AR178" s="26">
        <v>1.6018774887509135</v>
      </c>
      <c r="AS178" s="30">
        <v>3.0096853185831685</v>
      </c>
      <c r="AT178" s="26">
        <v>4.8117449815697988</v>
      </c>
      <c r="AU178" s="26">
        <v>1.1129378897126081E-2</v>
      </c>
      <c r="AV178" s="26">
        <v>0</v>
      </c>
      <c r="AW178" s="26">
        <v>0</v>
      </c>
      <c r="AX178" s="26">
        <v>4.8228743604669253</v>
      </c>
      <c r="AY178" s="26">
        <v>3.7100260850445794</v>
      </c>
      <c r="AZ178" s="30">
        <v>1.299956994886998</v>
      </c>
      <c r="BA178" s="26">
        <v>4.8117449815697988</v>
      </c>
      <c r="BB178" s="26">
        <v>2.0531557389826219E-2</v>
      </c>
      <c r="BC178" s="26">
        <v>0</v>
      </c>
      <c r="BD178" s="26">
        <v>0</v>
      </c>
      <c r="BE178" s="26">
        <v>4.8322765389596256</v>
      </c>
      <c r="BF178" s="26">
        <v>5.3119035737954921</v>
      </c>
      <c r="BG178" s="26">
        <v>38.919420971446755</v>
      </c>
      <c r="BH178" s="742">
        <v>0.90970712698891099</v>
      </c>
      <c r="BI178" s="26">
        <v>11.782226639156253</v>
      </c>
      <c r="BJ178" s="26">
        <v>27.288209290750544</v>
      </c>
      <c r="BK178" s="26">
        <v>0</v>
      </c>
      <c r="BL178" s="26">
        <v>54.437116592620683</v>
      </c>
      <c r="BM178" s="26">
        <v>93.507552522527476</v>
      </c>
      <c r="BN178" s="26">
        <v>4.8117449815697988</v>
      </c>
      <c r="BO178" s="26">
        <v>0</v>
      </c>
      <c r="BP178" s="26">
        <v>2.0531557389826219E-2</v>
      </c>
      <c r="BQ178" s="26">
        <v>0</v>
      </c>
      <c r="BR178" s="26">
        <v>0</v>
      </c>
      <c r="BS178" s="26">
        <v>0</v>
      </c>
      <c r="BT178" s="26">
        <v>0</v>
      </c>
      <c r="BU178" s="26">
        <v>0</v>
      </c>
      <c r="BV178" s="26">
        <v>0</v>
      </c>
      <c r="BW178" s="26">
        <v>0</v>
      </c>
      <c r="BX178" s="26">
        <v>11.478016647993883</v>
      </c>
      <c r="BY178" s="26">
        <v>1.2350000000000001</v>
      </c>
      <c r="BZ178" s="26">
        <v>0</v>
      </c>
      <c r="CA178" s="26">
        <v>0</v>
      </c>
      <c r="CB178" s="26">
        <v>4.8322765389596256</v>
      </c>
      <c r="CC178" s="26">
        <v>12.713016647993882</v>
      </c>
      <c r="CD178" s="742">
        <v>0.38010463391646387</v>
      </c>
      <c r="CE178" s="26">
        <v>93.356537564067438</v>
      </c>
      <c r="CF178" s="26">
        <v>9.5038925217870746E-2</v>
      </c>
      <c r="CG178" s="26">
        <v>0</v>
      </c>
      <c r="CH178" s="26">
        <v>9.5038925217870746E-2</v>
      </c>
      <c r="CI178" s="26">
        <v>4.7518820250186337E-3</v>
      </c>
      <c r="CJ178" s="26">
        <v>0</v>
      </c>
      <c r="CK178" s="26">
        <v>4.7518820250186337E-3</v>
      </c>
      <c r="CL178" s="26"/>
      <c r="CM178" s="26">
        <v>0</v>
      </c>
      <c r="CN178" s="26"/>
      <c r="CO178" s="26">
        <v>0</v>
      </c>
      <c r="CP178" s="26">
        <v>0</v>
      </c>
      <c r="CQ178" s="26">
        <v>0</v>
      </c>
      <c r="CR178" s="26">
        <v>0</v>
      </c>
      <c r="CS178" s="26">
        <v>0</v>
      </c>
      <c r="CT178" s="26">
        <v>0</v>
      </c>
      <c r="CU178" s="26">
        <v>0</v>
      </c>
      <c r="CV178" s="26">
        <v>9999</v>
      </c>
      <c r="CW178" s="30">
        <v>9999</v>
      </c>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row>
    <row r="179" spans="1:131">
      <c r="A179" s="7" t="s">
        <v>1301</v>
      </c>
      <c r="B179" s="7"/>
      <c r="C179" s="26">
        <v>10</v>
      </c>
      <c r="D179" s="26">
        <v>233.7487263782885</v>
      </c>
      <c r="E179" s="26">
        <v>0</v>
      </c>
      <c r="F179" s="26">
        <v>160</v>
      </c>
      <c r="G179" s="26">
        <v>0</v>
      </c>
      <c r="H179" s="26">
        <v>0</v>
      </c>
      <c r="I179" s="26"/>
      <c r="J179" s="26"/>
      <c r="K179" s="26"/>
      <c r="L179" s="26">
        <v>249.92788826230839</v>
      </c>
      <c r="M179" s="26">
        <v>6.64764681370466E-4</v>
      </c>
      <c r="N179" s="26">
        <v>6.5996670800978622E-4</v>
      </c>
      <c r="O179" s="26">
        <v>0</v>
      </c>
      <c r="P179" s="26">
        <v>0</v>
      </c>
      <c r="Q179" s="26">
        <v>0</v>
      </c>
      <c r="R179" s="26">
        <v>31.906137360347557</v>
      </c>
      <c r="S179" s="26">
        <v>73.730230543665215</v>
      </c>
      <c r="T179" s="26">
        <v>0</v>
      </c>
      <c r="U179" s="26">
        <v>191.76973147720528</v>
      </c>
      <c r="V179" s="26">
        <v>9.6</v>
      </c>
      <c r="W179" s="26">
        <v>22.4</v>
      </c>
      <c r="X179" s="26">
        <v>0</v>
      </c>
      <c r="Y179" s="26">
        <v>0</v>
      </c>
      <c r="Z179" s="26">
        <v>0</v>
      </c>
      <c r="AA179" s="26">
        <v>0</v>
      </c>
      <c r="AB179" s="26">
        <v>0</v>
      </c>
      <c r="AC179" s="26">
        <v>0</v>
      </c>
      <c r="AD179" s="26">
        <v>0</v>
      </c>
      <c r="AE179" s="26">
        <v>0</v>
      </c>
      <c r="AF179" s="26">
        <v>0</v>
      </c>
      <c r="AG179" s="26">
        <v>0</v>
      </c>
      <c r="AH179" s="26">
        <v>41.506137360347559</v>
      </c>
      <c r="AI179" s="26">
        <v>96.13023054366522</v>
      </c>
      <c r="AJ179" s="26">
        <v>0</v>
      </c>
      <c r="AK179" s="26">
        <v>191.76973147720528</v>
      </c>
      <c r="AL179" s="26">
        <v>329.40609938121804</v>
      </c>
      <c r="AM179" s="26">
        <v>120.21129659579394</v>
      </c>
      <c r="AN179" s="26">
        <v>0.23489359302326038</v>
      </c>
      <c r="AO179" s="26">
        <v>0</v>
      </c>
      <c r="AP179" s="26">
        <v>0</v>
      </c>
      <c r="AQ179" s="26">
        <v>120.4461901888172</v>
      </c>
      <c r="AR179" s="26">
        <v>41.506137360347559</v>
      </c>
      <c r="AS179" s="30">
        <v>2.9018886807781872</v>
      </c>
      <c r="AT179" s="26">
        <v>120.21129659579394</v>
      </c>
      <c r="AU179" s="26">
        <v>0.27804405109867675</v>
      </c>
      <c r="AV179" s="26">
        <v>0</v>
      </c>
      <c r="AW179" s="26">
        <v>0</v>
      </c>
      <c r="AX179" s="26">
        <v>120.48934064689261</v>
      </c>
      <c r="AY179" s="26">
        <v>96.13023054366522</v>
      </c>
      <c r="AZ179" s="30">
        <v>1.2533969799662839</v>
      </c>
      <c r="BA179" s="26">
        <v>120.21129659579394</v>
      </c>
      <c r="BB179" s="26">
        <v>0.5129376441219371</v>
      </c>
      <c r="BC179" s="26">
        <v>0</v>
      </c>
      <c r="BD179" s="26">
        <v>0</v>
      </c>
      <c r="BE179" s="26">
        <v>120.72423423991587</v>
      </c>
      <c r="BF179" s="26">
        <v>137.63636790401279</v>
      </c>
      <c r="BG179" s="26">
        <v>40.370772864686657</v>
      </c>
      <c r="BH179" s="742">
        <v>0.87712452804703922</v>
      </c>
      <c r="BI179" s="26">
        <v>12.219901738814698</v>
      </c>
      <c r="BJ179" s="26">
        <v>28.301886084331986</v>
      </c>
      <c r="BK179" s="26">
        <v>0</v>
      </c>
      <c r="BL179" s="26">
        <v>56.459295520210887</v>
      </c>
      <c r="BM179" s="26">
        <v>96.981083343357554</v>
      </c>
      <c r="BN179" s="26">
        <v>120.21129659579394</v>
      </c>
      <c r="BO179" s="26">
        <v>0</v>
      </c>
      <c r="BP179" s="26">
        <v>0.5129376441219371</v>
      </c>
      <c r="BQ179" s="26">
        <v>0</v>
      </c>
      <c r="BR179" s="26">
        <v>0</v>
      </c>
      <c r="BS179" s="26">
        <v>0</v>
      </c>
      <c r="BT179" s="26">
        <v>0</v>
      </c>
      <c r="BU179" s="26">
        <v>0</v>
      </c>
      <c r="BV179" s="26">
        <v>0</v>
      </c>
      <c r="BW179" s="26">
        <v>0</v>
      </c>
      <c r="BX179" s="26">
        <v>297.40609938121804</v>
      </c>
      <c r="BY179" s="26">
        <v>32</v>
      </c>
      <c r="BZ179" s="26">
        <v>0</v>
      </c>
      <c r="CA179" s="26">
        <v>0</v>
      </c>
      <c r="CB179" s="26">
        <v>120.72423423991587</v>
      </c>
      <c r="CC179" s="26">
        <v>329.40609938121804</v>
      </c>
      <c r="CD179" s="742">
        <v>0.36649058553163899</v>
      </c>
      <c r="CE179" s="26">
        <v>96.830068384897544</v>
      </c>
      <c r="CF179" s="26">
        <v>2.3743470344481303</v>
      </c>
      <c r="CG179" s="26">
        <v>0</v>
      </c>
      <c r="CH179" s="26">
        <v>2.3743470344481303</v>
      </c>
      <c r="CI179" s="26">
        <v>0.11871574692459647</v>
      </c>
      <c r="CJ179" s="26">
        <v>0</v>
      </c>
      <c r="CK179" s="26">
        <v>0.11871574692459647</v>
      </c>
      <c r="CL179" s="26"/>
      <c r="CM179" s="26">
        <v>0</v>
      </c>
      <c r="CN179" s="26"/>
      <c r="CO179" s="26">
        <v>0</v>
      </c>
      <c r="CP179" s="26">
        <v>0</v>
      </c>
      <c r="CQ179" s="26">
        <v>0</v>
      </c>
      <c r="CR179" s="26">
        <v>0</v>
      </c>
      <c r="CS179" s="26">
        <v>0</v>
      </c>
      <c r="CT179" s="26">
        <v>0</v>
      </c>
      <c r="CU179" s="26">
        <v>0</v>
      </c>
      <c r="CV179" s="26">
        <v>9999</v>
      </c>
      <c r="CW179" s="30">
        <v>9999</v>
      </c>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row>
    <row r="180" spans="1:131">
      <c r="A180" s="7" t="s">
        <v>1550</v>
      </c>
      <c r="B180" s="7"/>
      <c r="C180" s="26">
        <v>5</v>
      </c>
      <c r="D180" s="26">
        <v>12.575767880880889</v>
      </c>
      <c r="E180" s="26">
        <v>0</v>
      </c>
      <c r="F180" s="26">
        <v>5.2</v>
      </c>
      <c r="G180" s="26">
        <v>0</v>
      </c>
      <c r="H180" s="26">
        <v>0</v>
      </c>
      <c r="I180" s="26"/>
      <c r="J180" s="26"/>
      <c r="K180" s="26"/>
      <c r="L180" s="26">
        <v>13.446212770626941</v>
      </c>
      <c r="M180" s="26">
        <v>3.5764585578076661E-5</v>
      </c>
      <c r="N180" s="26">
        <v>3.5506452837772829E-5</v>
      </c>
      <c r="O180" s="26">
        <v>0</v>
      </c>
      <c r="P180" s="26">
        <v>0</v>
      </c>
      <c r="Q180" s="26">
        <v>0</v>
      </c>
      <c r="R180" s="26">
        <v>1.0369494642112955</v>
      </c>
      <c r="S180" s="26">
        <v>2.3962324926691196</v>
      </c>
      <c r="T180" s="26">
        <v>0</v>
      </c>
      <c r="U180" s="26">
        <v>14.601928327368688</v>
      </c>
      <c r="V180" s="26">
        <v>0.312</v>
      </c>
      <c r="W180" s="26">
        <v>0.72799999999999998</v>
      </c>
      <c r="X180" s="26">
        <v>0</v>
      </c>
      <c r="Y180" s="26">
        <v>0</v>
      </c>
      <c r="Z180" s="26">
        <v>0</v>
      </c>
      <c r="AA180" s="26">
        <v>0</v>
      </c>
      <c r="AB180" s="26">
        <v>0</v>
      </c>
      <c r="AC180" s="26">
        <v>0</v>
      </c>
      <c r="AD180" s="26">
        <v>0</v>
      </c>
      <c r="AE180" s="26">
        <v>0</v>
      </c>
      <c r="AF180" s="26">
        <v>0</v>
      </c>
      <c r="AG180" s="26">
        <v>0</v>
      </c>
      <c r="AH180" s="26">
        <v>1.3489494642112956</v>
      </c>
      <c r="AI180" s="26">
        <v>3.1242324926691198</v>
      </c>
      <c r="AJ180" s="26">
        <v>0</v>
      </c>
      <c r="AK180" s="26">
        <v>14.601928327368688</v>
      </c>
      <c r="AL180" s="26">
        <v>19.075110284249103</v>
      </c>
      <c r="AM180" s="26">
        <v>6.46741219116584</v>
      </c>
      <c r="AN180" s="26">
        <v>1.263736212956325E-2</v>
      </c>
      <c r="AO180" s="26">
        <v>0</v>
      </c>
      <c r="AP180" s="26">
        <v>0</v>
      </c>
      <c r="AQ180" s="26">
        <v>6.4800495532954034</v>
      </c>
      <c r="AR180" s="26">
        <v>1.3489494642112956</v>
      </c>
      <c r="AS180" s="30">
        <v>4.8037748820221093</v>
      </c>
      <c r="AT180" s="26">
        <v>6.46741219116584</v>
      </c>
      <c r="AU180" s="26">
        <v>1.4958872723943639E-2</v>
      </c>
      <c r="AV180" s="26">
        <v>0</v>
      </c>
      <c r="AW180" s="26">
        <v>0</v>
      </c>
      <c r="AX180" s="26">
        <v>6.4823710638897838</v>
      </c>
      <c r="AY180" s="26">
        <v>3.1242324926691198</v>
      </c>
      <c r="AZ180" s="30">
        <v>2.0748683329747051</v>
      </c>
      <c r="BA180" s="26">
        <v>6.46741219116584</v>
      </c>
      <c r="BB180" s="26">
        <v>2.7596234853506887E-2</v>
      </c>
      <c r="BC180" s="26">
        <v>0</v>
      </c>
      <c r="BD180" s="26">
        <v>0</v>
      </c>
      <c r="BE180" s="26">
        <v>6.4950084260193472</v>
      </c>
      <c r="BF180" s="26">
        <v>4.4731819568804152</v>
      </c>
      <c r="BG180" s="26">
        <v>24.327592032254383</v>
      </c>
      <c r="BH180" s="30">
        <v>1.4519884253823085</v>
      </c>
      <c r="BI180" s="26">
        <v>7.3818601843309377</v>
      </c>
      <c r="BJ180" s="26">
        <v>17.096746806383479</v>
      </c>
      <c r="BK180" s="26">
        <v>0</v>
      </c>
      <c r="BL180" s="26">
        <v>79.90617602363578</v>
      </c>
      <c r="BM180" s="26">
        <v>104.38478301435019</v>
      </c>
      <c r="BN180" s="26">
        <v>6.46741219116584</v>
      </c>
      <c r="BO180" s="26">
        <v>0</v>
      </c>
      <c r="BP180" s="26">
        <v>2.7596234853506887E-2</v>
      </c>
      <c r="BQ180" s="26">
        <v>0</v>
      </c>
      <c r="BR180" s="26">
        <v>0</v>
      </c>
      <c r="BS180" s="26">
        <v>0</v>
      </c>
      <c r="BT180" s="26">
        <v>0</v>
      </c>
      <c r="BU180" s="26">
        <v>0</v>
      </c>
      <c r="BV180" s="26">
        <v>0</v>
      </c>
      <c r="BW180" s="26">
        <v>0</v>
      </c>
      <c r="BX180" s="26">
        <v>18.035110284249104</v>
      </c>
      <c r="BY180" s="26">
        <v>1.04</v>
      </c>
      <c r="BZ180" s="26">
        <v>0</v>
      </c>
      <c r="CA180" s="26">
        <v>0</v>
      </c>
      <c r="CB180" s="26">
        <v>6.4950084260193472</v>
      </c>
      <c r="CC180" s="26">
        <v>19.075110284249103</v>
      </c>
      <c r="CD180" s="742">
        <v>0.34049650718834756</v>
      </c>
      <c r="CE180" s="26">
        <v>104.23376805589017</v>
      </c>
      <c r="CF180" s="26">
        <v>0.12774074809526337</v>
      </c>
      <c r="CG180" s="26">
        <v>0</v>
      </c>
      <c r="CH180" s="26">
        <v>0.12774074809526337</v>
      </c>
      <c r="CI180" s="26">
        <v>6.3869510660477949E-3</v>
      </c>
      <c r="CJ180" s="26">
        <v>0</v>
      </c>
      <c r="CK180" s="26">
        <v>6.3869510660477949E-3</v>
      </c>
      <c r="CL180" s="26"/>
      <c r="CM180" s="26">
        <v>0</v>
      </c>
      <c r="CN180" s="26"/>
      <c r="CO180" s="26">
        <v>0</v>
      </c>
      <c r="CP180" s="26">
        <v>0</v>
      </c>
      <c r="CQ180" s="26">
        <v>0</v>
      </c>
      <c r="CR180" s="26">
        <v>0</v>
      </c>
      <c r="CS180" s="26">
        <v>0</v>
      </c>
      <c r="CT180" s="26">
        <v>0</v>
      </c>
      <c r="CU180" s="26">
        <v>0</v>
      </c>
      <c r="CV180" s="26">
        <v>9999</v>
      </c>
      <c r="CW180" s="30">
        <v>9999</v>
      </c>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row>
    <row r="181" spans="1:131">
      <c r="A181" s="7" t="s">
        <v>1547</v>
      </c>
      <c r="B181" s="7"/>
      <c r="C181" s="26">
        <v>5</v>
      </c>
      <c r="D181" s="26">
        <v>52.561455323830856</v>
      </c>
      <c r="E181" s="26">
        <v>0</v>
      </c>
      <c r="F181" s="26">
        <v>21.866666666666667</v>
      </c>
      <c r="G181" s="26">
        <v>0</v>
      </c>
      <c r="H181" s="26">
        <v>0</v>
      </c>
      <c r="I181" s="26"/>
      <c r="J181" s="26"/>
      <c r="K181" s="26"/>
      <c r="L181" s="26">
        <v>56.199551272930009</v>
      </c>
      <c r="M181" s="26">
        <v>1.4948102452617197E-4</v>
      </c>
      <c r="N181" s="26">
        <v>1.4840213752494755E-4</v>
      </c>
      <c r="O181" s="26">
        <v>0</v>
      </c>
      <c r="P181" s="26">
        <v>0</v>
      </c>
      <c r="Q181" s="26">
        <v>0</v>
      </c>
      <c r="R181" s="26">
        <v>4.3605054392474996</v>
      </c>
      <c r="S181" s="26">
        <v>10.07646484096758</v>
      </c>
      <c r="T181" s="26">
        <v>0</v>
      </c>
      <c r="U181" s="26">
        <v>61.40298065867858</v>
      </c>
      <c r="V181" s="26">
        <v>1.3120000000000001</v>
      </c>
      <c r="W181" s="26">
        <v>3.0613333333333332</v>
      </c>
      <c r="X181" s="26">
        <v>0</v>
      </c>
      <c r="Y181" s="26">
        <v>0</v>
      </c>
      <c r="Z181" s="26">
        <v>0</v>
      </c>
      <c r="AA181" s="26">
        <v>0</v>
      </c>
      <c r="AB181" s="26">
        <v>0</v>
      </c>
      <c r="AC181" s="26">
        <v>0</v>
      </c>
      <c r="AD181" s="26">
        <v>0</v>
      </c>
      <c r="AE181" s="26">
        <v>0</v>
      </c>
      <c r="AF181" s="26">
        <v>0</v>
      </c>
      <c r="AG181" s="26">
        <v>0</v>
      </c>
      <c r="AH181" s="26">
        <v>5.6725054392474998</v>
      </c>
      <c r="AI181" s="26">
        <v>13.137798174300913</v>
      </c>
      <c r="AJ181" s="26">
        <v>0</v>
      </c>
      <c r="AK181" s="26">
        <v>61.40298065867858</v>
      </c>
      <c r="AL181" s="26">
        <v>80.213284272226986</v>
      </c>
      <c r="AM181" s="26">
        <v>27.031080739298062</v>
      </c>
      <c r="AN181" s="26">
        <v>5.2818893547960689E-2</v>
      </c>
      <c r="AO181" s="26">
        <v>0</v>
      </c>
      <c r="AP181" s="26">
        <v>0</v>
      </c>
      <c r="AQ181" s="26">
        <v>27.083899632846023</v>
      </c>
      <c r="AR181" s="26">
        <v>5.6725054392474998</v>
      </c>
      <c r="AS181" s="30">
        <v>4.7745920956646808</v>
      </c>
      <c r="AT181" s="26">
        <v>27.031080739298062</v>
      </c>
      <c r="AU181" s="26">
        <v>6.2521837856899187E-2</v>
      </c>
      <c r="AV181" s="26">
        <v>0</v>
      </c>
      <c r="AW181" s="26">
        <v>0</v>
      </c>
      <c r="AX181" s="26">
        <v>27.093602577154961</v>
      </c>
      <c r="AY181" s="26">
        <v>13.137798174300913</v>
      </c>
      <c r="AZ181" s="30">
        <v>2.0622635709348351</v>
      </c>
      <c r="BA181" s="26">
        <v>27.031080739298062</v>
      </c>
      <c r="BB181" s="26">
        <v>0.11534073140485987</v>
      </c>
      <c r="BC181" s="26">
        <v>0</v>
      </c>
      <c r="BD181" s="26">
        <v>0</v>
      </c>
      <c r="BE181" s="26">
        <v>27.146421470702922</v>
      </c>
      <c r="BF181" s="26">
        <v>18.810303613548413</v>
      </c>
      <c r="BG181" s="26">
        <v>24.477207736344834</v>
      </c>
      <c r="BH181" s="30">
        <v>1.4431676398434254</v>
      </c>
      <c r="BI181" s="26">
        <v>7.4269788550704474</v>
      </c>
      <c r="BJ181" s="26">
        <v>17.201243839734413</v>
      </c>
      <c r="BK181" s="26">
        <v>0</v>
      </c>
      <c r="BL181" s="26">
        <v>80.394570595740561</v>
      </c>
      <c r="BM181" s="26">
        <v>105.02279329054542</v>
      </c>
      <c r="BN181" s="26">
        <v>27.031080739298062</v>
      </c>
      <c r="BO181" s="26">
        <v>0</v>
      </c>
      <c r="BP181" s="26">
        <v>0.11534073140485987</v>
      </c>
      <c r="BQ181" s="26">
        <v>0</v>
      </c>
      <c r="BR181" s="26">
        <v>0</v>
      </c>
      <c r="BS181" s="26">
        <v>0</v>
      </c>
      <c r="BT181" s="26">
        <v>0</v>
      </c>
      <c r="BU181" s="26">
        <v>0</v>
      </c>
      <c r="BV181" s="26">
        <v>0</v>
      </c>
      <c r="BW181" s="26">
        <v>0</v>
      </c>
      <c r="BX181" s="26">
        <v>75.839950938893651</v>
      </c>
      <c r="BY181" s="26">
        <v>4.373333333333334</v>
      </c>
      <c r="BZ181" s="26">
        <v>0</v>
      </c>
      <c r="CA181" s="26">
        <v>0</v>
      </c>
      <c r="CB181" s="26">
        <v>27.146421470702922</v>
      </c>
      <c r="CC181" s="26">
        <v>80.213284272226986</v>
      </c>
      <c r="CD181" s="742">
        <v>0.33842800125941341</v>
      </c>
      <c r="CE181" s="26">
        <v>104.8717783320854</v>
      </c>
      <c r="CF181" s="26">
        <v>0.53390295428795753</v>
      </c>
      <c r="CG181" s="26">
        <v>0</v>
      </c>
      <c r="CH181" s="26">
        <v>0.53390295428795753</v>
      </c>
      <c r="CI181" s="26">
        <v>2.6694786854641751E-2</v>
      </c>
      <c r="CJ181" s="26">
        <v>0</v>
      </c>
      <c r="CK181" s="26">
        <v>2.6694786854641751E-2</v>
      </c>
      <c r="CL181" s="26"/>
      <c r="CM181" s="26">
        <v>0</v>
      </c>
      <c r="CN181" s="26"/>
      <c r="CO181" s="26">
        <v>0</v>
      </c>
      <c r="CP181" s="26">
        <v>0</v>
      </c>
      <c r="CQ181" s="26">
        <v>0</v>
      </c>
      <c r="CR181" s="26">
        <v>0</v>
      </c>
      <c r="CS181" s="26">
        <v>0</v>
      </c>
      <c r="CT181" s="26">
        <v>0</v>
      </c>
      <c r="CU181" s="26">
        <v>0</v>
      </c>
      <c r="CV181" s="26">
        <v>9999</v>
      </c>
      <c r="CW181" s="30">
        <v>9999</v>
      </c>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row>
    <row r="182" spans="1:131">
      <c r="A182" s="7" t="s">
        <v>1342</v>
      </c>
      <c r="B182" s="7"/>
      <c r="C182" s="26">
        <v>4</v>
      </c>
      <c r="D182" s="26">
        <v>9.6412896030408817</v>
      </c>
      <c r="E182" s="26">
        <v>0</v>
      </c>
      <c r="F182" s="26">
        <v>3.3866666666666667</v>
      </c>
      <c r="G182" s="26">
        <v>0</v>
      </c>
      <c r="H182" s="26">
        <v>0</v>
      </c>
      <c r="I182" s="26"/>
      <c r="J182" s="26"/>
      <c r="K182" s="26"/>
      <c r="L182" s="26">
        <v>10.308621518278239</v>
      </c>
      <c r="M182" s="26">
        <v>2.7419138962894343E-5</v>
      </c>
      <c r="N182" s="26">
        <v>2.7221239913796954E-5</v>
      </c>
      <c r="O182" s="26">
        <v>0</v>
      </c>
      <c r="P182" s="26">
        <v>0</v>
      </c>
      <c r="Q182" s="26">
        <v>0</v>
      </c>
      <c r="R182" s="26">
        <v>0.67534657412735666</v>
      </c>
      <c r="S182" s="26">
        <v>1.560623213174247</v>
      </c>
      <c r="T182" s="26">
        <v>0</v>
      </c>
      <c r="U182" s="26">
        <v>12.245878547391911</v>
      </c>
      <c r="V182" s="26">
        <v>0.20320000000000002</v>
      </c>
      <c r="W182" s="26">
        <v>0.47413333333333335</v>
      </c>
      <c r="X182" s="26">
        <v>0</v>
      </c>
      <c r="Y182" s="26">
        <v>0</v>
      </c>
      <c r="Z182" s="26">
        <v>0</v>
      </c>
      <c r="AA182" s="26">
        <v>0</v>
      </c>
      <c r="AB182" s="26">
        <v>0</v>
      </c>
      <c r="AC182" s="26">
        <v>0</v>
      </c>
      <c r="AD182" s="26">
        <v>0</v>
      </c>
      <c r="AE182" s="26">
        <v>0</v>
      </c>
      <c r="AF182" s="26">
        <v>0</v>
      </c>
      <c r="AG182" s="26">
        <v>0</v>
      </c>
      <c r="AH182" s="26">
        <v>0.87854657412735671</v>
      </c>
      <c r="AI182" s="26">
        <v>2.0347565465075803</v>
      </c>
      <c r="AJ182" s="26">
        <v>0</v>
      </c>
      <c r="AK182" s="26">
        <v>12.245878547391911</v>
      </c>
      <c r="AL182" s="26">
        <v>15.159181668026848</v>
      </c>
      <c r="AM182" s="26">
        <v>4.9582812364138018</v>
      </c>
      <c r="AN182" s="26">
        <v>9.6885112116975713E-3</v>
      </c>
      <c r="AO182" s="26">
        <v>0</v>
      </c>
      <c r="AP182" s="26">
        <v>0</v>
      </c>
      <c r="AQ182" s="26">
        <v>4.9679697476254994</v>
      </c>
      <c r="AR182" s="26">
        <v>0.87854657412735671</v>
      </c>
      <c r="AS182" s="30">
        <v>5.6547596836970051</v>
      </c>
      <c r="AT182" s="26">
        <v>4.9582812364138018</v>
      </c>
      <c r="AU182" s="26">
        <v>1.1468311552237978E-2</v>
      </c>
      <c r="AV182" s="26">
        <v>0</v>
      </c>
      <c r="AW182" s="26">
        <v>0</v>
      </c>
      <c r="AX182" s="26">
        <v>4.9697495479660398</v>
      </c>
      <c r="AY182" s="26">
        <v>2.0347565465075803</v>
      </c>
      <c r="AZ182" s="30">
        <v>2.4424295655890771</v>
      </c>
      <c r="BA182" s="26">
        <v>4.9582812364138018</v>
      </c>
      <c r="BB182" s="26">
        <v>2.1156822763935549E-2</v>
      </c>
      <c r="BC182" s="26">
        <v>0</v>
      </c>
      <c r="BD182" s="26">
        <v>0</v>
      </c>
      <c r="BE182" s="26">
        <v>4.9794380591777374</v>
      </c>
      <c r="BF182" s="26">
        <v>2.9133031206349371</v>
      </c>
      <c r="BG182" s="26">
        <v>20.643806393170983</v>
      </c>
      <c r="BH182" s="30">
        <v>1.7092069904804477</v>
      </c>
      <c r="BI182" s="26">
        <v>6.2709640231615067</v>
      </c>
      <c r="BJ182" s="26">
        <v>14.523857328469507</v>
      </c>
      <c r="BK182" s="26">
        <v>0</v>
      </c>
      <c r="BL182" s="26">
        <v>87.409667357678131</v>
      </c>
      <c r="BM182" s="26">
        <v>108.20448870930915</v>
      </c>
      <c r="BN182" s="26">
        <v>4.9582812364138018</v>
      </c>
      <c r="BO182" s="26">
        <v>0</v>
      </c>
      <c r="BP182" s="26">
        <v>2.1156822763935549E-2</v>
      </c>
      <c r="BQ182" s="26">
        <v>0</v>
      </c>
      <c r="BR182" s="26">
        <v>0</v>
      </c>
      <c r="BS182" s="26">
        <v>0</v>
      </c>
      <c r="BT182" s="26">
        <v>0</v>
      </c>
      <c r="BU182" s="26">
        <v>0</v>
      </c>
      <c r="BV182" s="26">
        <v>0</v>
      </c>
      <c r="BW182" s="26">
        <v>0</v>
      </c>
      <c r="BX182" s="26">
        <v>14.481848334693515</v>
      </c>
      <c r="BY182" s="26">
        <v>0.67733333333333334</v>
      </c>
      <c r="BZ182" s="26">
        <v>0</v>
      </c>
      <c r="CA182" s="26">
        <v>0</v>
      </c>
      <c r="CB182" s="26">
        <v>4.9794380591777374</v>
      </c>
      <c r="CC182" s="26">
        <v>15.159181668026848</v>
      </c>
      <c r="CD182" s="742">
        <v>0.32847670594780015</v>
      </c>
      <c r="CE182" s="26">
        <v>108.05347375084912</v>
      </c>
      <c r="CF182" s="26">
        <v>9.7933228265760314E-2</v>
      </c>
      <c r="CG182" s="26">
        <v>0</v>
      </c>
      <c r="CH182" s="26">
        <v>9.7933228265760314E-2</v>
      </c>
      <c r="CI182" s="26">
        <v>4.8965952211821647E-3</v>
      </c>
      <c r="CJ182" s="26">
        <v>0</v>
      </c>
      <c r="CK182" s="26">
        <v>4.8965952211821647E-3</v>
      </c>
      <c r="CL182" s="26"/>
      <c r="CM182" s="26">
        <v>0</v>
      </c>
      <c r="CN182" s="26"/>
      <c r="CO182" s="26">
        <v>0</v>
      </c>
      <c r="CP182" s="26">
        <v>0</v>
      </c>
      <c r="CQ182" s="26">
        <v>0</v>
      </c>
      <c r="CR182" s="26">
        <v>0</v>
      </c>
      <c r="CS182" s="26">
        <v>0</v>
      </c>
      <c r="CT182" s="26">
        <v>0</v>
      </c>
      <c r="CU182" s="26">
        <v>0</v>
      </c>
      <c r="CV182" s="26">
        <v>9999</v>
      </c>
      <c r="CW182" s="30">
        <v>9999</v>
      </c>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row>
    <row r="183" spans="1:131">
      <c r="A183" s="7" t="s">
        <v>1293</v>
      </c>
      <c r="B183" s="7"/>
      <c r="C183" s="26">
        <v>5</v>
      </c>
      <c r="D183" s="26">
        <v>45.363213635305854</v>
      </c>
      <c r="E183" s="26">
        <v>0</v>
      </c>
      <c r="F183" s="26">
        <v>19.733333333333334</v>
      </c>
      <c r="G183" s="26">
        <v>0</v>
      </c>
      <c r="H183" s="26">
        <v>0</v>
      </c>
      <c r="I183" s="26"/>
      <c r="J183" s="26"/>
      <c r="K183" s="26"/>
      <c r="L183" s="26">
        <v>48.503075778542595</v>
      </c>
      <c r="M183" s="26">
        <v>1.2900973932756995E-4</v>
      </c>
      <c r="N183" s="26">
        <v>1.2807860488269266E-4</v>
      </c>
      <c r="O183" s="26">
        <v>0</v>
      </c>
      <c r="P183" s="26">
        <v>0</v>
      </c>
      <c r="Q183" s="26">
        <v>0</v>
      </c>
      <c r="R183" s="26">
        <v>3.9350902744428655</v>
      </c>
      <c r="S183" s="26">
        <v>9.0933951003853757</v>
      </c>
      <c r="T183" s="26">
        <v>0</v>
      </c>
      <c r="U183" s="26">
        <v>55.412445960270915</v>
      </c>
      <c r="V183" s="26">
        <v>1.1840000000000002</v>
      </c>
      <c r="W183" s="26">
        <v>2.7626666666666666</v>
      </c>
      <c r="X183" s="26">
        <v>0</v>
      </c>
      <c r="Y183" s="26">
        <v>0</v>
      </c>
      <c r="Z183" s="26">
        <v>0</v>
      </c>
      <c r="AA183" s="26">
        <v>0</v>
      </c>
      <c r="AB183" s="26">
        <v>0</v>
      </c>
      <c r="AC183" s="26">
        <v>0</v>
      </c>
      <c r="AD183" s="26">
        <v>0</v>
      </c>
      <c r="AE183" s="26">
        <v>0</v>
      </c>
      <c r="AF183" s="26">
        <v>0</v>
      </c>
      <c r="AG183" s="26">
        <v>0</v>
      </c>
      <c r="AH183" s="26">
        <v>5.1190902744428657</v>
      </c>
      <c r="AI183" s="26">
        <v>11.856061767052042</v>
      </c>
      <c r="AJ183" s="26">
        <v>0</v>
      </c>
      <c r="AK183" s="26">
        <v>55.412445960270915</v>
      </c>
      <c r="AL183" s="26">
        <v>72.387598001765824</v>
      </c>
      <c r="AM183" s="26">
        <v>23.329199749422145</v>
      </c>
      <c r="AN183" s="26">
        <v>4.558539593766308E-2</v>
      </c>
      <c r="AO183" s="26">
        <v>0</v>
      </c>
      <c r="AP183" s="26">
        <v>0</v>
      </c>
      <c r="AQ183" s="26">
        <v>23.374785145359809</v>
      </c>
      <c r="AR183" s="26">
        <v>5.1190902744428657</v>
      </c>
      <c r="AS183" s="30">
        <v>4.5661990494793132</v>
      </c>
      <c r="AT183" s="26">
        <v>23.329199749422145</v>
      </c>
      <c r="AU183" s="26">
        <v>5.3959531183082901E-2</v>
      </c>
      <c r="AV183" s="26">
        <v>0</v>
      </c>
      <c r="AW183" s="26">
        <v>0</v>
      </c>
      <c r="AX183" s="26">
        <v>23.383159280605227</v>
      </c>
      <c r="AY183" s="26">
        <v>11.856061767052042</v>
      </c>
      <c r="AZ183" s="30">
        <v>1.972253496990624</v>
      </c>
      <c r="BA183" s="26">
        <v>23.329199749422145</v>
      </c>
      <c r="BB183" s="26">
        <v>9.9544927120745974E-2</v>
      </c>
      <c r="BC183" s="26">
        <v>0</v>
      </c>
      <c r="BD183" s="26">
        <v>0</v>
      </c>
      <c r="BE183" s="26">
        <v>23.428744676542891</v>
      </c>
      <c r="BF183" s="26">
        <v>16.975152041494908</v>
      </c>
      <c r="BG183" s="26">
        <v>25.60119516963185</v>
      </c>
      <c r="BH183" s="30">
        <v>1.3801787824505194</v>
      </c>
      <c r="BI183" s="26">
        <v>7.7659327050430864</v>
      </c>
      <c r="BJ183" s="26">
        <v>17.986277423048794</v>
      </c>
      <c r="BK183" s="26">
        <v>0</v>
      </c>
      <c r="BL183" s="26">
        <v>84.063633043887918</v>
      </c>
      <c r="BM183" s="26">
        <v>109.81584317197981</v>
      </c>
      <c r="BN183" s="26">
        <v>23.329199749422145</v>
      </c>
      <c r="BO183" s="26">
        <v>0</v>
      </c>
      <c r="BP183" s="26">
        <v>9.9544927120745974E-2</v>
      </c>
      <c r="BQ183" s="26">
        <v>0</v>
      </c>
      <c r="BR183" s="26">
        <v>0</v>
      </c>
      <c r="BS183" s="26">
        <v>0</v>
      </c>
      <c r="BT183" s="26">
        <v>0</v>
      </c>
      <c r="BU183" s="26">
        <v>0</v>
      </c>
      <c r="BV183" s="26">
        <v>0</v>
      </c>
      <c r="BW183" s="26">
        <v>0</v>
      </c>
      <c r="BX183" s="26">
        <v>68.440931335099151</v>
      </c>
      <c r="BY183" s="26">
        <v>3.9466666666666672</v>
      </c>
      <c r="BZ183" s="26">
        <v>0</v>
      </c>
      <c r="CA183" s="26">
        <v>0</v>
      </c>
      <c r="CB183" s="26">
        <v>23.428744676542891</v>
      </c>
      <c r="CC183" s="26">
        <v>72.387598001765824</v>
      </c>
      <c r="CD183" s="742">
        <v>0.32365688768912282</v>
      </c>
      <c r="CE183" s="26">
        <v>109.66482821351977</v>
      </c>
      <c r="CF183" s="26">
        <v>0.46078544870321808</v>
      </c>
      <c r="CG183" s="26">
        <v>0</v>
      </c>
      <c r="CH183" s="26">
        <v>0.46078544870321808</v>
      </c>
      <c r="CI183" s="26">
        <v>2.3038960994807726E-2</v>
      </c>
      <c r="CJ183" s="26">
        <v>0</v>
      </c>
      <c r="CK183" s="26">
        <v>2.3038960994807726E-2</v>
      </c>
      <c r="CL183" s="26"/>
      <c r="CM183" s="26">
        <v>0</v>
      </c>
      <c r="CN183" s="26"/>
      <c r="CO183" s="26">
        <v>0</v>
      </c>
      <c r="CP183" s="26">
        <v>0</v>
      </c>
      <c r="CQ183" s="26">
        <v>0</v>
      </c>
      <c r="CR183" s="26">
        <v>0</v>
      </c>
      <c r="CS183" s="26">
        <v>0</v>
      </c>
      <c r="CT183" s="26">
        <v>0</v>
      </c>
      <c r="CU183" s="26">
        <v>0</v>
      </c>
      <c r="CV183" s="26">
        <v>9999</v>
      </c>
      <c r="CW183" s="30">
        <v>9999</v>
      </c>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row>
    <row r="184" spans="1:131">
      <c r="A184" s="7" t="s">
        <v>1309</v>
      </c>
      <c r="B184" s="7"/>
      <c r="C184" s="26">
        <v>10</v>
      </c>
      <c r="D184" s="26">
        <v>7.2091333020215753</v>
      </c>
      <c r="E184" s="26">
        <v>0</v>
      </c>
      <c r="F184" s="26">
        <v>6.1749999999999998</v>
      </c>
      <c r="G184" s="26">
        <v>0</v>
      </c>
      <c r="H184" s="26">
        <v>0</v>
      </c>
      <c r="I184" s="26"/>
      <c r="J184" s="26"/>
      <c r="K184" s="26"/>
      <c r="L184" s="26">
        <v>7.7081209822715397</v>
      </c>
      <c r="M184" s="26">
        <v>2.0502260169408662E-5</v>
      </c>
      <c r="N184" s="26">
        <v>2.0354284049612779E-5</v>
      </c>
      <c r="O184" s="26">
        <v>0</v>
      </c>
      <c r="P184" s="26">
        <v>0</v>
      </c>
      <c r="Q184" s="26">
        <v>0</v>
      </c>
      <c r="R184" s="26">
        <v>1.2313774887509135</v>
      </c>
      <c r="S184" s="26">
        <v>2.8455260850445794</v>
      </c>
      <c r="T184" s="26">
        <v>0</v>
      </c>
      <c r="U184" s="26">
        <v>7.4011130741983902</v>
      </c>
      <c r="V184" s="26">
        <v>0.3705</v>
      </c>
      <c r="W184" s="26">
        <v>0.86449999999999994</v>
      </c>
      <c r="X184" s="26">
        <v>0</v>
      </c>
      <c r="Y184" s="26">
        <v>0</v>
      </c>
      <c r="Z184" s="26">
        <v>0</v>
      </c>
      <c r="AA184" s="26">
        <v>0</v>
      </c>
      <c r="AB184" s="26">
        <v>0</v>
      </c>
      <c r="AC184" s="26">
        <v>0</v>
      </c>
      <c r="AD184" s="26">
        <v>0</v>
      </c>
      <c r="AE184" s="26">
        <v>0</v>
      </c>
      <c r="AF184" s="26">
        <v>0</v>
      </c>
      <c r="AG184" s="26">
        <v>0</v>
      </c>
      <c r="AH184" s="26">
        <v>1.6018774887509135</v>
      </c>
      <c r="AI184" s="26">
        <v>3.7100260850445794</v>
      </c>
      <c r="AJ184" s="26">
        <v>0</v>
      </c>
      <c r="AK184" s="26">
        <v>7.4011130741983902</v>
      </c>
      <c r="AL184" s="26">
        <v>12.713016647993882</v>
      </c>
      <c r="AM184" s="26">
        <v>3.7074822823437872</v>
      </c>
      <c r="AN184" s="26">
        <v>7.2444425693040998E-3</v>
      </c>
      <c r="AO184" s="26">
        <v>0</v>
      </c>
      <c r="AP184" s="26">
        <v>0</v>
      </c>
      <c r="AQ184" s="26">
        <v>3.7147267249130911</v>
      </c>
      <c r="AR184" s="26">
        <v>1.6018774887509135</v>
      </c>
      <c r="AS184" s="30">
        <v>2.3189830377163871</v>
      </c>
      <c r="AT184" s="26">
        <v>3.7074822823437872</v>
      </c>
      <c r="AU184" s="26">
        <v>8.5752622453246496E-3</v>
      </c>
      <c r="AV184" s="26">
        <v>0</v>
      </c>
      <c r="AW184" s="26">
        <v>0</v>
      </c>
      <c r="AX184" s="26">
        <v>3.7160575445891117</v>
      </c>
      <c r="AY184" s="26">
        <v>3.7100260850445794</v>
      </c>
      <c r="AZ184" s="30">
        <v>1.0016257189050086</v>
      </c>
      <c r="BA184" s="26">
        <v>3.7074822823437872</v>
      </c>
      <c r="BB184" s="26">
        <v>1.581970481462875E-2</v>
      </c>
      <c r="BC184" s="26">
        <v>0</v>
      </c>
      <c r="BD184" s="26">
        <v>0</v>
      </c>
      <c r="BE184" s="26">
        <v>3.7233019871584156</v>
      </c>
      <c r="BF184" s="26">
        <v>5.3119035737954921</v>
      </c>
      <c r="BG184" s="26">
        <v>50.556435461134605</v>
      </c>
      <c r="BH184" s="742">
        <v>0.70093553759636873</v>
      </c>
      <c r="BI184" s="26">
        <v>15.291528208420175</v>
      </c>
      <c r="BJ184" s="26">
        <v>35.415922211174468</v>
      </c>
      <c r="BK184" s="26">
        <v>0</v>
      </c>
      <c r="BL184" s="26">
        <v>70.651051745574691</v>
      </c>
      <c r="BM184" s="26">
        <v>121.35850216516933</v>
      </c>
      <c r="BN184" s="26">
        <v>3.7074822823437872</v>
      </c>
      <c r="BO184" s="26">
        <v>0</v>
      </c>
      <c r="BP184" s="26">
        <v>1.581970481462875E-2</v>
      </c>
      <c r="BQ184" s="26">
        <v>0</v>
      </c>
      <c r="BR184" s="26">
        <v>0</v>
      </c>
      <c r="BS184" s="26">
        <v>0</v>
      </c>
      <c r="BT184" s="26">
        <v>0</v>
      </c>
      <c r="BU184" s="26">
        <v>0</v>
      </c>
      <c r="BV184" s="26">
        <v>0</v>
      </c>
      <c r="BW184" s="26">
        <v>0</v>
      </c>
      <c r="BX184" s="26">
        <v>11.478016647993883</v>
      </c>
      <c r="BY184" s="26">
        <v>1.2350000000000001</v>
      </c>
      <c r="BZ184" s="26">
        <v>0</v>
      </c>
      <c r="CA184" s="26">
        <v>0</v>
      </c>
      <c r="CB184" s="26">
        <v>3.7233019871584156</v>
      </c>
      <c r="CC184" s="26">
        <v>12.713016647993882</v>
      </c>
      <c r="CD184" s="742">
        <v>0.29287320942397677</v>
      </c>
      <c r="CE184" s="26">
        <v>121.2074872067093</v>
      </c>
      <c r="CF184" s="26">
        <v>7.3228139215162302E-2</v>
      </c>
      <c r="CG184" s="26">
        <v>0</v>
      </c>
      <c r="CH184" s="26">
        <v>7.3228139215162302E-2</v>
      </c>
      <c r="CI184" s="26">
        <v>3.6613574665789812E-3</v>
      </c>
      <c r="CJ184" s="26">
        <v>0</v>
      </c>
      <c r="CK184" s="26">
        <v>3.6613574665789812E-3</v>
      </c>
      <c r="CL184" s="26"/>
      <c r="CM184" s="26">
        <v>0</v>
      </c>
      <c r="CN184" s="26"/>
      <c r="CO184" s="26">
        <v>0</v>
      </c>
      <c r="CP184" s="26">
        <v>0</v>
      </c>
      <c r="CQ184" s="26">
        <v>0</v>
      </c>
      <c r="CR184" s="26">
        <v>0</v>
      </c>
      <c r="CS184" s="26">
        <v>0</v>
      </c>
      <c r="CT184" s="26">
        <v>0</v>
      </c>
      <c r="CU184" s="26">
        <v>0</v>
      </c>
      <c r="CV184" s="26">
        <v>9999</v>
      </c>
      <c r="CW184" s="30">
        <v>9999</v>
      </c>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row>
    <row r="185" spans="1:131">
      <c r="A185" s="7" t="s">
        <v>1554</v>
      </c>
      <c r="B185" s="7"/>
      <c r="C185" s="26">
        <v>8</v>
      </c>
      <c r="D185" s="26">
        <v>2.6486847582365765</v>
      </c>
      <c r="E185" s="26">
        <v>0</v>
      </c>
      <c r="F185" s="26">
        <v>2.0750000000000002</v>
      </c>
      <c r="G185" s="26">
        <v>0</v>
      </c>
      <c r="H185" s="26">
        <v>0</v>
      </c>
      <c r="I185" s="26"/>
      <c r="J185" s="26"/>
      <c r="K185" s="26"/>
      <c r="L185" s="26">
        <v>2.8320162362181653</v>
      </c>
      <c r="M185" s="26">
        <v>7.5326702593896704E-6</v>
      </c>
      <c r="N185" s="26">
        <v>7.4783028234349995E-6</v>
      </c>
      <c r="O185" s="26">
        <v>0</v>
      </c>
      <c r="P185" s="26">
        <v>0</v>
      </c>
      <c r="Q185" s="26">
        <v>0</v>
      </c>
      <c r="R185" s="26">
        <v>0.41378271889200746</v>
      </c>
      <c r="S185" s="26">
        <v>0.9561889273631583</v>
      </c>
      <c r="T185" s="26">
        <v>0</v>
      </c>
      <c r="U185" s="26">
        <v>3.3187411273735563</v>
      </c>
      <c r="V185" s="26">
        <v>0.12450000000000001</v>
      </c>
      <c r="W185" s="26">
        <v>0.29050000000000004</v>
      </c>
      <c r="X185" s="26">
        <v>0</v>
      </c>
      <c r="Y185" s="26">
        <v>0</v>
      </c>
      <c r="Z185" s="26">
        <v>0</v>
      </c>
      <c r="AA185" s="26">
        <v>0</v>
      </c>
      <c r="AB185" s="26">
        <v>0</v>
      </c>
      <c r="AC185" s="26">
        <v>0</v>
      </c>
      <c r="AD185" s="26">
        <v>0</v>
      </c>
      <c r="AE185" s="26">
        <v>0</v>
      </c>
      <c r="AF185" s="26">
        <v>0</v>
      </c>
      <c r="AG185" s="26">
        <v>0</v>
      </c>
      <c r="AH185" s="26">
        <v>0.53828271889200752</v>
      </c>
      <c r="AI185" s="26">
        <v>1.2466889273631583</v>
      </c>
      <c r="AJ185" s="26">
        <v>0</v>
      </c>
      <c r="AK185" s="26">
        <v>3.3187411273735563</v>
      </c>
      <c r="AL185" s="26">
        <v>5.1037127736287227</v>
      </c>
      <c r="AM185" s="26">
        <v>1.362154284194254</v>
      </c>
      <c r="AN185" s="26">
        <v>2.661657623927588E-3</v>
      </c>
      <c r="AO185" s="26">
        <v>0</v>
      </c>
      <c r="AP185" s="26">
        <v>0</v>
      </c>
      <c r="AQ185" s="26">
        <v>1.3648159418181816</v>
      </c>
      <c r="AR185" s="26">
        <v>0.53828271889200752</v>
      </c>
      <c r="AS185" s="30">
        <v>2.5355002007634515</v>
      </c>
      <c r="AT185" s="26">
        <v>1.362154284194254</v>
      </c>
      <c r="AU185" s="26">
        <v>3.1506098521862222E-3</v>
      </c>
      <c r="AV185" s="26">
        <v>0</v>
      </c>
      <c r="AW185" s="26">
        <v>0</v>
      </c>
      <c r="AX185" s="26">
        <v>1.3653048940464403</v>
      </c>
      <c r="AY185" s="26">
        <v>1.2466889273631583</v>
      </c>
      <c r="AZ185" s="30">
        <v>1.095144798417488</v>
      </c>
      <c r="BA185" s="26">
        <v>1.362154284194254</v>
      </c>
      <c r="BB185" s="26">
        <v>5.8122674761138101E-3</v>
      </c>
      <c r="BC185" s="26">
        <v>0</v>
      </c>
      <c r="BD185" s="26">
        <v>0</v>
      </c>
      <c r="BE185" s="26">
        <v>1.3679665516703678</v>
      </c>
      <c r="BF185" s="26">
        <v>1.7849716462551659</v>
      </c>
      <c r="BG185" s="26">
        <v>46.226310262605999</v>
      </c>
      <c r="BH185" s="742">
        <v>0.76637998958713649</v>
      </c>
      <c r="BI185" s="26">
        <v>13.985719474765046</v>
      </c>
      <c r="BJ185" s="26">
        <v>32.391605746300982</v>
      </c>
      <c r="BK185" s="26">
        <v>0</v>
      </c>
      <c r="BL185" s="26">
        <v>86.227888779992597</v>
      </c>
      <c r="BM185" s="26">
        <v>132.60521400105864</v>
      </c>
      <c r="BN185" s="26">
        <v>1.362154284194254</v>
      </c>
      <c r="BO185" s="26">
        <v>0</v>
      </c>
      <c r="BP185" s="26">
        <v>5.8122674761138101E-3</v>
      </c>
      <c r="BQ185" s="26">
        <v>0</v>
      </c>
      <c r="BR185" s="26">
        <v>0</v>
      </c>
      <c r="BS185" s="26">
        <v>0</v>
      </c>
      <c r="BT185" s="26">
        <v>0</v>
      </c>
      <c r="BU185" s="26">
        <v>0</v>
      </c>
      <c r="BV185" s="26">
        <v>0</v>
      </c>
      <c r="BW185" s="26">
        <v>0</v>
      </c>
      <c r="BX185" s="26">
        <v>4.6887127736287226</v>
      </c>
      <c r="BY185" s="26">
        <v>0.41500000000000004</v>
      </c>
      <c r="BZ185" s="26">
        <v>0</v>
      </c>
      <c r="CA185" s="26">
        <v>0</v>
      </c>
      <c r="CB185" s="26">
        <v>1.3679665516703678</v>
      </c>
      <c r="CC185" s="26">
        <v>5.1037127736287227</v>
      </c>
      <c r="CD185" s="742">
        <v>0.26803360854058178</v>
      </c>
      <c r="CE185" s="26">
        <v>132.45419904259862</v>
      </c>
      <c r="CF185" s="26">
        <v>2.6904517934054156E-2</v>
      </c>
      <c r="CG185" s="26">
        <v>0</v>
      </c>
      <c r="CH185" s="26">
        <v>2.6904517934054156E-2</v>
      </c>
      <c r="CI185" s="26">
        <v>1.3452077122036287E-3</v>
      </c>
      <c r="CJ185" s="26">
        <v>0</v>
      </c>
      <c r="CK185" s="26">
        <v>1.3452077122036287E-3</v>
      </c>
      <c r="CL185" s="26"/>
      <c r="CM185" s="26">
        <v>0</v>
      </c>
      <c r="CN185" s="26"/>
      <c r="CO185" s="26">
        <v>0</v>
      </c>
      <c r="CP185" s="26">
        <v>0</v>
      </c>
      <c r="CQ185" s="26">
        <v>0</v>
      </c>
      <c r="CR185" s="26">
        <v>0</v>
      </c>
      <c r="CS185" s="26">
        <v>0</v>
      </c>
      <c r="CT185" s="26">
        <v>0</v>
      </c>
      <c r="CU185" s="26">
        <v>0</v>
      </c>
      <c r="CV185" s="26">
        <v>9999</v>
      </c>
      <c r="CW185" s="30">
        <v>9999</v>
      </c>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row>
    <row r="186" spans="1:131">
      <c r="A186" s="7" t="s">
        <v>1548</v>
      </c>
      <c r="B186" s="7"/>
      <c r="C186" s="26">
        <v>8</v>
      </c>
      <c r="D186" s="26">
        <v>25.233946624551866</v>
      </c>
      <c r="E186" s="26">
        <v>0</v>
      </c>
      <c r="F186" s="26">
        <v>28.8</v>
      </c>
      <c r="G186" s="26">
        <v>0</v>
      </c>
      <c r="H186" s="26">
        <v>0</v>
      </c>
      <c r="I186" s="26"/>
      <c r="J186" s="26"/>
      <c r="K186" s="26"/>
      <c r="L186" s="26">
        <v>26.980540557862223</v>
      </c>
      <c r="M186" s="26">
        <v>7.176354176339872E-5</v>
      </c>
      <c r="N186" s="26">
        <v>7.1245584700849952E-5</v>
      </c>
      <c r="O186" s="26">
        <v>0</v>
      </c>
      <c r="P186" s="26">
        <v>0</v>
      </c>
      <c r="Q186" s="26">
        <v>0</v>
      </c>
      <c r="R186" s="26">
        <v>5.74310472486256</v>
      </c>
      <c r="S186" s="26">
        <v>13.271441497859739</v>
      </c>
      <c r="T186" s="26">
        <v>0</v>
      </c>
      <c r="U186" s="26">
        <v>46.062527454630569</v>
      </c>
      <c r="V186" s="26">
        <v>1.728</v>
      </c>
      <c r="W186" s="26">
        <v>4.032</v>
      </c>
      <c r="X186" s="26">
        <v>0</v>
      </c>
      <c r="Y186" s="26">
        <v>0</v>
      </c>
      <c r="Z186" s="26">
        <v>0</v>
      </c>
      <c r="AA186" s="26">
        <v>0</v>
      </c>
      <c r="AB186" s="26">
        <v>0</v>
      </c>
      <c r="AC186" s="26">
        <v>0</v>
      </c>
      <c r="AD186" s="26">
        <v>0</v>
      </c>
      <c r="AE186" s="26">
        <v>0</v>
      </c>
      <c r="AF186" s="26">
        <v>0</v>
      </c>
      <c r="AG186" s="26">
        <v>0</v>
      </c>
      <c r="AH186" s="26">
        <v>7.4711047248625597</v>
      </c>
      <c r="AI186" s="26">
        <v>17.303441497859737</v>
      </c>
      <c r="AJ186" s="26">
        <v>0</v>
      </c>
      <c r="AK186" s="26">
        <v>46.062527454630569</v>
      </c>
      <c r="AL186" s="26">
        <v>70.837073677352876</v>
      </c>
      <c r="AM186" s="26">
        <v>12.977206288847581</v>
      </c>
      <c r="AN186" s="26">
        <v>2.5357538758117963E-2</v>
      </c>
      <c r="AO186" s="26">
        <v>0</v>
      </c>
      <c r="AP186" s="26">
        <v>0</v>
      </c>
      <c r="AQ186" s="26">
        <v>13.0025638276057</v>
      </c>
      <c r="AR186" s="26">
        <v>7.4711047248625597</v>
      </c>
      <c r="AS186" s="30">
        <v>1.7403803462070864</v>
      </c>
      <c r="AT186" s="26">
        <v>12.977206288847581</v>
      </c>
      <c r="AU186" s="26">
        <v>3.0015773148400218E-2</v>
      </c>
      <c r="AV186" s="26">
        <v>0</v>
      </c>
      <c r="AW186" s="26">
        <v>0</v>
      </c>
      <c r="AX186" s="26">
        <v>13.007222061995982</v>
      </c>
      <c r="AY186" s="26">
        <v>17.303441497859737</v>
      </c>
      <c r="AZ186" s="742">
        <v>0.75171300828247645</v>
      </c>
      <c r="BA186" s="26">
        <v>12.977206288847581</v>
      </c>
      <c r="BB186" s="26">
        <v>5.5373311906518181E-2</v>
      </c>
      <c r="BC186" s="26">
        <v>0</v>
      </c>
      <c r="BD186" s="26">
        <v>0</v>
      </c>
      <c r="BE186" s="26">
        <v>13.032579600754101</v>
      </c>
      <c r="BF186" s="26">
        <v>24.7745462227223</v>
      </c>
      <c r="BG186" s="26">
        <v>67.414513269409795</v>
      </c>
      <c r="BH186" s="742">
        <v>0.52604715677097247</v>
      </c>
      <c r="BI186" s="26">
        <v>20.375313139665057</v>
      </c>
      <c r="BJ186" s="26">
        <v>47.190215088204766</v>
      </c>
      <c r="BK186" s="26">
        <v>0</v>
      </c>
      <c r="BL186" s="26">
        <v>125.62244212281232</v>
      </c>
      <c r="BM186" s="26">
        <v>193.18797035068218</v>
      </c>
      <c r="BN186" s="26">
        <v>12.977206288847581</v>
      </c>
      <c r="BO186" s="26">
        <v>0</v>
      </c>
      <c r="BP186" s="26">
        <v>5.5373311906518181E-2</v>
      </c>
      <c r="BQ186" s="26">
        <v>0</v>
      </c>
      <c r="BR186" s="26">
        <v>0</v>
      </c>
      <c r="BS186" s="26">
        <v>0</v>
      </c>
      <c r="BT186" s="26">
        <v>0</v>
      </c>
      <c r="BU186" s="26">
        <v>0</v>
      </c>
      <c r="BV186" s="26">
        <v>0</v>
      </c>
      <c r="BW186" s="26">
        <v>0</v>
      </c>
      <c r="BX186" s="26">
        <v>65.077073677352871</v>
      </c>
      <c r="BY186" s="26">
        <v>5.7600000000000007</v>
      </c>
      <c r="BZ186" s="26">
        <v>0</v>
      </c>
      <c r="CA186" s="26">
        <v>0</v>
      </c>
      <c r="CB186" s="26">
        <v>13.032579600754101</v>
      </c>
      <c r="CC186" s="26">
        <v>70.837073677352876</v>
      </c>
      <c r="CD186" s="742">
        <v>0.18397964405072129</v>
      </c>
      <c r="CE186" s="26">
        <v>193.03695539222213</v>
      </c>
      <c r="CF186" s="26">
        <v>0.25631860016411295</v>
      </c>
      <c r="CG186" s="26">
        <v>0</v>
      </c>
      <c r="CH186" s="26">
        <v>0.25631860016411295</v>
      </c>
      <c r="CI186" s="26">
        <v>1.2815756764984559E-2</v>
      </c>
      <c r="CJ186" s="26">
        <v>0</v>
      </c>
      <c r="CK186" s="26">
        <v>1.2815756764984559E-2</v>
      </c>
      <c r="CL186" s="26"/>
      <c r="CM186" s="26">
        <v>0</v>
      </c>
      <c r="CN186" s="26"/>
      <c r="CO186" s="26">
        <v>0</v>
      </c>
      <c r="CP186" s="26">
        <v>0</v>
      </c>
      <c r="CQ186" s="26">
        <v>0</v>
      </c>
      <c r="CR186" s="26">
        <v>0</v>
      </c>
      <c r="CS186" s="26">
        <v>0</v>
      </c>
      <c r="CT186" s="26">
        <v>0</v>
      </c>
      <c r="CU186" s="26">
        <v>0</v>
      </c>
      <c r="CV186" s="26">
        <v>9999</v>
      </c>
      <c r="CW186" s="30">
        <v>9999</v>
      </c>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row>
    <row r="187" spans="1:131">
      <c r="A187" s="7" t="s">
        <v>1327</v>
      </c>
      <c r="B187" s="7"/>
      <c r="C187" s="26">
        <v>8</v>
      </c>
      <c r="D187" s="26">
        <v>3.8926178170832704</v>
      </c>
      <c r="E187" s="26">
        <v>0</v>
      </c>
      <c r="F187" s="26">
        <v>4.9800000000000004</v>
      </c>
      <c r="G187" s="26">
        <v>0</v>
      </c>
      <c r="H187" s="26">
        <v>0</v>
      </c>
      <c r="I187" s="26"/>
      <c r="J187" s="26"/>
      <c r="K187" s="26"/>
      <c r="L187" s="26">
        <v>4.1620494190903221</v>
      </c>
      <c r="M187" s="26">
        <v>1.1070327025793422E-5</v>
      </c>
      <c r="N187" s="26">
        <v>1.0990426369738308E-5</v>
      </c>
      <c r="O187" s="26">
        <v>0</v>
      </c>
      <c r="P187" s="26">
        <v>0</v>
      </c>
      <c r="Q187" s="26">
        <v>0</v>
      </c>
      <c r="R187" s="26">
        <v>0.99307852534081786</v>
      </c>
      <c r="S187" s="26">
        <v>2.29485342567158</v>
      </c>
      <c r="T187" s="26">
        <v>0</v>
      </c>
      <c r="U187" s="26">
        <v>7.9649787056965353</v>
      </c>
      <c r="V187" s="26">
        <v>0.29880000000000001</v>
      </c>
      <c r="W187" s="26">
        <v>0.69720000000000004</v>
      </c>
      <c r="X187" s="26">
        <v>0</v>
      </c>
      <c r="Y187" s="26">
        <v>0</v>
      </c>
      <c r="Z187" s="26">
        <v>0</v>
      </c>
      <c r="AA187" s="26">
        <v>0</v>
      </c>
      <c r="AB187" s="26">
        <v>0</v>
      </c>
      <c r="AC187" s="26">
        <v>0</v>
      </c>
      <c r="AD187" s="26">
        <v>0</v>
      </c>
      <c r="AE187" s="26">
        <v>0</v>
      </c>
      <c r="AF187" s="26">
        <v>0</v>
      </c>
      <c r="AG187" s="26">
        <v>0</v>
      </c>
      <c r="AH187" s="26">
        <v>1.2918785253408178</v>
      </c>
      <c r="AI187" s="26">
        <v>2.9920534256715801</v>
      </c>
      <c r="AJ187" s="26">
        <v>0</v>
      </c>
      <c r="AK187" s="26">
        <v>7.9649787056965353</v>
      </c>
      <c r="AL187" s="26">
        <v>12.248910656708935</v>
      </c>
      <c r="AM187" s="26">
        <v>2.0018788645127459</v>
      </c>
      <c r="AN187" s="26">
        <v>3.9116832826772514E-3</v>
      </c>
      <c r="AO187" s="26">
        <v>0</v>
      </c>
      <c r="AP187" s="26">
        <v>0</v>
      </c>
      <c r="AQ187" s="26">
        <v>2.005790547795423</v>
      </c>
      <c r="AR187" s="26">
        <v>1.2918785253408178</v>
      </c>
      <c r="AS187" s="30">
        <v>1.5526154421262355</v>
      </c>
      <c r="AT187" s="26">
        <v>2.0018788645127459</v>
      </c>
      <c r="AU187" s="26">
        <v>4.6302679120875439E-3</v>
      </c>
      <c r="AV187" s="26">
        <v>0</v>
      </c>
      <c r="AW187" s="26">
        <v>0</v>
      </c>
      <c r="AX187" s="26">
        <v>2.0065091324248336</v>
      </c>
      <c r="AY187" s="26">
        <v>2.9920534256715801</v>
      </c>
      <c r="AZ187" s="742">
        <v>0.67061273545757738</v>
      </c>
      <c r="BA187" s="26">
        <v>2.0018788645127459</v>
      </c>
      <c r="BB187" s="26">
        <v>8.5419511947647953E-3</v>
      </c>
      <c r="BC187" s="26">
        <v>0</v>
      </c>
      <c r="BD187" s="26">
        <v>0</v>
      </c>
      <c r="BE187" s="26">
        <v>2.0104208157075107</v>
      </c>
      <c r="BF187" s="26">
        <v>4.2839319510123985</v>
      </c>
      <c r="BG187" s="26">
        <v>75.585522382590099</v>
      </c>
      <c r="BH187" s="742">
        <v>0.46929335916094533</v>
      </c>
      <c r="BI187" s="26">
        <v>22.839393177441355</v>
      </c>
      <c r="BJ187" s="26">
        <v>52.897144163608758</v>
      </c>
      <c r="BK187" s="26">
        <v>0</v>
      </c>
      <c r="BL187" s="26">
        <v>140.81454002136851</v>
      </c>
      <c r="BM187" s="26">
        <v>216.55107736241865</v>
      </c>
      <c r="BN187" s="26">
        <v>2.0018788645127459</v>
      </c>
      <c r="BO187" s="26">
        <v>0</v>
      </c>
      <c r="BP187" s="26">
        <v>8.5419511947647953E-3</v>
      </c>
      <c r="BQ187" s="26">
        <v>0</v>
      </c>
      <c r="BR187" s="26">
        <v>0</v>
      </c>
      <c r="BS187" s="26">
        <v>0</v>
      </c>
      <c r="BT187" s="26">
        <v>0</v>
      </c>
      <c r="BU187" s="26">
        <v>0</v>
      </c>
      <c r="BV187" s="26">
        <v>0</v>
      </c>
      <c r="BW187" s="26">
        <v>0</v>
      </c>
      <c r="BX187" s="26">
        <v>11.252910656708934</v>
      </c>
      <c r="BY187" s="26">
        <v>0.99600000000000011</v>
      </c>
      <c r="BZ187" s="26">
        <v>0</v>
      </c>
      <c r="CA187" s="26">
        <v>0</v>
      </c>
      <c r="CB187" s="26">
        <v>2.0104208157075107</v>
      </c>
      <c r="CC187" s="26">
        <v>12.248910656708935</v>
      </c>
      <c r="CD187" s="742">
        <v>0.16413058042891099</v>
      </c>
      <c r="CE187" s="26">
        <v>216.40006240395863</v>
      </c>
      <c r="CF187" s="26">
        <v>3.9540003975354655E-2</v>
      </c>
      <c r="CG187" s="26">
        <v>0</v>
      </c>
      <c r="CH187" s="26">
        <v>3.9540003975354655E-2</v>
      </c>
      <c r="CI187" s="26">
        <v>1.9769734740679029E-3</v>
      </c>
      <c r="CJ187" s="26">
        <v>0</v>
      </c>
      <c r="CK187" s="26">
        <v>1.9769734740679029E-3</v>
      </c>
      <c r="CL187" s="26"/>
      <c r="CM187" s="26">
        <v>0</v>
      </c>
      <c r="CN187" s="26"/>
      <c r="CO187" s="26">
        <v>0</v>
      </c>
      <c r="CP187" s="26">
        <v>0</v>
      </c>
      <c r="CQ187" s="26">
        <v>0</v>
      </c>
      <c r="CR187" s="26">
        <v>0</v>
      </c>
      <c r="CS187" s="26">
        <v>0</v>
      </c>
      <c r="CT187" s="26">
        <v>0</v>
      </c>
      <c r="CU187" s="26">
        <v>0</v>
      </c>
      <c r="CV187" s="26">
        <v>9999</v>
      </c>
      <c r="CW187" s="30">
        <v>9999</v>
      </c>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row>
    <row r="188" spans="1:131">
      <c r="A188" s="7" t="s">
        <v>1340</v>
      </c>
      <c r="B188" s="7"/>
      <c r="C188" s="26">
        <v>8</v>
      </c>
      <c r="D188" s="26">
        <v>3.8926178170832704</v>
      </c>
      <c r="E188" s="26">
        <v>0</v>
      </c>
      <c r="F188" s="26">
        <v>4.9800000000000004</v>
      </c>
      <c r="G188" s="26">
        <v>0</v>
      </c>
      <c r="H188" s="26">
        <v>0</v>
      </c>
      <c r="I188" s="26"/>
      <c r="J188" s="26"/>
      <c r="K188" s="26"/>
      <c r="L188" s="26">
        <v>4.1620494190903221</v>
      </c>
      <c r="M188" s="26">
        <v>1.1070327025793422E-5</v>
      </c>
      <c r="N188" s="26">
        <v>1.0990426369738308E-5</v>
      </c>
      <c r="O188" s="26">
        <v>0</v>
      </c>
      <c r="P188" s="26">
        <v>0</v>
      </c>
      <c r="Q188" s="26">
        <v>0</v>
      </c>
      <c r="R188" s="26">
        <v>0.99307852534081786</v>
      </c>
      <c r="S188" s="26">
        <v>2.29485342567158</v>
      </c>
      <c r="T188" s="26">
        <v>0</v>
      </c>
      <c r="U188" s="26">
        <v>7.9649787056965353</v>
      </c>
      <c r="V188" s="26">
        <v>0.29880000000000001</v>
      </c>
      <c r="W188" s="26">
        <v>0.69720000000000004</v>
      </c>
      <c r="X188" s="26">
        <v>0</v>
      </c>
      <c r="Y188" s="26">
        <v>0</v>
      </c>
      <c r="Z188" s="26">
        <v>0</v>
      </c>
      <c r="AA188" s="26">
        <v>0</v>
      </c>
      <c r="AB188" s="26">
        <v>0</v>
      </c>
      <c r="AC188" s="26">
        <v>0</v>
      </c>
      <c r="AD188" s="26">
        <v>0</v>
      </c>
      <c r="AE188" s="26">
        <v>0</v>
      </c>
      <c r="AF188" s="26">
        <v>0</v>
      </c>
      <c r="AG188" s="26">
        <v>0</v>
      </c>
      <c r="AH188" s="26">
        <v>1.2918785253408178</v>
      </c>
      <c r="AI188" s="26">
        <v>2.9920534256715801</v>
      </c>
      <c r="AJ188" s="26">
        <v>0</v>
      </c>
      <c r="AK188" s="26">
        <v>7.9649787056965353</v>
      </c>
      <c r="AL188" s="26">
        <v>12.248910656708935</v>
      </c>
      <c r="AM188" s="26">
        <v>2.0018788645127459</v>
      </c>
      <c r="AN188" s="26">
        <v>3.9116832826772514E-3</v>
      </c>
      <c r="AO188" s="26">
        <v>0</v>
      </c>
      <c r="AP188" s="26">
        <v>0</v>
      </c>
      <c r="AQ188" s="26">
        <v>2.005790547795423</v>
      </c>
      <c r="AR188" s="26">
        <v>1.2918785253408178</v>
      </c>
      <c r="AS188" s="30">
        <v>1.5526154421262355</v>
      </c>
      <c r="AT188" s="26">
        <v>2.0018788645127459</v>
      </c>
      <c r="AU188" s="26">
        <v>4.6302679120875439E-3</v>
      </c>
      <c r="AV188" s="26">
        <v>0</v>
      </c>
      <c r="AW188" s="26">
        <v>0</v>
      </c>
      <c r="AX188" s="26">
        <v>2.0065091324248336</v>
      </c>
      <c r="AY188" s="26">
        <v>2.9920534256715801</v>
      </c>
      <c r="AZ188" s="742">
        <v>0.67061273545757738</v>
      </c>
      <c r="BA188" s="26">
        <v>2.0018788645127459</v>
      </c>
      <c r="BB188" s="26">
        <v>8.5419511947647953E-3</v>
      </c>
      <c r="BC188" s="26">
        <v>0</v>
      </c>
      <c r="BD188" s="26">
        <v>0</v>
      </c>
      <c r="BE188" s="26">
        <v>2.0104208157075107</v>
      </c>
      <c r="BF188" s="26">
        <v>4.2839319510123985</v>
      </c>
      <c r="BG188" s="26">
        <v>75.585522382590099</v>
      </c>
      <c r="BH188" s="742">
        <v>0.46929335916094533</v>
      </c>
      <c r="BI188" s="26">
        <v>22.839393177441355</v>
      </c>
      <c r="BJ188" s="26">
        <v>52.897144163608758</v>
      </c>
      <c r="BK188" s="26">
        <v>0</v>
      </c>
      <c r="BL188" s="26">
        <v>140.81454002136851</v>
      </c>
      <c r="BM188" s="26">
        <v>216.55107736241865</v>
      </c>
      <c r="BN188" s="26">
        <v>2.0018788645127459</v>
      </c>
      <c r="BO188" s="26">
        <v>0</v>
      </c>
      <c r="BP188" s="26">
        <v>8.5419511947647953E-3</v>
      </c>
      <c r="BQ188" s="26">
        <v>0</v>
      </c>
      <c r="BR188" s="26">
        <v>0</v>
      </c>
      <c r="BS188" s="26">
        <v>0</v>
      </c>
      <c r="BT188" s="26">
        <v>0</v>
      </c>
      <c r="BU188" s="26">
        <v>0</v>
      </c>
      <c r="BV188" s="26">
        <v>0</v>
      </c>
      <c r="BW188" s="26">
        <v>0</v>
      </c>
      <c r="BX188" s="26">
        <v>11.252910656708934</v>
      </c>
      <c r="BY188" s="26">
        <v>0.99600000000000011</v>
      </c>
      <c r="BZ188" s="26">
        <v>0</v>
      </c>
      <c r="CA188" s="26">
        <v>0</v>
      </c>
      <c r="CB188" s="26">
        <v>2.0104208157075107</v>
      </c>
      <c r="CC188" s="26">
        <v>12.248910656708935</v>
      </c>
      <c r="CD188" s="742">
        <v>0.16413058042891099</v>
      </c>
      <c r="CE188" s="26">
        <v>216.40006240395863</v>
      </c>
      <c r="CF188" s="26">
        <v>3.9540003975354655E-2</v>
      </c>
      <c r="CG188" s="26">
        <v>0</v>
      </c>
      <c r="CH188" s="26">
        <v>3.9540003975354655E-2</v>
      </c>
      <c r="CI188" s="26">
        <v>1.9769734740679029E-3</v>
      </c>
      <c r="CJ188" s="26">
        <v>0</v>
      </c>
      <c r="CK188" s="26">
        <v>1.9769734740679029E-3</v>
      </c>
      <c r="CL188" s="26"/>
      <c r="CM188" s="26">
        <v>0</v>
      </c>
      <c r="CN188" s="26"/>
      <c r="CO188" s="26">
        <v>0</v>
      </c>
      <c r="CP188" s="26">
        <v>0</v>
      </c>
      <c r="CQ188" s="26">
        <v>0</v>
      </c>
      <c r="CR188" s="26">
        <v>0</v>
      </c>
      <c r="CS188" s="26">
        <v>0</v>
      </c>
      <c r="CT188" s="26">
        <v>0</v>
      </c>
      <c r="CU188" s="26">
        <v>0</v>
      </c>
      <c r="CV188" s="26">
        <v>9999</v>
      </c>
      <c r="CW188" s="30">
        <v>9999</v>
      </c>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row>
    <row r="189" spans="1:131">
      <c r="A189" s="7" t="s">
        <v>1552</v>
      </c>
      <c r="B189" s="7"/>
      <c r="C189" s="26">
        <v>15.000000000000002</v>
      </c>
      <c r="D189" s="26">
        <v>1.591604244783726</v>
      </c>
      <c r="E189" s="26">
        <v>0</v>
      </c>
      <c r="F189" s="26">
        <v>3.9583333333333335</v>
      </c>
      <c r="G189" s="26">
        <v>0</v>
      </c>
      <c r="H189" s="26">
        <v>0</v>
      </c>
      <c r="I189" s="26"/>
      <c r="J189" s="26"/>
      <c r="K189" s="26"/>
      <c r="L189" s="26">
        <v>1.7017687925467591</v>
      </c>
      <c r="M189" s="26">
        <v>4.5264087853862627E-6</v>
      </c>
      <c r="N189" s="26">
        <v>4.4937391966122966E-6</v>
      </c>
      <c r="O189" s="26">
        <v>0</v>
      </c>
      <c r="P189" s="26">
        <v>0</v>
      </c>
      <c r="Q189" s="26">
        <v>0</v>
      </c>
      <c r="R189" s="26">
        <v>0.78934454407109844</v>
      </c>
      <c r="S189" s="26">
        <v>1.8240551827208842</v>
      </c>
      <c r="T189" s="26">
        <v>0</v>
      </c>
      <c r="U189" s="26">
        <v>2.647617742752244</v>
      </c>
      <c r="V189" s="26">
        <v>0.23750000000000002</v>
      </c>
      <c r="W189" s="26">
        <v>0.5541666666666667</v>
      </c>
      <c r="X189" s="26">
        <v>0</v>
      </c>
      <c r="Y189" s="26">
        <v>0</v>
      </c>
      <c r="Z189" s="26">
        <v>0</v>
      </c>
      <c r="AA189" s="26">
        <v>0</v>
      </c>
      <c r="AB189" s="26">
        <v>0</v>
      </c>
      <c r="AC189" s="26">
        <v>0</v>
      </c>
      <c r="AD189" s="26">
        <v>0</v>
      </c>
      <c r="AE189" s="26">
        <v>0</v>
      </c>
      <c r="AF189" s="26">
        <v>0</v>
      </c>
      <c r="AG189" s="26">
        <v>0</v>
      </c>
      <c r="AH189" s="26">
        <v>1.0268445440710985</v>
      </c>
      <c r="AI189" s="26">
        <v>2.3782218493875509</v>
      </c>
      <c r="AJ189" s="26">
        <v>0</v>
      </c>
      <c r="AK189" s="26">
        <v>2.647617742752244</v>
      </c>
      <c r="AL189" s="26">
        <v>6.0526841362108934</v>
      </c>
      <c r="AM189" s="26">
        <v>0.81852343282154549</v>
      </c>
      <c r="AN189" s="26">
        <v>1.5993996866673307E-3</v>
      </c>
      <c r="AO189" s="26">
        <v>0</v>
      </c>
      <c r="AP189" s="26">
        <v>0</v>
      </c>
      <c r="AQ189" s="26">
        <v>0.82012283250821283</v>
      </c>
      <c r="AR189" s="26">
        <v>1.0268445440710985</v>
      </c>
      <c r="AS189" s="742">
        <v>0.7986825632404857</v>
      </c>
      <c r="AT189" s="26">
        <v>0.81852343282154549</v>
      </c>
      <c r="AU189" s="26">
        <v>1.8932128479251542E-3</v>
      </c>
      <c r="AV189" s="26">
        <v>0</v>
      </c>
      <c r="AW189" s="26">
        <v>0</v>
      </c>
      <c r="AX189" s="26">
        <v>0.8204166456694707</v>
      </c>
      <c r="AY189" s="26">
        <v>2.3782218493875509</v>
      </c>
      <c r="AZ189" s="742">
        <v>0.34497061150150798</v>
      </c>
      <c r="BA189" s="26">
        <v>0.81852343282154549</v>
      </c>
      <c r="BB189" s="26">
        <v>3.4926125345924848E-3</v>
      </c>
      <c r="BC189" s="26">
        <v>0</v>
      </c>
      <c r="BD189" s="26">
        <v>0</v>
      </c>
      <c r="BE189" s="26">
        <v>0.82201604535613804</v>
      </c>
      <c r="BF189" s="26">
        <v>3.4050663934586494</v>
      </c>
      <c r="BG189" s="26">
        <v>147.07858891794004</v>
      </c>
      <c r="BH189" s="742">
        <v>0.24140969671994753</v>
      </c>
      <c r="BI189" s="26">
        <v>44.399109443698549</v>
      </c>
      <c r="BJ189" s="26">
        <v>102.83049443270153</v>
      </c>
      <c r="BK189" s="26">
        <v>0</v>
      </c>
      <c r="BL189" s="26">
        <v>114.47874033539756</v>
      </c>
      <c r="BM189" s="26">
        <v>261.70834421179768</v>
      </c>
      <c r="BN189" s="26">
        <v>0.81852343282154549</v>
      </c>
      <c r="BO189" s="26">
        <v>0</v>
      </c>
      <c r="BP189" s="26">
        <v>3.4926125345924848E-3</v>
      </c>
      <c r="BQ189" s="26">
        <v>0</v>
      </c>
      <c r="BR189" s="26">
        <v>0</v>
      </c>
      <c r="BS189" s="26">
        <v>0</v>
      </c>
      <c r="BT189" s="26">
        <v>0</v>
      </c>
      <c r="BU189" s="26">
        <v>0</v>
      </c>
      <c r="BV189" s="26">
        <v>0</v>
      </c>
      <c r="BW189" s="26">
        <v>0</v>
      </c>
      <c r="BX189" s="26">
        <v>5.2610174695442264</v>
      </c>
      <c r="BY189" s="26">
        <v>0.79166666666666674</v>
      </c>
      <c r="BZ189" s="26">
        <v>0</v>
      </c>
      <c r="CA189" s="26">
        <v>0</v>
      </c>
      <c r="CB189" s="26">
        <v>0.82201604535613804</v>
      </c>
      <c r="CC189" s="26">
        <v>6.0526841362108934</v>
      </c>
      <c r="CD189" s="742">
        <v>0.1358101673335852</v>
      </c>
      <c r="CE189" s="26">
        <v>261.55732925333763</v>
      </c>
      <c r="CF189" s="26">
        <v>1.6167022071818662E-2</v>
      </c>
      <c r="CG189" s="26">
        <v>0</v>
      </c>
      <c r="CH189" s="26">
        <v>1.6167022071818662E-2</v>
      </c>
      <c r="CI189" s="26">
        <v>8.083401764597104E-4</v>
      </c>
      <c r="CJ189" s="26">
        <v>0</v>
      </c>
      <c r="CK189" s="26">
        <v>8.083401764597104E-4</v>
      </c>
      <c r="CL189" s="26"/>
      <c r="CM189" s="26">
        <v>0</v>
      </c>
      <c r="CN189" s="26"/>
      <c r="CO189" s="26">
        <v>0</v>
      </c>
      <c r="CP189" s="26">
        <v>0</v>
      </c>
      <c r="CQ189" s="26">
        <v>0</v>
      </c>
      <c r="CR189" s="26">
        <v>0</v>
      </c>
      <c r="CS189" s="26">
        <v>0</v>
      </c>
      <c r="CT189" s="26">
        <v>0</v>
      </c>
      <c r="CU189" s="26">
        <v>0</v>
      </c>
      <c r="CV189" s="26">
        <v>9999</v>
      </c>
      <c r="CW189" s="30">
        <v>9999</v>
      </c>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row>
    <row r="190" spans="1:131">
      <c r="A190" s="7" t="s">
        <v>1313</v>
      </c>
      <c r="B190" s="7"/>
      <c r="C190" s="26">
        <v>8</v>
      </c>
      <c r="D190" s="26">
        <v>2.999288541693188</v>
      </c>
      <c r="E190" s="26">
        <v>0</v>
      </c>
      <c r="F190" s="26">
        <v>4.9800000000000004</v>
      </c>
      <c r="G190" s="26">
        <v>0</v>
      </c>
      <c r="H190" s="26">
        <v>0</v>
      </c>
      <c r="I190" s="26"/>
      <c r="J190" s="26"/>
      <c r="K190" s="26"/>
      <c r="L190" s="26">
        <v>3.206887426208211</v>
      </c>
      <c r="M190" s="26">
        <v>8.5297623762452117E-6</v>
      </c>
      <c r="N190" s="26">
        <v>8.4681983765306337E-6</v>
      </c>
      <c r="O190" s="26">
        <v>0</v>
      </c>
      <c r="P190" s="26">
        <v>0</v>
      </c>
      <c r="Q190" s="26">
        <v>0</v>
      </c>
      <c r="R190" s="26">
        <v>0.99307852534081786</v>
      </c>
      <c r="S190" s="26">
        <v>2.29485342567158</v>
      </c>
      <c r="T190" s="26">
        <v>0</v>
      </c>
      <c r="U190" s="26">
        <v>7.9649787056965353</v>
      </c>
      <c r="V190" s="26">
        <v>0.29880000000000001</v>
      </c>
      <c r="W190" s="26">
        <v>0.69720000000000004</v>
      </c>
      <c r="X190" s="26">
        <v>0</v>
      </c>
      <c r="Y190" s="26">
        <v>0</v>
      </c>
      <c r="Z190" s="26">
        <v>0</v>
      </c>
      <c r="AA190" s="26">
        <v>0</v>
      </c>
      <c r="AB190" s="26">
        <v>0</v>
      </c>
      <c r="AC190" s="26">
        <v>0</v>
      </c>
      <c r="AD190" s="26">
        <v>0</v>
      </c>
      <c r="AE190" s="26">
        <v>0</v>
      </c>
      <c r="AF190" s="26">
        <v>0</v>
      </c>
      <c r="AG190" s="26">
        <v>0</v>
      </c>
      <c r="AH190" s="26">
        <v>1.2918785253408178</v>
      </c>
      <c r="AI190" s="26">
        <v>2.9920534256715801</v>
      </c>
      <c r="AJ190" s="26">
        <v>0</v>
      </c>
      <c r="AK190" s="26">
        <v>7.9649787056965353</v>
      </c>
      <c r="AL190" s="26">
        <v>12.248910656708935</v>
      </c>
      <c r="AM190" s="26">
        <v>1.5424613004237329</v>
      </c>
      <c r="AN190" s="26">
        <v>3.0139786127931865E-3</v>
      </c>
      <c r="AO190" s="26">
        <v>0</v>
      </c>
      <c r="AP190" s="26">
        <v>0</v>
      </c>
      <c r="AQ190" s="26">
        <v>1.545475279036526</v>
      </c>
      <c r="AR190" s="26">
        <v>1.2918785253408178</v>
      </c>
      <c r="AS190" s="30">
        <v>1.1963007734251216</v>
      </c>
      <c r="AT190" s="26">
        <v>1.5424613004237329</v>
      </c>
      <c r="AU190" s="26">
        <v>3.5676529642202819E-3</v>
      </c>
      <c r="AV190" s="26">
        <v>0</v>
      </c>
      <c r="AW190" s="26">
        <v>0</v>
      </c>
      <c r="AX190" s="26">
        <v>1.5460289533879532</v>
      </c>
      <c r="AY190" s="26">
        <v>2.9920534256715801</v>
      </c>
      <c r="AZ190" s="742">
        <v>0.51671168038750515</v>
      </c>
      <c r="BA190" s="26">
        <v>1.5424613004237329</v>
      </c>
      <c r="BB190" s="26">
        <v>6.5816315770134684E-3</v>
      </c>
      <c r="BC190" s="26">
        <v>0</v>
      </c>
      <c r="BD190" s="26">
        <v>0</v>
      </c>
      <c r="BE190" s="26">
        <v>1.5490429320007464</v>
      </c>
      <c r="BF190" s="26">
        <v>4.2839319510123985</v>
      </c>
      <c r="BG190" s="26">
        <v>98.143427393369564</v>
      </c>
      <c r="BH190" s="742">
        <v>0.36159372971241277</v>
      </c>
      <c r="BI190" s="26">
        <v>29.642039296322171</v>
      </c>
      <c r="BJ190" s="26">
        <v>68.652403055507392</v>
      </c>
      <c r="BK190" s="26">
        <v>0</v>
      </c>
      <c r="BL190" s="26">
        <v>182.75573682621561</v>
      </c>
      <c r="BM190" s="26">
        <v>281.0501791780452</v>
      </c>
      <c r="BN190" s="26">
        <v>1.5424613004237329</v>
      </c>
      <c r="BO190" s="26">
        <v>0</v>
      </c>
      <c r="BP190" s="26">
        <v>6.5816315770134684E-3</v>
      </c>
      <c r="BQ190" s="26">
        <v>0</v>
      </c>
      <c r="BR190" s="26">
        <v>0</v>
      </c>
      <c r="BS190" s="26">
        <v>0</v>
      </c>
      <c r="BT190" s="26">
        <v>0</v>
      </c>
      <c r="BU190" s="26">
        <v>0</v>
      </c>
      <c r="BV190" s="26">
        <v>0</v>
      </c>
      <c r="BW190" s="26">
        <v>0</v>
      </c>
      <c r="BX190" s="26">
        <v>11.252910656708934</v>
      </c>
      <c r="BY190" s="26">
        <v>0.99600000000000011</v>
      </c>
      <c r="BZ190" s="26">
        <v>0</v>
      </c>
      <c r="CA190" s="26">
        <v>0</v>
      </c>
      <c r="CB190" s="26">
        <v>1.5490429320007464</v>
      </c>
      <c r="CC190" s="26">
        <v>12.248910656708935</v>
      </c>
      <c r="CD190" s="742">
        <v>0.12646373015646983</v>
      </c>
      <c r="CE190" s="26">
        <v>280.8991642195852</v>
      </c>
      <c r="CF190" s="26">
        <v>3.0465842380242986E-2</v>
      </c>
      <c r="CG190" s="26">
        <v>0</v>
      </c>
      <c r="CH190" s="26">
        <v>3.0465842380242986E-2</v>
      </c>
      <c r="CI190" s="26">
        <v>1.5232715274489E-3</v>
      </c>
      <c r="CJ190" s="26">
        <v>0</v>
      </c>
      <c r="CK190" s="26">
        <v>1.5232715274489E-3</v>
      </c>
      <c r="CL190" s="26"/>
      <c r="CM190" s="26">
        <v>0</v>
      </c>
      <c r="CN190" s="26"/>
      <c r="CO190" s="26">
        <v>0</v>
      </c>
      <c r="CP190" s="26">
        <v>0</v>
      </c>
      <c r="CQ190" s="26">
        <v>0</v>
      </c>
      <c r="CR190" s="26">
        <v>0</v>
      </c>
      <c r="CS190" s="26">
        <v>0</v>
      </c>
      <c r="CT190" s="26">
        <v>0</v>
      </c>
      <c r="CU190" s="26">
        <v>0</v>
      </c>
      <c r="CV190" s="26">
        <v>9999</v>
      </c>
      <c r="CW190" s="30">
        <v>9999</v>
      </c>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row>
    <row r="191" spans="1:131">
      <c r="A191" s="7" t="s">
        <v>1341</v>
      </c>
      <c r="B191" s="7"/>
      <c r="C191" s="26">
        <v>4</v>
      </c>
      <c r="D191" s="26">
        <v>9.6412896030408817</v>
      </c>
      <c r="E191" s="26">
        <v>0</v>
      </c>
      <c r="F191" s="26">
        <v>9.0666666666666664</v>
      </c>
      <c r="G191" s="26">
        <v>0</v>
      </c>
      <c r="H191" s="26">
        <v>0</v>
      </c>
      <c r="I191" s="26"/>
      <c r="J191" s="26"/>
      <c r="K191" s="26"/>
      <c r="L191" s="26">
        <v>10.308621518278239</v>
      </c>
      <c r="M191" s="26">
        <v>2.7419138962894343E-5</v>
      </c>
      <c r="N191" s="26">
        <v>2.7221239913796954E-5</v>
      </c>
      <c r="O191" s="26">
        <v>0</v>
      </c>
      <c r="P191" s="26">
        <v>0</v>
      </c>
      <c r="Q191" s="26">
        <v>0</v>
      </c>
      <c r="R191" s="26">
        <v>1.8080144504196949</v>
      </c>
      <c r="S191" s="26">
        <v>4.178046397474362</v>
      </c>
      <c r="T191" s="26">
        <v>0</v>
      </c>
      <c r="U191" s="26">
        <v>32.784241780419279</v>
      </c>
      <c r="V191" s="26">
        <v>0.54400000000000004</v>
      </c>
      <c r="W191" s="26">
        <v>1.2693333333333332</v>
      </c>
      <c r="X191" s="26">
        <v>0</v>
      </c>
      <c r="Y191" s="26">
        <v>0</v>
      </c>
      <c r="Z191" s="26">
        <v>0</v>
      </c>
      <c r="AA191" s="26">
        <v>0</v>
      </c>
      <c r="AB191" s="26">
        <v>0</v>
      </c>
      <c r="AC191" s="26">
        <v>0</v>
      </c>
      <c r="AD191" s="26">
        <v>0</v>
      </c>
      <c r="AE191" s="26">
        <v>0</v>
      </c>
      <c r="AF191" s="26">
        <v>0</v>
      </c>
      <c r="AG191" s="26">
        <v>0</v>
      </c>
      <c r="AH191" s="26">
        <v>2.3520144504196949</v>
      </c>
      <c r="AI191" s="26">
        <v>5.447379730807695</v>
      </c>
      <c r="AJ191" s="26">
        <v>0</v>
      </c>
      <c r="AK191" s="26">
        <v>32.784241780419279</v>
      </c>
      <c r="AL191" s="26">
        <v>40.583635961646671</v>
      </c>
      <c r="AM191" s="26">
        <v>4.9582812364138018</v>
      </c>
      <c r="AN191" s="26">
        <v>9.6885112116975713E-3</v>
      </c>
      <c r="AO191" s="26">
        <v>0</v>
      </c>
      <c r="AP191" s="26">
        <v>0</v>
      </c>
      <c r="AQ191" s="26">
        <v>4.9679697476254994</v>
      </c>
      <c r="AR191" s="26">
        <v>2.3520144504196949</v>
      </c>
      <c r="AS191" s="30">
        <v>2.112219058322117</v>
      </c>
      <c r="AT191" s="26">
        <v>4.9582812364138018</v>
      </c>
      <c r="AU191" s="26">
        <v>1.1468311552237978E-2</v>
      </c>
      <c r="AV191" s="26">
        <v>0</v>
      </c>
      <c r="AW191" s="26">
        <v>0</v>
      </c>
      <c r="AX191" s="26">
        <v>4.9697495479660398</v>
      </c>
      <c r="AY191" s="26">
        <v>5.447379730807695</v>
      </c>
      <c r="AZ191" s="742">
        <v>0.91231927891121412</v>
      </c>
      <c r="BA191" s="26">
        <v>4.9582812364138018</v>
      </c>
      <c r="BB191" s="26">
        <v>2.1156822763935549E-2</v>
      </c>
      <c r="BC191" s="26">
        <v>0</v>
      </c>
      <c r="BD191" s="26">
        <v>0</v>
      </c>
      <c r="BE191" s="26">
        <v>4.9794380591777374</v>
      </c>
      <c r="BF191" s="26">
        <v>7.7993941812273908</v>
      </c>
      <c r="BG191" s="26">
        <v>55.520160313623002</v>
      </c>
      <c r="BH191" s="742">
        <v>0.6384390817382849</v>
      </c>
      <c r="BI191" s="26">
        <v>16.788407621062301</v>
      </c>
      <c r="BJ191" s="26">
        <v>38.882767651020721</v>
      </c>
      <c r="BK191" s="26">
        <v>0</v>
      </c>
      <c r="BL191" s="26">
        <v>234.01013308354769</v>
      </c>
      <c r="BM191" s="26">
        <v>289.68130835563073</v>
      </c>
      <c r="BN191" s="26">
        <v>4.9582812364138018</v>
      </c>
      <c r="BO191" s="26">
        <v>0</v>
      </c>
      <c r="BP191" s="26">
        <v>2.1156822763935549E-2</v>
      </c>
      <c r="BQ191" s="26">
        <v>0</v>
      </c>
      <c r="BR191" s="26">
        <v>0</v>
      </c>
      <c r="BS191" s="26">
        <v>0</v>
      </c>
      <c r="BT191" s="26">
        <v>0</v>
      </c>
      <c r="BU191" s="26">
        <v>0</v>
      </c>
      <c r="BV191" s="26">
        <v>0</v>
      </c>
      <c r="BW191" s="26">
        <v>0</v>
      </c>
      <c r="BX191" s="26">
        <v>38.770302628313338</v>
      </c>
      <c r="BY191" s="26">
        <v>1.8133333333333335</v>
      </c>
      <c r="BZ191" s="26">
        <v>0</v>
      </c>
      <c r="CA191" s="26">
        <v>0</v>
      </c>
      <c r="CB191" s="26">
        <v>4.9794380591777374</v>
      </c>
      <c r="CC191" s="26">
        <v>40.583635961646671</v>
      </c>
      <c r="CD191" s="742">
        <v>0.12269571075109008</v>
      </c>
      <c r="CE191" s="26">
        <v>289.53029339717068</v>
      </c>
      <c r="CF191" s="26">
        <v>9.7933228265760314E-2</v>
      </c>
      <c r="CG191" s="26">
        <v>0</v>
      </c>
      <c r="CH191" s="26">
        <v>9.7933228265760314E-2</v>
      </c>
      <c r="CI191" s="26">
        <v>4.8965952211821647E-3</v>
      </c>
      <c r="CJ191" s="26">
        <v>0</v>
      </c>
      <c r="CK191" s="26">
        <v>4.8965952211821647E-3</v>
      </c>
      <c r="CL191" s="26"/>
      <c r="CM191" s="26">
        <v>0</v>
      </c>
      <c r="CN191" s="26"/>
      <c r="CO191" s="26">
        <v>0</v>
      </c>
      <c r="CP191" s="26">
        <v>0</v>
      </c>
      <c r="CQ191" s="26">
        <v>0</v>
      </c>
      <c r="CR191" s="26">
        <v>0</v>
      </c>
      <c r="CS191" s="26">
        <v>0</v>
      </c>
      <c r="CT191" s="26">
        <v>0</v>
      </c>
      <c r="CU191" s="26">
        <v>0</v>
      </c>
      <c r="CV191" s="26">
        <v>9999</v>
      </c>
      <c r="CW191" s="30">
        <v>9999</v>
      </c>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row>
    <row r="192" spans="1:131">
      <c r="A192" s="7" t="s">
        <v>1551</v>
      </c>
      <c r="B192" s="7"/>
      <c r="C192" s="26">
        <v>5</v>
      </c>
      <c r="D192" s="26">
        <v>20.850219658493057</v>
      </c>
      <c r="E192" s="26">
        <v>0</v>
      </c>
      <c r="F192" s="26">
        <v>24.253499999999999</v>
      </c>
      <c r="G192" s="26">
        <v>0</v>
      </c>
      <c r="H192" s="26">
        <v>0</v>
      </c>
      <c r="I192" s="26"/>
      <c r="J192" s="26"/>
      <c r="K192" s="26"/>
      <c r="L192" s="26">
        <v>22.29338935784876</v>
      </c>
      <c r="M192" s="26">
        <v>5.9296535397378663E-5</v>
      </c>
      <c r="N192" s="26">
        <v>5.8868559596030883E-5</v>
      </c>
      <c r="O192" s="26">
        <v>0</v>
      </c>
      <c r="P192" s="26">
        <v>0</v>
      </c>
      <c r="Q192" s="26">
        <v>0</v>
      </c>
      <c r="R192" s="26">
        <v>4.836471890432434</v>
      </c>
      <c r="S192" s="26">
        <v>11.176350915567401</v>
      </c>
      <c r="T192" s="26">
        <v>0</v>
      </c>
      <c r="U192" s="26">
        <v>68.105359363045466</v>
      </c>
      <c r="V192" s="26">
        <v>1.4552099999999999</v>
      </c>
      <c r="W192" s="26">
        <v>3.3954899999999997</v>
      </c>
      <c r="X192" s="26">
        <v>0</v>
      </c>
      <c r="Y192" s="26">
        <v>0</v>
      </c>
      <c r="Z192" s="26">
        <v>0</v>
      </c>
      <c r="AA192" s="26">
        <v>0</v>
      </c>
      <c r="AB192" s="26">
        <v>0</v>
      </c>
      <c r="AC192" s="26">
        <v>0</v>
      </c>
      <c r="AD192" s="26">
        <v>0</v>
      </c>
      <c r="AE192" s="26">
        <v>0</v>
      </c>
      <c r="AF192" s="26">
        <v>0</v>
      </c>
      <c r="AG192" s="26">
        <v>0</v>
      </c>
      <c r="AH192" s="26">
        <v>6.2916818904324341</v>
      </c>
      <c r="AI192" s="26">
        <v>14.5718409155674</v>
      </c>
      <c r="AJ192" s="26">
        <v>0</v>
      </c>
      <c r="AK192" s="26">
        <v>68.105359363045466</v>
      </c>
      <c r="AL192" s="26">
        <v>88.968882169045301</v>
      </c>
      <c r="AM192" s="26">
        <v>10.722761908863896</v>
      </c>
      <c r="AN192" s="26">
        <v>2.0952340946583905E-2</v>
      </c>
      <c r="AO192" s="26">
        <v>0</v>
      </c>
      <c r="AP192" s="26">
        <v>0</v>
      </c>
      <c r="AQ192" s="26">
        <v>10.743714249810481</v>
      </c>
      <c r="AR192" s="26">
        <v>6.2916818904324341</v>
      </c>
      <c r="AS192" s="30">
        <v>1.7076060800448469</v>
      </c>
      <c r="AT192" s="26">
        <v>10.722761908863896</v>
      </c>
      <c r="AU192" s="26">
        <v>2.4801331027415399E-2</v>
      </c>
      <c r="AV192" s="26">
        <v>0</v>
      </c>
      <c r="AW192" s="26">
        <v>0</v>
      </c>
      <c r="AX192" s="26">
        <v>10.747563239891312</v>
      </c>
      <c r="AY192" s="26">
        <v>14.5718409155674</v>
      </c>
      <c r="AZ192" s="742">
        <v>0.73755699792258012</v>
      </c>
      <c r="BA192" s="26">
        <v>10.722761908863896</v>
      </c>
      <c r="BB192" s="26">
        <v>4.5753671973999308E-2</v>
      </c>
      <c r="BC192" s="26">
        <v>0</v>
      </c>
      <c r="BD192" s="26">
        <v>0</v>
      </c>
      <c r="BE192" s="26">
        <v>10.768515580837896</v>
      </c>
      <c r="BF192" s="26">
        <v>20.863522805999835</v>
      </c>
      <c r="BG192" s="26">
        <v>68.711305680382182</v>
      </c>
      <c r="BH192" s="742">
        <v>0.51614081097278242</v>
      </c>
      <c r="BI192" s="26">
        <v>20.766378704365319</v>
      </c>
      <c r="BJ192" s="26">
        <v>48.095941934476883</v>
      </c>
      <c r="BK192" s="26">
        <v>0</v>
      </c>
      <c r="BL192" s="26">
        <v>224.78912776575362</v>
      </c>
      <c r="BM192" s="26">
        <v>293.65144840459584</v>
      </c>
      <c r="BN192" s="26">
        <v>10.722761908863896</v>
      </c>
      <c r="BO192" s="26">
        <v>0</v>
      </c>
      <c r="BP192" s="26">
        <v>4.5753671973999308E-2</v>
      </c>
      <c r="BQ192" s="26">
        <v>0</v>
      </c>
      <c r="BR192" s="26">
        <v>0</v>
      </c>
      <c r="BS192" s="26">
        <v>0</v>
      </c>
      <c r="BT192" s="26">
        <v>0</v>
      </c>
      <c r="BU192" s="26">
        <v>0</v>
      </c>
      <c r="BV192" s="26">
        <v>0</v>
      </c>
      <c r="BW192" s="26">
        <v>0</v>
      </c>
      <c r="BX192" s="26">
        <v>84.118182169045298</v>
      </c>
      <c r="BY192" s="26">
        <v>4.8506999999999998</v>
      </c>
      <c r="BZ192" s="26">
        <v>0</v>
      </c>
      <c r="CA192" s="26">
        <v>0</v>
      </c>
      <c r="CB192" s="26">
        <v>10.768515580837896</v>
      </c>
      <c r="CC192" s="26">
        <v>88.968882169045301</v>
      </c>
      <c r="CD192" s="742">
        <v>0.12103687624597981</v>
      </c>
      <c r="CE192" s="26">
        <v>293.50043344613579</v>
      </c>
      <c r="CF192" s="26">
        <v>0.21179006183596191</v>
      </c>
      <c r="CG192" s="26">
        <v>0</v>
      </c>
      <c r="CH192" s="26">
        <v>0.21179006183596191</v>
      </c>
      <c r="CI192" s="26">
        <v>1.0589359944978161E-2</v>
      </c>
      <c r="CJ192" s="26">
        <v>0</v>
      </c>
      <c r="CK192" s="26">
        <v>1.0589359944978161E-2</v>
      </c>
      <c r="CL192" s="26"/>
      <c r="CM192" s="26">
        <v>0</v>
      </c>
      <c r="CN192" s="26"/>
      <c r="CO192" s="26">
        <v>0</v>
      </c>
      <c r="CP192" s="26">
        <v>0</v>
      </c>
      <c r="CQ192" s="26">
        <v>0</v>
      </c>
      <c r="CR192" s="26">
        <v>0</v>
      </c>
      <c r="CS192" s="26">
        <v>0</v>
      </c>
      <c r="CT192" s="26">
        <v>0</v>
      </c>
      <c r="CU192" s="26">
        <v>0</v>
      </c>
      <c r="CV192" s="26">
        <v>9999</v>
      </c>
      <c r="CW192" s="30">
        <v>9999</v>
      </c>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row>
    <row r="193" spans="1:131">
      <c r="A193" s="7" t="s">
        <v>1549</v>
      </c>
      <c r="B193" s="7"/>
      <c r="C193" s="26">
        <v>10</v>
      </c>
      <c r="D193" s="26">
        <v>43.673214947725825</v>
      </c>
      <c r="E193" s="26">
        <v>0</v>
      </c>
      <c r="F193" s="26">
        <v>160</v>
      </c>
      <c r="G193" s="26">
        <v>0</v>
      </c>
      <c r="H193" s="26">
        <v>0</v>
      </c>
      <c r="I193" s="26"/>
      <c r="J193" s="26"/>
      <c r="K193" s="26"/>
      <c r="L193" s="26">
        <v>46.696102069221105</v>
      </c>
      <c r="M193" s="26">
        <v>1.2420350377509255E-4</v>
      </c>
      <c r="N193" s="26">
        <v>1.2330705858310757E-4</v>
      </c>
      <c r="O193" s="26">
        <v>0</v>
      </c>
      <c r="P193" s="26">
        <v>0</v>
      </c>
      <c r="Q193" s="26">
        <v>0</v>
      </c>
      <c r="R193" s="26">
        <v>31.906137360347557</v>
      </c>
      <c r="S193" s="26">
        <v>73.730230543665215</v>
      </c>
      <c r="T193" s="26">
        <v>0</v>
      </c>
      <c r="U193" s="26">
        <v>191.76973147720528</v>
      </c>
      <c r="V193" s="26">
        <v>9.6</v>
      </c>
      <c r="W193" s="26">
        <v>22.4</v>
      </c>
      <c r="X193" s="26">
        <v>0</v>
      </c>
      <c r="Y193" s="26">
        <v>0</v>
      </c>
      <c r="Z193" s="26">
        <v>0</v>
      </c>
      <c r="AA193" s="26">
        <v>0</v>
      </c>
      <c r="AB193" s="26">
        <v>0</v>
      </c>
      <c r="AC193" s="26">
        <v>0</v>
      </c>
      <c r="AD193" s="26">
        <v>0</v>
      </c>
      <c r="AE193" s="26">
        <v>0</v>
      </c>
      <c r="AF193" s="26">
        <v>0</v>
      </c>
      <c r="AG193" s="26">
        <v>0</v>
      </c>
      <c r="AH193" s="26">
        <v>41.506137360347559</v>
      </c>
      <c r="AI193" s="26">
        <v>96.13023054366522</v>
      </c>
      <c r="AJ193" s="26">
        <v>0</v>
      </c>
      <c r="AK193" s="26">
        <v>191.76973147720528</v>
      </c>
      <c r="AL193" s="26">
        <v>329.40609938121804</v>
      </c>
      <c r="AM193" s="26">
        <v>22.460074442829466</v>
      </c>
      <c r="AN193" s="26">
        <v>4.3887119886790268E-2</v>
      </c>
      <c r="AO193" s="26">
        <v>0</v>
      </c>
      <c r="AP193" s="26">
        <v>0</v>
      </c>
      <c r="AQ193" s="26">
        <v>22.503961562716256</v>
      </c>
      <c r="AR193" s="26">
        <v>41.506137360347559</v>
      </c>
      <c r="AS193" s="742">
        <v>0.54218395143208808</v>
      </c>
      <c r="AT193" s="26">
        <v>22.460074442829466</v>
      </c>
      <c r="AU193" s="26">
        <v>5.1949278170256893E-2</v>
      </c>
      <c r="AV193" s="26">
        <v>0</v>
      </c>
      <c r="AW193" s="26">
        <v>0</v>
      </c>
      <c r="AX193" s="26">
        <v>22.512023720999721</v>
      </c>
      <c r="AY193" s="26">
        <v>96.13023054366522</v>
      </c>
      <c r="AZ193" s="742">
        <v>0.23418256248510805</v>
      </c>
      <c r="BA193" s="26">
        <v>22.460074442829466</v>
      </c>
      <c r="BB193" s="26">
        <v>9.5836398057047162E-2</v>
      </c>
      <c r="BC193" s="26">
        <v>0</v>
      </c>
      <c r="BD193" s="26">
        <v>0</v>
      </c>
      <c r="BE193" s="26">
        <v>22.555910840886511</v>
      </c>
      <c r="BF193" s="26">
        <v>137.63636790401279</v>
      </c>
      <c r="BG193" s="26">
        <v>216.73057494897145</v>
      </c>
      <c r="BH193" s="742">
        <v>0.1638804567744547</v>
      </c>
      <c r="BI193" s="26">
        <v>65.403622594184782</v>
      </c>
      <c r="BJ193" s="26">
        <v>151.47796731324667</v>
      </c>
      <c r="BK193" s="26">
        <v>0</v>
      </c>
      <c r="BL193" s="26">
        <v>302.18266358135196</v>
      </c>
      <c r="BM193" s="26">
        <v>519.06425348878338</v>
      </c>
      <c r="BN193" s="26">
        <v>22.460074442829466</v>
      </c>
      <c r="BO193" s="26">
        <v>0</v>
      </c>
      <c r="BP193" s="26">
        <v>9.5836398057047162E-2</v>
      </c>
      <c r="BQ193" s="26">
        <v>0</v>
      </c>
      <c r="BR193" s="26">
        <v>0</v>
      </c>
      <c r="BS193" s="26">
        <v>0</v>
      </c>
      <c r="BT193" s="26">
        <v>0</v>
      </c>
      <c r="BU193" s="26">
        <v>0</v>
      </c>
      <c r="BV193" s="26">
        <v>0</v>
      </c>
      <c r="BW193" s="26">
        <v>0</v>
      </c>
      <c r="BX193" s="26">
        <v>297.40609938121804</v>
      </c>
      <c r="BY193" s="26">
        <v>32</v>
      </c>
      <c r="BZ193" s="26">
        <v>0</v>
      </c>
      <c r="CA193" s="26">
        <v>0</v>
      </c>
      <c r="CB193" s="26">
        <v>22.555910840886511</v>
      </c>
      <c r="CC193" s="26">
        <v>329.40609938121804</v>
      </c>
      <c r="CD193" s="742">
        <v>6.8474478412079445E-2</v>
      </c>
      <c r="CE193" s="26">
        <v>518.91323853032338</v>
      </c>
      <c r="CF193" s="26">
        <v>0.44361896641153331</v>
      </c>
      <c r="CG193" s="26">
        <v>0</v>
      </c>
      <c r="CH193" s="26">
        <v>0.44361896641153331</v>
      </c>
      <c r="CI193" s="26">
        <v>2.2180648482880028E-2</v>
      </c>
      <c r="CJ193" s="26">
        <v>0</v>
      </c>
      <c r="CK193" s="26">
        <v>2.2180648482880028E-2</v>
      </c>
      <c r="CL193" s="26"/>
      <c r="CM193" s="26">
        <v>0</v>
      </c>
      <c r="CN193" s="26"/>
      <c r="CO193" s="26">
        <v>0</v>
      </c>
      <c r="CP193" s="26">
        <v>0</v>
      </c>
      <c r="CQ193" s="26">
        <v>0</v>
      </c>
      <c r="CR193" s="26">
        <v>0</v>
      </c>
      <c r="CS193" s="26">
        <v>0</v>
      </c>
      <c r="CT193" s="26">
        <v>0</v>
      </c>
      <c r="CU193" s="26">
        <v>0</v>
      </c>
      <c r="CV193" s="26">
        <v>9999</v>
      </c>
      <c r="CW193" s="30">
        <v>9999</v>
      </c>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row>
    <row r="194" spans="1:131">
      <c r="A194" s="7" t="s">
        <v>1553</v>
      </c>
      <c r="B194" s="7"/>
      <c r="C194" s="26">
        <v>10</v>
      </c>
      <c r="D194" s="26">
        <v>1.591604244783726</v>
      </c>
      <c r="E194" s="26">
        <v>0</v>
      </c>
      <c r="F194" s="26">
        <v>6.1749999999999998</v>
      </c>
      <c r="G194" s="26">
        <v>0</v>
      </c>
      <c r="H194" s="26">
        <v>0</v>
      </c>
      <c r="I194" s="26"/>
      <c r="J194" s="26"/>
      <c r="K194" s="26"/>
      <c r="L194" s="26">
        <v>1.7017687925467591</v>
      </c>
      <c r="M194" s="26">
        <v>4.5264087853862627E-6</v>
      </c>
      <c r="N194" s="26">
        <v>4.4937391966122966E-6</v>
      </c>
      <c r="O194" s="26">
        <v>0</v>
      </c>
      <c r="P194" s="26">
        <v>0</v>
      </c>
      <c r="Q194" s="26">
        <v>0</v>
      </c>
      <c r="R194" s="26">
        <v>1.2313774887509135</v>
      </c>
      <c r="S194" s="26">
        <v>2.8455260850445794</v>
      </c>
      <c r="T194" s="26">
        <v>0</v>
      </c>
      <c r="U194" s="26">
        <v>7.4011130741983902</v>
      </c>
      <c r="V194" s="26">
        <v>0.3705</v>
      </c>
      <c r="W194" s="26">
        <v>0.86449999999999994</v>
      </c>
      <c r="X194" s="26">
        <v>0</v>
      </c>
      <c r="Y194" s="26">
        <v>0</v>
      </c>
      <c r="Z194" s="26">
        <v>0</v>
      </c>
      <c r="AA194" s="26">
        <v>0</v>
      </c>
      <c r="AB194" s="26">
        <v>0</v>
      </c>
      <c r="AC194" s="26">
        <v>0</v>
      </c>
      <c r="AD194" s="26">
        <v>0</v>
      </c>
      <c r="AE194" s="26">
        <v>0</v>
      </c>
      <c r="AF194" s="26">
        <v>0</v>
      </c>
      <c r="AG194" s="26">
        <v>0</v>
      </c>
      <c r="AH194" s="26">
        <v>1.6018774887509135</v>
      </c>
      <c r="AI194" s="26">
        <v>3.7100260850445794</v>
      </c>
      <c r="AJ194" s="26">
        <v>0</v>
      </c>
      <c r="AK194" s="26">
        <v>7.4011130741983902</v>
      </c>
      <c r="AL194" s="26">
        <v>12.713016647993882</v>
      </c>
      <c r="AM194" s="26">
        <v>0.81852343282154549</v>
      </c>
      <c r="AN194" s="26">
        <v>1.5993996866673307E-3</v>
      </c>
      <c r="AO194" s="26">
        <v>0</v>
      </c>
      <c r="AP194" s="26">
        <v>0</v>
      </c>
      <c r="AQ194" s="26">
        <v>0.82012283250821283</v>
      </c>
      <c r="AR194" s="26">
        <v>1.6018774887509135</v>
      </c>
      <c r="AS194" s="742">
        <v>0.51197600207723448</v>
      </c>
      <c r="AT194" s="26">
        <v>0.81852343282154549</v>
      </c>
      <c r="AU194" s="26">
        <v>1.8932128479251542E-3</v>
      </c>
      <c r="AV194" s="26">
        <v>0</v>
      </c>
      <c r="AW194" s="26">
        <v>0</v>
      </c>
      <c r="AX194" s="26">
        <v>0.8204166456694707</v>
      </c>
      <c r="AY194" s="26">
        <v>3.7100260850445794</v>
      </c>
      <c r="AZ194" s="742">
        <v>0.22113500737276154</v>
      </c>
      <c r="BA194" s="26">
        <v>0.81852343282154549</v>
      </c>
      <c r="BB194" s="26">
        <v>3.4926125345924848E-3</v>
      </c>
      <c r="BC194" s="26">
        <v>0</v>
      </c>
      <c r="BD194" s="26">
        <v>0</v>
      </c>
      <c r="BE194" s="26">
        <v>0.82201604535613804</v>
      </c>
      <c r="BF194" s="26">
        <v>5.3119035737954921</v>
      </c>
      <c r="BG194" s="26">
        <v>229.52716708872407</v>
      </c>
      <c r="BH194" s="742">
        <v>0.15474980558970997</v>
      </c>
      <c r="BI194" s="26">
        <v>69.262610732169733</v>
      </c>
      <c r="BJ194" s="26">
        <v>160.4155713150144</v>
      </c>
      <c r="BK194" s="26">
        <v>0</v>
      </c>
      <c r="BL194" s="26">
        <v>320.01224653122387</v>
      </c>
      <c r="BM194" s="26">
        <v>549.69042857840793</v>
      </c>
      <c r="BN194" s="26">
        <v>0.81852343282154549</v>
      </c>
      <c r="BO194" s="26">
        <v>0</v>
      </c>
      <c r="BP194" s="26">
        <v>3.4926125345924848E-3</v>
      </c>
      <c r="BQ194" s="26">
        <v>0</v>
      </c>
      <c r="BR194" s="26">
        <v>0</v>
      </c>
      <c r="BS194" s="26">
        <v>0</v>
      </c>
      <c r="BT194" s="26">
        <v>0</v>
      </c>
      <c r="BU194" s="26">
        <v>0</v>
      </c>
      <c r="BV194" s="26">
        <v>0</v>
      </c>
      <c r="BW194" s="26">
        <v>0</v>
      </c>
      <c r="BX194" s="26">
        <v>11.478016647993883</v>
      </c>
      <c r="BY194" s="26">
        <v>1.2350000000000001</v>
      </c>
      <c r="BZ194" s="26">
        <v>0</v>
      </c>
      <c r="CA194" s="26">
        <v>0</v>
      </c>
      <c r="CB194" s="26">
        <v>0.82201604535613804</v>
      </c>
      <c r="CC194" s="26">
        <v>12.713016647993882</v>
      </c>
      <c r="CD194" s="742">
        <v>6.4659401314152487E-2</v>
      </c>
      <c r="CE194" s="26">
        <v>549.53941361994794</v>
      </c>
      <c r="CF194" s="26">
        <v>1.6167022071818662E-2</v>
      </c>
      <c r="CG194" s="26">
        <v>0</v>
      </c>
      <c r="CH194" s="26">
        <v>1.6167022071818662E-2</v>
      </c>
      <c r="CI194" s="26">
        <v>8.083401764597104E-4</v>
      </c>
      <c r="CJ194" s="26">
        <v>0</v>
      </c>
      <c r="CK194" s="26">
        <v>8.083401764597104E-4</v>
      </c>
      <c r="CL194" s="26"/>
      <c r="CM194" s="26">
        <v>0</v>
      </c>
      <c r="CN194" s="26"/>
      <c r="CO194" s="26">
        <v>0</v>
      </c>
      <c r="CP194" s="26">
        <v>0</v>
      </c>
      <c r="CQ194" s="26">
        <v>0</v>
      </c>
      <c r="CR194" s="26">
        <v>0</v>
      </c>
      <c r="CS194" s="26">
        <v>0</v>
      </c>
      <c r="CT194" s="26">
        <v>0</v>
      </c>
      <c r="CU194" s="26">
        <v>0</v>
      </c>
      <c r="CV194" s="26">
        <v>9999</v>
      </c>
      <c r="CW194" s="30">
        <v>9999</v>
      </c>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row>
    <row r="195" spans="1:131">
      <c r="A195" s="7" t="s">
        <v>1343</v>
      </c>
      <c r="B195" s="7"/>
      <c r="C195" s="26">
        <v>5</v>
      </c>
      <c r="D195" s="26">
        <v>8.4755857732807609</v>
      </c>
      <c r="E195" s="26">
        <v>0</v>
      </c>
      <c r="F195" s="26">
        <v>19.733333333333334</v>
      </c>
      <c r="G195" s="26">
        <v>0</v>
      </c>
      <c r="H195" s="26">
        <v>0</v>
      </c>
      <c r="I195" s="26"/>
      <c r="J195" s="26"/>
      <c r="K195" s="26"/>
      <c r="L195" s="26">
        <v>9.0622322821728929</v>
      </c>
      <c r="M195" s="26">
        <v>2.4103960536173311E-5</v>
      </c>
      <c r="N195" s="26">
        <v>2.3929988958289522E-5</v>
      </c>
      <c r="O195" s="26">
        <v>0</v>
      </c>
      <c r="P195" s="26">
        <v>0</v>
      </c>
      <c r="Q195" s="26">
        <v>0</v>
      </c>
      <c r="R195" s="26">
        <v>3.9350902744428655</v>
      </c>
      <c r="S195" s="26">
        <v>9.0933951003853757</v>
      </c>
      <c r="T195" s="26">
        <v>0</v>
      </c>
      <c r="U195" s="26">
        <v>55.412445960270915</v>
      </c>
      <c r="V195" s="26">
        <v>1.1840000000000002</v>
      </c>
      <c r="W195" s="26">
        <v>2.7626666666666666</v>
      </c>
      <c r="X195" s="26">
        <v>0</v>
      </c>
      <c r="Y195" s="26">
        <v>0</v>
      </c>
      <c r="Z195" s="26">
        <v>0</v>
      </c>
      <c r="AA195" s="26">
        <v>0</v>
      </c>
      <c r="AB195" s="26">
        <v>0</v>
      </c>
      <c r="AC195" s="26">
        <v>0</v>
      </c>
      <c r="AD195" s="26">
        <v>0</v>
      </c>
      <c r="AE195" s="26">
        <v>0</v>
      </c>
      <c r="AF195" s="26">
        <v>0</v>
      </c>
      <c r="AG195" s="26">
        <v>0</v>
      </c>
      <c r="AH195" s="26">
        <v>5.1190902744428657</v>
      </c>
      <c r="AI195" s="26">
        <v>11.856061767052042</v>
      </c>
      <c r="AJ195" s="26">
        <v>0</v>
      </c>
      <c r="AK195" s="26">
        <v>55.412445960270915</v>
      </c>
      <c r="AL195" s="26">
        <v>72.387598001765824</v>
      </c>
      <c r="AM195" s="26">
        <v>4.3587880498910803</v>
      </c>
      <c r="AN195" s="26">
        <v>8.5170979372132562E-3</v>
      </c>
      <c r="AO195" s="26">
        <v>0</v>
      </c>
      <c r="AP195" s="26">
        <v>0</v>
      </c>
      <c r="AQ195" s="26">
        <v>4.3673051478282936</v>
      </c>
      <c r="AR195" s="26">
        <v>5.1190902744428657</v>
      </c>
      <c r="AS195" s="742">
        <v>0.85314087341497558</v>
      </c>
      <c r="AT195" s="26">
        <v>4.3587880498910803</v>
      </c>
      <c r="AU195" s="26">
        <v>1.0081707140613464E-2</v>
      </c>
      <c r="AV195" s="26">
        <v>0</v>
      </c>
      <c r="AW195" s="26">
        <v>0</v>
      </c>
      <c r="AX195" s="26">
        <v>4.3688697570316934</v>
      </c>
      <c r="AY195" s="26">
        <v>11.856061767052042</v>
      </c>
      <c r="AZ195" s="742">
        <v>0.36849249294337927</v>
      </c>
      <c r="BA195" s="26">
        <v>4.3587880498910803</v>
      </c>
      <c r="BB195" s="26">
        <v>1.859880507782672E-2</v>
      </c>
      <c r="BC195" s="26">
        <v>0</v>
      </c>
      <c r="BD195" s="26">
        <v>0</v>
      </c>
      <c r="BE195" s="26">
        <v>4.3773868549689068</v>
      </c>
      <c r="BF195" s="26">
        <v>16.975152041494908</v>
      </c>
      <c r="BG195" s="26">
        <v>137.68052151240818</v>
      </c>
      <c r="BH195" s="742">
        <v>0.2578702590862576</v>
      </c>
      <c r="BI195" s="26">
        <v>41.564993122583125</v>
      </c>
      <c r="BJ195" s="26">
        <v>96.266543348285111</v>
      </c>
      <c r="BK195" s="26">
        <v>0</v>
      </c>
      <c r="BL195" s="26">
        <v>449.92719638937007</v>
      </c>
      <c r="BM195" s="26">
        <v>587.7587328602383</v>
      </c>
      <c r="BN195" s="26">
        <v>4.3587880498910803</v>
      </c>
      <c r="BO195" s="26">
        <v>0</v>
      </c>
      <c r="BP195" s="26">
        <v>1.859880507782672E-2</v>
      </c>
      <c r="BQ195" s="26">
        <v>0</v>
      </c>
      <c r="BR195" s="26">
        <v>0</v>
      </c>
      <c r="BS195" s="26">
        <v>0</v>
      </c>
      <c r="BT195" s="26">
        <v>0</v>
      </c>
      <c r="BU195" s="26">
        <v>0</v>
      </c>
      <c r="BV195" s="26">
        <v>0</v>
      </c>
      <c r="BW195" s="26">
        <v>0</v>
      </c>
      <c r="BX195" s="26">
        <v>68.440931335099151</v>
      </c>
      <c r="BY195" s="26">
        <v>3.9466666666666672</v>
      </c>
      <c r="BZ195" s="26">
        <v>0</v>
      </c>
      <c r="CA195" s="26">
        <v>0</v>
      </c>
      <c r="CB195" s="26">
        <v>4.3773868549689068</v>
      </c>
      <c r="CC195" s="26">
        <v>72.387598001765824</v>
      </c>
      <c r="CD195" s="742">
        <v>6.0471503072420288E-2</v>
      </c>
      <c r="CE195" s="26">
        <v>587.60771790177819</v>
      </c>
      <c r="CF195" s="26">
        <v>8.6092370460372866E-2</v>
      </c>
      <c r="CG195" s="26">
        <v>0</v>
      </c>
      <c r="CH195" s="26">
        <v>8.6092370460372866E-2</v>
      </c>
      <c r="CI195" s="26">
        <v>4.3045603340321247E-3</v>
      </c>
      <c r="CJ195" s="26">
        <v>0</v>
      </c>
      <c r="CK195" s="26">
        <v>4.3045603340321247E-3</v>
      </c>
      <c r="CL195" s="26"/>
      <c r="CM195" s="26">
        <v>0</v>
      </c>
      <c r="CN195" s="26"/>
      <c r="CO195" s="26">
        <v>0</v>
      </c>
      <c r="CP195" s="26">
        <v>0</v>
      </c>
      <c r="CQ195" s="26">
        <v>0</v>
      </c>
      <c r="CR195" s="26">
        <v>0</v>
      </c>
      <c r="CS195" s="26">
        <v>0</v>
      </c>
      <c r="CT195" s="26">
        <v>0</v>
      </c>
      <c r="CU195" s="26">
        <v>0</v>
      </c>
      <c r="CV195" s="26">
        <v>9999</v>
      </c>
      <c r="CW195" s="30">
        <v>9999</v>
      </c>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row>
    <row r="196" spans="1:131">
      <c r="A196" s="7" t="s">
        <v>1555</v>
      </c>
      <c r="B196" s="7"/>
      <c r="C196" s="26">
        <v>8</v>
      </c>
      <c r="D196" s="26">
        <v>0.66217118955914411</v>
      </c>
      <c r="E196" s="26">
        <v>0</v>
      </c>
      <c r="F196" s="26">
        <v>4.9800000000000004</v>
      </c>
      <c r="G196" s="26">
        <v>0</v>
      </c>
      <c r="H196" s="26">
        <v>0</v>
      </c>
      <c r="I196" s="26"/>
      <c r="J196" s="26"/>
      <c r="K196" s="26"/>
      <c r="L196" s="26">
        <v>0.70800405905454133</v>
      </c>
      <c r="M196" s="26">
        <v>1.8831675648474176E-6</v>
      </c>
      <c r="N196" s="26">
        <v>1.8695757058587499E-6</v>
      </c>
      <c r="O196" s="26">
        <v>0</v>
      </c>
      <c r="P196" s="26">
        <v>0</v>
      </c>
      <c r="Q196" s="26">
        <v>0</v>
      </c>
      <c r="R196" s="26">
        <v>0.99307852534081786</v>
      </c>
      <c r="S196" s="26">
        <v>2.29485342567158</v>
      </c>
      <c r="T196" s="26">
        <v>0</v>
      </c>
      <c r="U196" s="26">
        <v>7.9649787056965353</v>
      </c>
      <c r="V196" s="26">
        <v>0.29880000000000001</v>
      </c>
      <c r="W196" s="26">
        <v>0.69720000000000004</v>
      </c>
      <c r="X196" s="26">
        <v>0</v>
      </c>
      <c r="Y196" s="26">
        <v>0</v>
      </c>
      <c r="Z196" s="26">
        <v>0</v>
      </c>
      <c r="AA196" s="26">
        <v>0</v>
      </c>
      <c r="AB196" s="26">
        <v>0</v>
      </c>
      <c r="AC196" s="26">
        <v>0</v>
      </c>
      <c r="AD196" s="26">
        <v>0</v>
      </c>
      <c r="AE196" s="26">
        <v>0</v>
      </c>
      <c r="AF196" s="26">
        <v>0</v>
      </c>
      <c r="AG196" s="26">
        <v>0</v>
      </c>
      <c r="AH196" s="26">
        <v>1.2918785253408178</v>
      </c>
      <c r="AI196" s="26">
        <v>2.9920534256715801</v>
      </c>
      <c r="AJ196" s="26">
        <v>0</v>
      </c>
      <c r="AK196" s="26">
        <v>7.9649787056965353</v>
      </c>
      <c r="AL196" s="26">
        <v>12.248910656708935</v>
      </c>
      <c r="AM196" s="26">
        <v>0.3405385710485635</v>
      </c>
      <c r="AN196" s="26">
        <v>6.6541440598189699E-4</v>
      </c>
      <c r="AO196" s="26">
        <v>0</v>
      </c>
      <c r="AP196" s="26">
        <v>0</v>
      </c>
      <c r="AQ196" s="26">
        <v>0.34120398545454539</v>
      </c>
      <c r="AR196" s="26">
        <v>1.2918785253408178</v>
      </c>
      <c r="AS196" s="742">
        <v>0.26411460424619293</v>
      </c>
      <c r="AT196" s="26">
        <v>0.3405385710485635</v>
      </c>
      <c r="AU196" s="26">
        <v>7.8765246304655554E-4</v>
      </c>
      <c r="AV196" s="26">
        <v>0</v>
      </c>
      <c r="AW196" s="26">
        <v>0</v>
      </c>
      <c r="AX196" s="26">
        <v>0.34132622351161007</v>
      </c>
      <c r="AY196" s="26">
        <v>2.9920534256715801</v>
      </c>
      <c r="AZ196" s="742">
        <v>0.11407758316848833</v>
      </c>
      <c r="BA196" s="26">
        <v>0.3405385710485635</v>
      </c>
      <c r="BB196" s="26">
        <v>1.4530668690284525E-3</v>
      </c>
      <c r="BC196" s="26">
        <v>0</v>
      </c>
      <c r="BD196" s="26">
        <v>0</v>
      </c>
      <c r="BE196" s="26">
        <v>0.34199163791759196</v>
      </c>
      <c r="BF196" s="26">
        <v>4.2839319510123985</v>
      </c>
      <c r="BG196" s="26">
        <v>445.07130716377389</v>
      </c>
      <c r="BH196" s="742">
        <v>7.9831248915326711E-2</v>
      </c>
      <c r="BI196" s="26">
        <v>134.26290695774441</v>
      </c>
      <c r="BJ196" s="26">
        <v>310.95941516448943</v>
      </c>
      <c r="BK196" s="26">
        <v>0</v>
      </c>
      <c r="BL196" s="26">
        <v>827.78773228792897</v>
      </c>
      <c r="BM196" s="26">
        <v>1273.0100544101631</v>
      </c>
      <c r="BN196" s="26">
        <v>0.3405385710485635</v>
      </c>
      <c r="BO196" s="26">
        <v>0</v>
      </c>
      <c r="BP196" s="26">
        <v>1.4530668690284525E-3</v>
      </c>
      <c r="BQ196" s="26">
        <v>0</v>
      </c>
      <c r="BR196" s="26">
        <v>0</v>
      </c>
      <c r="BS196" s="26">
        <v>0</v>
      </c>
      <c r="BT196" s="26">
        <v>0</v>
      </c>
      <c r="BU196" s="26">
        <v>0</v>
      </c>
      <c r="BV196" s="26">
        <v>0</v>
      </c>
      <c r="BW196" s="26">
        <v>0</v>
      </c>
      <c r="BX196" s="26">
        <v>11.252910656708934</v>
      </c>
      <c r="BY196" s="26">
        <v>0.99600000000000011</v>
      </c>
      <c r="BZ196" s="26">
        <v>0</v>
      </c>
      <c r="CA196" s="26">
        <v>0</v>
      </c>
      <c r="CB196" s="26">
        <v>0.34199163791759196</v>
      </c>
      <c r="CC196" s="26">
        <v>12.248910656708935</v>
      </c>
      <c r="CD196" s="742">
        <v>2.7920167556310601E-2</v>
      </c>
      <c r="CE196" s="26">
        <v>1272.8590394517028</v>
      </c>
      <c r="CF196" s="26">
        <v>6.7261294835135391E-3</v>
      </c>
      <c r="CG196" s="26">
        <v>0</v>
      </c>
      <c r="CH196" s="26">
        <v>6.7261294835135391E-3</v>
      </c>
      <c r="CI196" s="26">
        <v>3.3630192805090718E-4</v>
      </c>
      <c r="CJ196" s="26">
        <v>0</v>
      </c>
      <c r="CK196" s="26">
        <v>3.3630192805090718E-4</v>
      </c>
      <c r="CL196" s="26"/>
      <c r="CM196" s="26">
        <v>0</v>
      </c>
      <c r="CN196" s="26"/>
      <c r="CO196" s="26">
        <v>0</v>
      </c>
      <c r="CP196" s="26">
        <v>0</v>
      </c>
      <c r="CQ196" s="26">
        <v>0</v>
      </c>
      <c r="CR196" s="26">
        <v>0</v>
      </c>
      <c r="CS196" s="26">
        <v>0</v>
      </c>
      <c r="CT196" s="26">
        <v>0</v>
      </c>
      <c r="CU196" s="26">
        <v>0</v>
      </c>
      <c r="CV196" s="26">
        <v>9999</v>
      </c>
      <c r="CW196" s="30">
        <v>9999</v>
      </c>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row>
    <row r="197" spans="1:131">
      <c r="A197" s="7"/>
      <c r="B197" s="7"/>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row>
    <row r="198" spans="1:131">
      <c r="A198" s="7"/>
      <c r="B198" s="7"/>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row>
    <row r="199" spans="1:131" ht="13.5" thickBot="1">
      <c r="A199" s="24" t="s">
        <v>1518</v>
      </c>
      <c r="B199" s="25"/>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row>
    <row r="200" spans="1:131" ht="13.5" thickBot="1">
      <c r="A200" s="743" t="s">
        <v>1519</v>
      </c>
      <c r="B200" s="744"/>
      <c r="C200" s="745"/>
      <c r="D200" s="745"/>
      <c r="E200" s="745"/>
      <c r="F200" s="745"/>
      <c r="G200" s="745"/>
      <c r="H200" s="745"/>
      <c r="I200" s="745"/>
      <c r="J200" s="745"/>
      <c r="K200" s="745"/>
      <c r="L200" s="31"/>
      <c r="M200" s="746"/>
      <c r="N200" s="747" t="s">
        <v>1650</v>
      </c>
      <c r="O200" s="745"/>
      <c r="P200" s="745"/>
      <c r="Q200" s="745"/>
      <c r="R200" s="745"/>
      <c r="S200" s="745"/>
      <c r="T200" s="745"/>
      <c r="U200" s="745"/>
      <c r="V200" s="745"/>
      <c r="W200" s="745"/>
      <c r="X200" s="745"/>
      <c r="Y200" s="31"/>
      <c r="Z200" s="746"/>
      <c r="AA200" s="747" t="s">
        <v>1651</v>
      </c>
      <c r="AB200" s="745"/>
      <c r="AC200" s="745"/>
      <c r="AD200" s="745"/>
      <c r="AE200" s="745"/>
      <c r="AF200" s="745"/>
      <c r="AG200" s="745"/>
      <c r="AH200" s="745"/>
      <c r="AI200" s="745"/>
      <c r="AJ200" s="745"/>
      <c r="AK200" s="745"/>
      <c r="AL200" s="31"/>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row>
    <row r="201" spans="1:131" ht="204">
      <c r="A201" s="27"/>
      <c r="B201" s="28" t="s">
        <v>1520</v>
      </c>
      <c r="C201" s="29" t="s">
        <v>1521</v>
      </c>
      <c r="D201" s="29" t="s">
        <v>1522</v>
      </c>
      <c r="E201" s="29" t="s">
        <v>1523</v>
      </c>
      <c r="F201" s="29" t="s">
        <v>1524</v>
      </c>
      <c r="G201" s="29" t="s">
        <v>1525</v>
      </c>
      <c r="H201" s="29" t="s">
        <v>1526</v>
      </c>
      <c r="I201" s="29" t="s">
        <v>1527</v>
      </c>
      <c r="J201" s="29" t="s">
        <v>1528</v>
      </c>
      <c r="K201" s="29" t="s">
        <v>21</v>
      </c>
      <c r="L201" s="29" t="s">
        <v>1498</v>
      </c>
      <c r="M201" s="29" t="s">
        <v>1529</v>
      </c>
      <c r="N201" s="29" t="s">
        <v>1530</v>
      </c>
      <c r="O201" s="29" t="s">
        <v>1531</v>
      </c>
      <c r="P201" s="29" t="s">
        <v>1532</v>
      </c>
      <c r="Q201" s="29" t="s">
        <v>1533</v>
      </c>
      <c r="R201" s="29" t="s">
        <v>1534</v>
      </c>
      <c r="S201" s="29" t="s">
        <v>1535</v>
      </c>
      <c r="T201" s="29" t="s">
        <v>1536</v>
      </c>
      <c r="U201" s="29" t="s">
        <v>1537</v>
      </c>
      <c r="V201" s="29" t="s">
        <v>1538</v>
      </c>
      <c r="W201" s="29" t="s">
        <v>1539</v>
      </c>
      <c r="X201" s="29" t="s">
        <v>1540</v>
      </c>
      <c r="Y201" s="29" t="s">
        <v>1541</v>
      </c>
      <c r="Z201" s="29"/>
      <c r="AA201" s="29" t="s">
        <v>1530</v>
      </c>
      <c r="AB201" s="29" t="s">
        <v>1531</v>
      </c>
      <c r="AC201" s="29" t="s">
        <v>1532</v>
      </c>
      <c r="AD201" s="29" t="s">
        <v>1533</v>
      </c>
      <c r="AE201" s="29" t="s">
        <v>1534</v>
      </c>
      <c r="AF201" s="29" t="s">
        <v>1535</v>
      </c>
      <c r="AG201" s="29" t="s">
        <v>1536</v>
      </c>
      <c r="AH201" s="29" t="s">
        <v>1537</v>
      </c>
      <c r="AI201" s="29" t="s">
        <v>1538</v>
      </c>
      <c r="AJ201" s="29" t="s">
        <v>1539</v>
      </c>
      <c r="AK201" s="29" t="s">
        <v>1540</v>
      </c>
      <c r="AL201" s="29" t="s">
        <v>1541</v>
      </c>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row>
    <row r="202" spans="1:131">
      <c r="A202" s="7"/>
      <c r="B202" s="38" t="s">
        <v>1542</v>
      </c>
      <c r="C202" s="748">
        <v>3346.2781304566161</v>
      </c>
      <c r="D202" s="748">
        <v>209.05166666666668</v>
      </c>
      <c r="E202" s="748">
        <v>0</v>
      </c>
      <c r="F202" s="748">
        <v>209.05166666666668</v>
      </c>
      <c r="G202" s="748">
        <v>621.30656837103902</v>
      </c>
      <c r="H202" s="748">
        <v>1616.3736974769447</v>
      </c>
      <c r="I202" s="748">
        <v>547.26251931428999</v>
      </c>
      <c r="J202" s="748">
        <v>2.8839605544964058</v>
      </c>
      <c r="K202" s="748">
        <v>13.510976964840342</v>
      </c>
      <c r="L202" s="30">
        <v>4.1154125705981919</v>
      </c>
      <c r="M202" s="26">
        <v>31.790071971277971</v>
      </c>
      <c r="N202" s="32">
        <v>0</v>
      </c>
      <c r="O202" s="32">
        <v>0.11722624816622804</v>
      </c>
      <c r="P202" s="32">
        <v>6.4543770474756883</v>
      </c>
      <c r="Q202" s="32">
        <v>77.746445386024888</v>
      </c>
      <c r="R202" s="32">
        <v>307.94994106252273</v>
      </c>
      <c r="S202" s="32">
        <v>408.13529865558212</v>
      </c>
      <c r="T202" s="32">
        <v>395.12540402933593</v>
      </c>
      <c r="U202" s="32">
        <v>400.77961066127762</v>
      </c>
      <c r="V202" s="32">
        <v>188.4111843237942</v>
      </c>
      <c r="W202" s="32">
        <v>108.34164407465242</v>
      </c>
      <c r="X202" s="32">
        <v>30.621013218141968</v>
      </c>
      <c r="Y202" s="32">
        <v>0.20982851072569991</v>
      </c>
      <c r="Z202" s="32"/>
      <c r="AA202" s="32">
        <v>0</v>
      </c>
      <c r="AB202" s="32">
        <v>8.0168479115275346E-2</v>
      </c>
      <c r="AC202" s="32">
        <v>2.3799174284714968</v>
      </c>
      <c r="AD202" s="32">
        <v>51.238393541674299</v>
      </c>
      <c r="AE202" s="32">
        <v>199.68271992819874</v>
      </c>
      <c r="AF202" s="32">
        <v>300.0101729971081</v>
      </c>
      <c r="AG202" s="32">
        <v>340.29935605879933</v>
      </c>
      <c r="AH202" s="32">
        <v>291.45582851946767</v>
      </c>
      <c r="AI202" s="32">
        <v>150.80469162591507</v>
      </c>
      <c r="AJ202" s="32">
        <v>71.170982726856025</v>
      </c>
      <c r="AK202" s="32">
        <v>15.108863383312324</v>
      </c>
      <c r="AL202" s="32">
        <v>0.15506254999761249</v>
      </c>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row>
    <row r="203" spans="1:131">
      <c r="A203" s="7"/>
      <c r="B203" s="38" t="s">
        <v>1543</v>
      </c>
      <c r="C203" s="748">
        <v>3201.8722972715218</v>
      </c>
      <c r="D203" s="748">
        <v>180.25166666666667</v>
      </c>
      <c r="E203" s="748">
        <v>36.050333333333334</v>
      </c>
      <c r="F203" s="748">
        <v>216.30199999999999</v>
      </c>
      <c r="G203" s="748">
        <v>592.27982802701956</v>
      </c>
      <c r="H203" s="748">
        <v>1546.6204428391486</v>
      </c>
      <c r="I203" s="748">
        <v>591.78047844527089</v>
      </c>
      <c r="J203" s="748">
        <v>3.4123361561439629</v>
      </c>
      <c r="K203" s="748">
        <v>13.460079546372331</v>
      </c>
      <c r="L203" s="30">
        <v>4.0169630102828329</v>
      </c>
      <c r="M203" s="26">
        <v>30.418198011297218</v>
      </c>
      <c r="N203" s="32">
        <v>0</v>
      </c>
      <c r="O203" s="32">
        <v>4.2914763175024486E-3</v>
      </c>
      <c r="P203" s="32">
        <v>0.236285018728878</v>
      </c>
      <c r="Q203" s="32">
        <v>2.8461802229736839</v>
      </c>
      <c r="R203" s="32">
        <v>11.273583346044695</v>
      </c>
      <c r="S203" s="32">
        <v>14.941218335620281</v>
      </c>
      <c r="T203" s="32">
        <v>14.464945695702912</v>
      </c>
      <c r="U203" s="32">
        <v>14.671937681156848</v>
      </c>
      <c r="V203" s="32">
        <v>6.8974495740203334</v>
      </c>
      <c r="W203" s="32">
        <v>3.966224348375909</v>
      </c>
      <c r="X203" s="32">
        <v>1.1209891564323193</v>
      </c>
      <c r="Y203" s="32">
        <v>7.681505623546598E-3</v>
      </c>
      <c r="Z203" s="32"/>
      <c r="AA203" s="32">
        <v>0</v>
      </c>
      <c r="AB203" s="32">
        <v>2.9348472284597901E-3</v>
      </c>
      <c r="AC203" s="32">
        <v>8.7125191172322647E-2</v>
      </c>
      <c r="AD203" s="32">
        <v>1.8757603853290745</v>
      </c>
      <c r="AE203" s="32">
        <v>7.3100835093792149</v>
      </c>
      <c r="AF203" s="32">
        <v>10.982920400226684</v>
      </c>
      <c r="AG203" s="32">
        <v>12.457846687346228</v>
      </c>
      <c r="AH203" s="32">
        <v>10.669758737955487</v>
      </c>
      <c r="AI203" s="32">
        <v>5.5207325390400097</v>
      </c>
      <c r="AJ203" s="32">
        <v>2.605462442443585</v>
      </c>
      <c r="AK203" s="32">
        <v>0.55311272354227281</v>
      </c>
      <c r="AL203" s="32">
        <v>5.6766063186009528E-3</v>
      </c>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6"/>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row>
    <row r="204" spans="1:131">
      <c r="A204" s="7"/>
      <c r="B204" s="38" t="s">
        <v>1544</v>
      </c>
      <c r="C204" s="749"/>
      <c r="D204" s="749"/>
      <c r="E204" s="749"/>
      <c r="F204" s="749"/>
      <c r="G204" s="749"/>
      <c r="H204" s="749"/>
      <c r="I204" s="749"/>
      <c r="J204" s="749"/>
      <c r="K204" s="749"/>
      <c r="L204" s="742"/>
      <c r="M204" s="750"/>
      <c r="N204" s="750"/>
      <c r="O204" s="750"/>
      <c r="P204" s="750"/>
      <c r="Q204" s="750"/>
      <c r="R204" s="750"/>
      <c r="S204" s="750"/>
      <c r="T204" s="750"/>
      <c r="U204" s="750"/>
      <c r="V204" s="750"/>
      <c r="W204" s="750"/>
      <c r="X204" s="750"/>
      <c r="Y204" s="750"/>
      <c r="Z204" s="750"/>
      <c r="AA204" s="750"/>
      <c r="AB204" s="750"/>
      <c r="AC204" s="750"/>
      <c r="AD204" s="750"/>
      <c r="AE204" s="750"/>
      <c r="AF204" s="750"/>
      <c r="AG204" s="750"/>
      <c r="AH204" s="750"/>
      <c r="AI204" s="750"/>
      <c r="AJ204" s="750"/>
      <c r="AK204" s="750"/>
      <c r="AL204" s="750"/>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row>
    <row r="205" spans="1:131">
      <c r="A205" s="7"/>
      <c r="B205" s="7" t="s">
        <v>37</v>
      </c>
      <c r="C205" s="750">
        <v>0</v>
      </c>
      <c r="D205" s="750">
        <v>0</v>
      </c>
      <c r="E205" s="750">
        <v>0</v>
      </c>
      <c r="F205" s="750">
        <v>0</v>
      </c>
      <c r="G205" s="750">
        <v>0</v>
      </c>
      <c r="H205" s="750">
        <v>0</v>
      </c>
      <c r="I205" s="750">
        <v>0</v>
      </c>
      <c r="J205" s="750">
        <v>0</v>
      </c>
      <c r="K205" s="750">
        <v>0</v>
      </c>
      <c r="L205" s="742">
        <v>0</v>
      </c>
      <c r="M205" s="750">
        <v>0</v>
      </c>
      <c r="N205" s="750">
        <v>0</v>
      </c>
      <c r="O205" s="750">
        <v>0</v>
      </c>
      <c r="P205" s="750">
        <v>0</v>
      </c>
      <c r="Q205" s="750">
        <v>0</v>
      </c>
      <c r="R205" s="750">
        <v>0</v>
      </c>
      <c r="S205" s="750">
        <v>0</v>
      </c>
      <c r="T205" s="750">
        <v>0</v>
      </c>
      <c r="U205" s="750">
        <v>0</v>
      </c>
      <c r="V205" s="750">
        <v>0</v>
      </c>
      <c r="W205" s="750">
        <v>0</v>
      </c>
      <c r="X205" s="750">
        <v>0</v>
      </c>
      <c r="Y205" s="750">
        <v>0</v>
      </c>
      <c r="Z205" s="750"/>
      <c r="AA205" s="750">
        <v>0</v>
      </c>
      <c r="AB205" s="750">
        <v>0</v>
      </c>
      <c r="AC205" s="750">
        <v>0</v>
      </c>
      <c r="AD205" s="750">
        <v>0</v>
      </c>
      <c r="AE205" s="750">
        <v>0</v>
      </c>
      <c r="AF205" s="750">
        <v>0</v>
      </c>
      <c r="AG205" s="750">
        <v>0</v>
      </c>
      <c r="AH205" s="750">
        <v>0</v>
      </c>
      <c r="AI205" s="750">
        <v>0</v>
      </c>
      <c r="AJ205" s="750">
        <v>0</v>
      </c>
      <c r="AK205" s="750">
        <v>0</v>
      </c>
      <c r="AL205" s="750">
        <v>0</v>
      </c>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row>
    <row r="206" spans="1:131">
      <c r="A206" s="7"/>
      <c r="B206" s="7" t="s">
        <v>40</v>
      </c>
      <c r="C206" s="26">
        <v>1087.7288439958179</v>
      </c>
      <c r="D206" s="26">
        <v>18.8</v>
      </c>
      <c r="E206" s="26">
        <v>3.7600000000000002</v>
      </c>
      <c r="F206" s="26">
        <v>22.560000000000002</v>
      </c>
      <c r="G206" s="26">
        <v>68.96386025843907</v>
      </c>
      <c r="H206" s="26">
        <v>525.41248063619014</v>
      </c>
      <c r="I206" s="26">
        <v>181.68645714497561</v>
      </c>
      <c r="J206" s="26">
        <v>0.94299314616161289</v>
      </c>
      <c r="K206" s="26">
        <v>4.5141932643849119</v>
      </c>
      <c r="L206" s="30">
        <v>7.7703699304917677</v>
      </c>
      <c r="M206" s="26">
        <v>10.333563705041922</v>
      </c>
      <c r="N206" s="32">
        <v>0</v>
      </c>
      <c r="O206" s="32">
        <v>3.8105132458436351E-2</v>
      </c>
      <c r="P206" s="32">
        <v>2.0980360301389158</v>
      </c>
      <c r="Q206" s="32">
        <v>25.271973179642806</v>
      </c>
      <c r="R206" s="32">
        <v>100.101073593309</v>
      </c>
      <c r="S206" s="32">
        <v>132.66695692744059</v>
      </c>
      <c r="T206" s="32">
        <v>128.43800849858326</v>
      </c>
      <c r="U206" s="32">
        <v>130.27594408065522</v>
      </c>
      <c r="V206" s="32">
        <v>61.244245615781672</v>
      </c>
      <c r="W206" s="32">
        <v>35.217135776411794</v>
      </c>
      <c r="X206" s="32">
        <v>9.9535537726522669</v>
      </c>
      <c r="Y206" s="32">
        <v>6.8206082851184194E-2</v>
      </c>
      <c r="Z206" s="32"/>
      <c r="AA206" s="32">
        <v>0</v>
      </c>
      <c r="AB206" s="32">
        <v>2.6059270542781298E-2</v>
      </c>
      <c r="AC206" s="32">
        <v>0.77360719353102891</v>
      </c>
      <c r="AD206" s="32">
        <v>16.655363482198972</v>
      </c>
      <c r="AE206" s="32">
        <v>64.908129463764027</v>
      </c>
      <c r="AF206" s="32">
        <v>97.520201829906</v>
      </c>
      <c r="AG206" s="32">
        <v>110.61645528187159</v>
      </c>
      <c r="AH206" s="32">
        <v>94.739558121567228</v>
      </c>
      <c r="AI206" s="32">
        <v>49.020017612528562</v>
      </c>
      <c r="AJ206" s="32">
        <v>23.134577506552272</v>
      </c>
      <c r="AK206" s="32">
        <v>4.9112314820581009</v>
      </c>
      <c r="AL206" s="32">
        <v>5.0404061372188294E-2</v>
      </c>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row>
    <row r="207" spans="1:131">
      <c r="A207" s="7"/>
      <c r="B207" s="7" t="s">
        <v>43</v>
      </c>
      <c r="C207" s="26">
        <v>1616.9758885453366</v>
      </c>
      <c r="D207" s="26">
        <v>91.36</v>
      </c>
      <c r="E207" s="26">
        <v>18.272000000000002</v>
      </c>
      <c r="F207" s="26">
        <v>109.63200000000001</v>
      </c>
      <c r="G207" s="26">
        <v>343.34272867350882</v>
      </c>
      <c r="H207" s="26">
        <v>781.05799751392772</v>
      </c>
      <c r="I207" s="26">
        <v>593.93360581521938</v>
      </c>
      <c r="J207" s="26">
        <v>3.4253010123584628</v>
      </c>
      <c r="K207" s="26">
        <v>15.473063988772797</v>
      </c>
      <c r="L207" s="30">
        <v>2.3148461719436972</v>
      </c>
      <c r="M207" s="26">
        <v>15.36147859462689</v>
      </c>
      <c r="N207" s="32">
        <v>0</v>
      </c>
      <c r="O207" s="32">
        <v>5.6645625198990072E-2</v>
      </c>
      <c r="P207" s="32">
        <v>3.1188597165186946</v>
      </c>
      <c r="Q207" s="32">
        <v>37.568343905757402</v>
      </c>
      <c r="R207" s="32">
        <v>148.80640824351005</v>
      </c>
      <c r="S207" s="32">
        <v>197.21759861612986</v>
      </c>
      <c r="T207" s="32">
        <v>190.93100643728874</v>
      </c>
      <c r="U207" s="32">
        <v>193.66321082564761</v>
      </c>
      <c r="V207" s="32">
        <v>91.04334138007664</v>
      </c>
      <c r="W207" s="32">
        <v>52.352440342479461</v>
      </c>
      <c r="X207" s="32">
        <v>14.796570436243817</v>
      </c>
      <c r="Y207" s="32">
        <v>0.10139254100989385</v>
      </c>
      <c r="Z207" s="32"/>
      <c r="AA207" s="32">
        <v>0</v>
      </c>
      <c r="AB207" s="32">
        <v>3.8738709903071308E-2</v>
      </c>
      <c r="AC207" s="32">
        <v>1.1500147174084767</v>
      </c>
      <c r="AD207" s="32">
        <v>24.759223141257234</v>
      </c>
      <c r="AE207" s="32">
        <v>96.489930273366085</v>
      </c>
      <c r="AF207" s="32">
        <v>144.96978348552378</v>
      </c>
      <c r="AG207" s="32">
        <v>164.43817046358242</v>
      </c>
      <c r="AH207" s="32">
        <v>140.83618543318013</v>
      </c>
      <c r="AI207" s="32">
        <v>72.871273914504329</v>
      </c>
      <c r="AJ207" s="32">
        <v>34.390973656962373</v>
      </c>
      <c r="AK207" s="32">
        <v>7.3008479396205654</v>
      </c>
      <c r="AL207" s="32">
        <v>7.4928740166700217E-2</v>
      </c>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row>
    <row r="208" spans="1:131">
      <c r="A208" s="7"/>
      <c r="B208" s="7" t="s">
        <v>46</v>
      </c>
      <c r="C208" s="26">
        <v>442.94335274811743</v>
      </c>
      <c r="D208" s="26">
        <v>63.825000000000003</v>
      </c>
      <c r="E208" s="26">
        <v>12.765000000000001</v>
      </c>
      <c r="F208" s="26">
        <v>76.59</v>
      </c>
      <c r="G208" s="26">
        <v>156.98528567559194</v>
      </c>
      <c r="H208" s="26">
        <v>213.9577037359453</v>
      </c>
      <c r="I208" s="26">
        <v>1514.704749122915</v>
      </c>
      <c r="J208" s="26">
        <v>8.9696388188717968</v>
      </c>
      <c r="K208" s="26">
        <v>25.927380900024769</v>
      </c>
      <c r="L208" s="30">
        <v>1.3656691450499734</v>
      </c>
      <c r="M208" s="26">
        <v>4.2080187342766928</v>
      </c>
      <c r="N208" s="32">
        <v>0</v>
      </c>
      <c r="O208" s="32">
        <v>1.5517116440571105E-2</v>
      </c>
      <c r="P208" s="32">
        <v>0.85435917095129876</v>
      </c>
      <c r="Q208" s="32">
        <v>10.291216043908204</v>
      </c>
      <c r="R208" s="32">
        <v>40.763013131310139</v>
      </c>
      <c r="S208" s="32">
        <v>54.024444625793656</v>
      </c>
      <c r="T208" s="32">
        <v>52.302338417047991</v>
      </c>
      <c r="U208" s="32">
        <v>53.050779863049719</v>
      </c>
      <c r="V208" s="32">
        <v>24.93979233825284</v>
      </c>
      <c r="W208" s="32">
        <v>14.341070645589584</v>
      </c>
      <c r="X208" s="32">
        <v>4.0532716440810121</v>
      </c>
      <c r="Y208" s="32">
        <v>2.7774781539245046E-2</v>
      </c>
      <c r="Z208" s="32"/>
      <c r="AA208" s="32">
        <v>0</v>
      </c>
      <c r="AB208" s="32">
        <v>1.0611818127380816E-2</v>
      </c>
      <c r="AC208" s="32">
        <v>0.31502719258037176</v>
      </c>
      <c r="AD208" s="32">
        <v>6.7823728154000644</v>
      </c>
      <c r="AE208" s="32">
        <v>26.43179377285967</v>
      </c>
      <c r="AF208" s="32">
        <v>39.712034297564095</v>
      </c>
      <c r="AG208" s="32">
        <v>45.045071519545715</v>
      </c>
      <c r="AH208" s="32">
        <v>38.57970462388829</v>
      </c>
      <c r="AI208" s="32">
        <v>19.961860047124617</v>
      </c>
      <c r="AJ208" s="32">
        <v>9.420828896583755</v>
      </c>
      <c r="AK208" s="32">
        <v>1.9999445181516993</v>
      </c>
      <c r="AL208" s="32">
        <v>2.0525468327476662E-2</v>
      </c>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row>
    <row r="209" spans="1:131">
      <c r="A209" s="7"/>
      <c r="B209" s="7" t="s">
        <v>49</v>
      </c>
      <c r="C209" s="26">
        <v>350.24528342458183</v>
      </c>
      <c r="D209" s="26">
        <v>53.2</v>
      </c>
      <c r="E209" s="26">
        <v>10.64</v>
      </c>
      <c r="F209" s="26">
        <v>63.84</v>
      </c>
      <c r="G209" s="26">
        <v>174.9922990201259</v>
      </c>
      <c r="H209" s="26">
        <v>169.18117434416644</v>
      </c>
      <c r="I209" s="26">
        <v>1596.7050135035454</v>
      </c>
      <c r="J209" s="26">
        <v>9.4633957847085206</v>
      </c>
      <c r="K209" s="26">
        <v>36.612476986476615</v>
      </c>
      <c r="L209" s="742">
        <v>0.97297087438353069</v>
      </c>
      <c r="M209" s="26">
        <v>3.3273751713366337</v>
      </c>
      <c r="N209" s="32">
        <v>0</v>
      </c>
      <c r="O209" s="32">
        <v>1.2269733391282199E-2</v>
      </c>
      <c r="P209" s="32">
        <v>0.67556103533263889</v>
      </c>
      <c r="Q209" s="32">
        <v>8.1374962683590066</v>
      </c>
      <c r="R209" s="32">
        <v>32.232232403619363</v>
      </c>
      <c r="S209" s="32">
        <v>42.718344913456093</v>
      </c>
      <c r="T209" s="32">
        <v>41.356636755003706</v>
      </c>
      <c r="U209" s="32">
        <v>41.948446260113599</v>
      </c>
      <c r="V209" s="32">
        <v>19.720455407824623</v>
      </c>
      <c r="W209" s="32">
        <v>11.339807498438235</v>
      </c>
      <c r="X209" s="32">
        <v>3.2050131624511855</v>
      </c>
      <c r="Y209" s="32">
        <v>2.196214520866872E-2</v>
      </c>
      <c r="Z209" s="32"/>
      <c r="AA209" s="32">
        <v>0</v>
      </c>
      <c r="AB209" s="32">
        <v>8.3910035552292317E-3</v>
      </c>
      <c r="AC209" s="32">
        <v>0.24909909510371714</v>
      </c>
      <c r="AD209" s="32">
        <v>5.3629749137962897</v>
      </c>
      <c r="AE209" s="32">
        <v>20.900214539757936</v>
      </c>
      <c r="AF209" s="32">
        <v>31.401199773340917</v>
      </c>
      <c r="AG209" s="32">
        <v>35.618152396601019</v>
      </c>
      <c r="AH209" s="32">
        <v>30.505841202033558</v>
      </c>
      <c r="AI209" s="32">
        <v>15.784292249810072</v>
      </c>
      <c r="AJ209" s="32">
        <v>7.4492615511826124</v>
      </c>
      <c r="AK209" s="32">
        <v>1.5814011661933847</v>
      </c>
      <c r="AL209" s="32">
        <v>1.6229950008680639E-2</v>
      </c>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row>
    <row r="210" spans="1:131">
      <c r="A210" s="7"/>
      <c r="B210" s="7" t="s">
        <v>52</v>
      </c>
      <c r="C210" s="26">
        <v>350.39228642096907</v>
      </c>
      <c r="D210" s="26">
        <v>65.490333333333325</v>
      </c>
      <c r="E210" s="26">
        <v>13.098066666666666</v>
      </c>
      <c r="F210" s="26">
        <v>78.588399999999993</v>
      </c>
      <c r="G210" s="26">
        <v>230.62676857215908</v>
      </c>
      <c r="H210" s="26">
        <v>169.25218212282292</v>
      </c>
      <c r="I210" s="26">
        <v>1964.7532513683809</v>
      </c>
      <c r="J210" s="26">
        <v>11.679564020046799</v>
      </c>
      <c r="K210" s="26">
        <v>48.280191896895893</v>
      </c>
      <c r="L210" s="742">
        <v>0.73619029214947318</v>
      </c>
      <c r="M210" s="26">
        <v>3.3287717186805614</v>
      </c>
      <c r="N210" s="32">
        <v>0</v>
      </c>
      <c r="O210" s="32">
        <v>1.227488317532998E-2</v>
      </c>
      <c r="P210" s="32">
        <v>0.67584457804152365</v>
      </c>
      <c r="Q210" s="32">
        <v>8.1409116928947558</v>
      </c>
      <c r="R210" s="32">
        <v>32.245760736384483</v>
      </c>
      <c r="S210" s="32">
        <v>42.736274418863225</v>
      </c>
      <c r="T210" s="32">
        <v>41.373994731859362</v>
      </c>
      <c r="U210" s="32">
        <v>41.966052627953111</v>
      </c>
      <c r="V210" s="32">
        <v>19.728732367350602</v>
      </c>
      <c r="W210" s="32">
        <v>11.344566979178206</v>
      </c>
      <c r="X210" s="32">
        <v>3.2063583526953887</v>
      </c>
      <c r="Y210" s="32">
        <v>2.1971363037731818E-2</v>
      </c>
      <c r="Z210" s="32"/>
      <c r="AA210" s="32">
        <v>0</v>
      </c>
      <c r="AB210" s="32">
        <v>8.394525380429143E-3</v>
      </c>
      <c r="AC210" s="32">
        <v>0.24920364558622343</v>
      </c>
      <c r="AD210" s="32">
        <v>5.3652258317077868</v>
      </c>
      <c r="AE210" s="32">
        <v>20.908986661205056</v>
      </c>
      <c r="AF210" s="32">
        <v>31.41437930972668</v>
      </c>
      <c r="AG210" s="32">
        <v>35.633101848815997</v>
      </c>
      <c r="AH210" s="32">
        <v>30.518644943514857</v>
      </c>
      <c r="AI210" s="32">
        <v>15.790917144894701</v>
      </c>
      <c r="AJ210" s="32">
        <v>7.4523881136824368</v>
      </c>
      <c r="AK210" s="32">
        <v>1.5820649030684333</v>
      </c>
      <c r="AL210" s="32">
        <v>1.6236761952753555E-2</v>
      </c>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row>
    <row r="211" spans="1:131">
      <c r="A211" s="7"/>
      <c r="B211" s="7" t="s">
        <v>55</v>
      </c>
      <c r="C211" s="26">
        <v>7.7081209822715397</v>
      </c>
      <c r="D211" s="26">
        <v>3.9583333333333335</v>
      </c>
      <c r="E211" s="26">
        <v>0.79166666666666674</v>
      </c>
      <c r="F211" s="26">
        <v>4.75</v>
      </c>
      <c r="G211" s="26">
        <v>6.0526841362108934</v>
      </c>
      <c r="H211" s="26">
        <v>3.7233019871584156</v>
      </c>
      <c r="I211" s="26">
        <v>5398.2027650709979</v>
      </c>
      <c r="J211" s="26">
        <v>32.353760951536543</v>
      </c>
      <c r="K211" s="26">
        <v>57.627929346261482</v>
      </c>
      <c r="L211" s="742">
        <v>0.61514889978866139</v>
      </c>
      <c r="M211" s="26">
        <v>7.3228139215162302E-2</v>
      </c>
      <c r="N211" s="32">
        <v>0</v>
      </c>
      <c r="O211" s="32">
        <v>2.7002958748075526E-4</v>
      </c>
      <c r="P211" s="32">
        <v>1.4867598330910529E-2</v>
      </c>
      <c r="Q211" s="32">
        <v>0.17908822387554268</v>
      </c>
      <c r="R211" s="32">
        <v>0.70935986479683644</v>
      </c>
      <c r="S211" s="32">
        <v>0.94013591713713096</v>
      </c>
      <c r="T211" s="32">
        <v>0.91016774418910817</v>
      </c>
      <c r="U211" s="32">
        <v>0.92319215730680126</v>
      </c>
      <c r="V211" s="32">
        <v>0.4340034350290829</v>
      </c>
      <c r="W211" s="32">
        <v>0.24956398344320188</v>
      </c>
      <c r="X211" s="32">
        <v>7.0535223099631214E-2</v>
      </c>
      <c r="Y211" s="32">
        <v>4.8333804996145277E-4</v>
      </c>
      <c r="Z211" s="32"/>
      <c r="AA211" s="32">
        <v>0</v>
      </c>
      <c r="AB211" s="32">
        <v>1.8466735635657691E-4</v>
      </c>
      <c r="AC211" s="32">
        <v>5.4821179684701364E-3</v>
      </c>
      <c r="AD211" s="32">
        <v>0.11802716957737555</v>
      </c>
      <c r="AE211" s="32">
        <v>0.45996731391409229</v>
      </c>
      <c r="AF211" s="32">
        <v>0.69107068187974241</v>
      </c>
      <c r="AG211" s="32">
        <v>0.7838764455399273</v>
      </c>
      <c r="AH211" s="32">
        <v>0.67136582783382925</v>
      </c>
      <c r="AI211" s="32">
        <v>0.34737722401696697</v>
      </c>
      <c r="AJ211" s="32">
        <v>0.16394170594866414</v>
      </c>
      <c r="AK211" s="32">
        <v>3.4803128228702324E-2</v>
      </c>
      <c r="AL211" s="32">
        <v>3.5718516172414828E-4</v>
      </c>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c r="CW211" s="26"/>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row>
    <row r="212" spans="1:131">
      <c r="A212" s="7"/>
      <c r="B212" s="7" t="s">
        <v>58</v>
      </c>
      <c r="C212" s="26">
        <v>100.97737308839594</v>
      </c>
      <c r="D212" s="26">
        <v>24.253499999999999</v>
      </c>
      <c r="E212" s="26">
        <v>4.8506999999999998</v>
      </c>
      <c r="F212" s="26">
        <v>29.104199999999999</v>
      </c>
      <c r="G212" s="26">
        <v>88.968882169045301</v>
      </c>
      <c r="H212" s="26">
        <v>48.775733378183837</v>
      </c>
      <c r="I212" s="26">
        <v>2524.8507086514664</v>
      </c>
      <c r="J212" s="26">
        <v>15.052138769284864</v>
      </c>
      <c r="K212" s="26">
        <v>64.680202912984029</v>
      </c>
      <c r="L212" s="742">
        <v>0.54823363168155259</v>
      </c>
      <c r="M212" s="26">
        <v>0.95929801194160247</v>
      </c>
      <c r="N212" s="32">
        <v>0</v>
      </c>
      <c r="O212" s="32">
        <v>3.5374222151757766E-3</v>
      </c>
      <c r="P212" s="32">
        <v>0.19476744423727807</v>
      </c>
      <c r="Q212" s="32">
        <v>2.3460786927983115</v>
      </c>
      <c r="R212" s="32">
        <v>9.2927051724109671</v>
      </c>
      <c r="S212" s="32">
        <v>12.315901044742203</v>
      </c>
      <c r="T212" s="32">
        <v>11.923314137049649</v>
      </c>
      <c r="U212" s="32">
        <v>12.093935618687983</v>
      </c>
      <c r="V212" s="32">
        <v>5.6855006403470156</v>
      </c>
      <c r="W212" s="32">
        <v>3.2693201784884378</v>
      </c>
      <c r="X212" s="32">
        <v>0.92402046558248951</v>
      </c>
      <c r="Y212" s="32">
        <v>6.3317904209116939E-3</v>
      </c>
      <c r="Z212" s="32"/>
      <c r="AA212" s="32">
        <v>0</v>
      </c>
      <c r="AB212" s="32">
        <v>2.4191660435732548E-3</v>
      </c>
      <c r="AC212" s="32">
        <v>7.181644822259578E-2</v>
      </c>
      <c r="AD212" s="32">
        <v>1.5461710531520272</v>
      </c>
      <c r="AE212" s="32">
        <v>6.0256307824430602</v>
      </c>
      <c r="AF212" s="32">
        <v>9.0531145314299959</v>
      </c>
      <c r="AG212" s="32">
        <v>10.268881933553246</v>
      </c>
      <c r="AH212" s="32">
        <v>8.7949784171651935</v>
      </c>
      <c r="AI212" s="32">
        <v>4.5506861701638082</v>
      </c>
      <c r="AJ212" s="32">
        <v>2.1476573660949296</v>
      </c>
      <c r="AK212" s="32">
        <v>0.45592544173551697</v>
      </c>
      <c r="AL212" s="32">
        <v>4.679171411555794E-3</v>
      </c>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row>
    <row r="213" spans="1:131">
      <c r="A213" s="7"/>
      <c r="B213" s="7" t="s">
        <v>61</v>
      </c>
      <c r="C213" s="26">
        <v>820.07212434018106</v>
      </c>
      <c r="D213" s="26">
        <v>359.4666666666667</v>
      </c>
      <c r="E213" s="26">
        <v>71.893333333333331</v>
      </c>
      <c r="F213" s="26">
        <v>431.36</v>
      </c>
      <c r="G213" s="26">
        <v>803.5873947659677</v>
      </c>
      <c r="H213" s="26">
        <v>396.12457785648394</v>
      </c>
      <c r="I213" s="26">
        <v>4607.7820326356077</v>
      </c>
      <c r="J213" s="26">
        <v>27.594316021333029</v>
      </c>
      <c r="K213" s="26">
        <v>71.951627350565445</v>
      </c>
      <c r="L213" s="742">
        <v>0.49398304711302454</v>
      </c>
      <c r="M213" s="26">
        <v>7.7907904956052798</v>
      </c>
      <c r="N213" s="32">
        <v>0</v>
      </c>
      <c r="O213" s="32">
        <v>2.8728627631735421E-2</v>
      </c>
      <c r="P213" s="32">
        <v>1.581773687142267</v>
      </c>
      <c r="Q213" s="32">
        <v>19.05331539758031</v>
      </c>
      <c r="R213" s="32">
        <v>75.469268396741455</v>
      </c>
      <c r="S213" s="32">
        <v>100.02168628494309</v>
      </c>
      <c r="T213" s="32">
        <v>96.833352408424645</v>
      </c>
      <c r="U213" s="32">
        <v>98.219028393308207</v>
      </c>
      <c r="V213" s="32">
        <v>46.1739144668108</v>
      </c>
      <c r="W213" s="32">
        <v>26.551278389607223</v>
      </c>
      <c r="X213" s="32">
        <v>7.5042893567917091</v>
      </c>
      <c r="Y213" s="32">
        <v>5.1422657002656497E-2</v>
      </c>
      <c r="Z213" s="32"/>
      <c r="AA213" s="32">
        <v>0</v>
      </c>
      <c r="AB213" s="32">
        <v>1.9646883017525572E-2</v>
      </c>
      <c r="AC213" s="32">
        <v>0.58324618134910422</v>
      </c>
      <c r="AD213" s="32">
        <v>12.556989168669411</v>
      </c>
      <c r="AE213" s="32">
        <v>48.936228831402687</v>
      </c>
      <c r="AF213" s="32">
        <v>73.523470046953818</v>
      </c>
      <c r="AG213" s="32">
        <v>83.397137044509435</v>
      </c>
      <c r="AH213" s="32">
        <v>71.427057503039237</v>
      </c>
      <c r="AI213" s="32">
        <v>36.95769419060651</v>
      </c>
      <c r="AJ213" s="32">
        <v>17.441867268883264</v>
      </c>
      <c r="AK213" s="32">
        <v>3.7027279885512048</v>
      </c>
      <c r="AL213" s="32">
        <v>3.8001167214631884E-2</v>
      </c>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c r="CH213" s="26"/>
      <c r="CI213" s="26"/>
      <c r="CJ213" s="26"/>
      <c r="CK213" s="26"/>
      <c r="CL213" s="26"/>
      <c r="CM213" s="26"/>
      <c r="CN213" s="26"/>
      <c r="CO213" s="26"/>
      <c r="CP213" s="26"/>
      <c r="CQ213" s="26"/>
      <c r="CR213" s="26"/>
      <c r="CS213" s="26"/>
      <c r="CT213" s="26"/>
      <c r="CU213" s="26"/>
      <c r="CV213" s="26"/>
      <c r="CW213" s="26"/>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row>
    <row r="214" spans="1:131">
      <c r="A214" s="7"/>
      <c r="B214" s="7" t="s">
        <v>64</v>
      </c>
      <c r="C214" s="750">
        <v>0</v>
      </c>
      <c r="D214" s="750">
        <v>0</v>
      </c>
      <c r="E214" s="750">
        <v>0</v>
      </c>
      <c r="F214" s="750">
        <v>0</v>
      </c>
      <c r="G214" s="750">
        <v>0</v>
      </c>
      <c r="H214" s="750">
        <v>0</v>
      </c>
      <c r="I214" s="750">
        <v>0</v>
      </c>
      <c r="J214" s="750">
        <v>0</v>
      </c>
      <c r="K214" s="750">
        <v>0</v>
      </c>
      <c r="L214" s="751">
        <v>0</v>
      </c>
      <c r="M214" s="750">
        <v>0</v>
      </c>
      <c r="N214" s="750">
        <v>0</v>
      </c>
      <c r="O214" s="750">
        <v>0</v>
      </c>
      <c r="P214" s="750">
        <v>0</v>
      </c>
      <c r="Q214" s="750">
        <v>0</v>
      </c>
      <c r="R214" s="750">
        <v>0</v>
      </c>
      <c r="S214" s="750">
        <v>0</v>
      </c>
      <c r="T214" s="750">
        <v>0</v>
      </c>
      <c r="U214" s="750">
        <v>0</v>
      </c>
      <c r="V214" s="750">
        <v>0</v>
      </c>
      <c r="W214" s="750">
        <v>0</v>
      </c>
      <c r="X214" s="750">
        <v>0</v>
      </c>
      <c r="Y214" s="750">
        <v>0</v>
      </c>
      <c r="Z214" s="750"/>
      <c r="AA214" s="750">
        <v>0</v>
      </c>
      <c r="AB214" s="750">
        <v>0</v>
      </c>
      <c r="AC214" s="750">
        <v>0</v>
      </c>
      <c r="AD214" s="750">
        <v>0</v>
      </c>
      <c r="AE214" s="750">
        <v>0</v>
      </c>
      <c r="AF214" s="750">
        <v>0</v>
      </c>
      <c r="AG214" s="750">
        <v>0</v>
      </c>
      <c r="AH214" s="750">
        <v>0</v>
      </c>
      <c r="AI214" s="750">
        <v>0</v>
      </c>
      <c r="AJ214" s="750">
        <v>0</v>
      </c>
      <c r="AK214" s="750">
        <v>0</v>
      </c>
      <c r="AL214" s="750">
        <v>0</v>
      </c>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c r="CH214" s="26"/>
      <c r="CI214" s="26"/>
      <c r="CJ214" s="26"/>
      <c r="CK214" s="26"/>
      <c r="CL214" s="26"/>
      <c r="CM214" s="26"/>
      <c r="CN214" s="26"/>
      <c r="CO214" s="26"/>
      <c r="CP214" s="26"/>
      <c r="CQ214" s="26"/>
      <c r="CR214" s="26"/>
      <c r="CS214" s="26"/>
      <c r="CT214" s="26"/>
      <c r="CU214" s="26"/>
      <c r="CV214" s="26"/>
      <c r="CW214" s="26"/>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row>
    <row r="215" spans="1:131">
      <c r="A215" s="7"/>
      <c r="B215" s="7" t="s">
        <v>67</v>
      </c>
      <c r="C215" s="26">
        <v>269.93581257817635</v>
      </c>
      <c r="D215" s="26">
        <v>172.35000000000002</v>
      </c>
      <c r="E215" s="26">
        <v>34.47</v>
      </c>
      <c r="F215" s="26">
        <v>206.82000000000002</v>
      </c>
      <c r="G215" s="26">
        <v>354.83213267720578</v>
      </c>
      <c r="H215" s="26">
        <v>130.38878731783512</v>
      </c>
      <c r="I215" s="26">
        <v>6711.7555936572871</v>
      </c>
      <c r="J215" s="26">
        <v>40.263197146747316</v>
      </c>
      <c r="K215" s="26">
        <v>96.572606653131672</v>
      </c>
      <c r="L215" s="742">
        <v>0.36749967301475039</v>
      </c>
      <c r="M215" s="26">
        <v>2.5644248848838722</v>
      </c>
      <c r="N215" s="32">
        <v>0</v>
      </c>
      <c r="O215" s="32">
        <v>9.4563456235850305E-3</v>
      </c>
      <c r="P215" s="32">
        <v>0.52065830904454424</v>
      </c>
      <c r="Q215" s="32">
        <v>6.2716095590887786</v>
      </c>
      <c r="R215" s="32">
        <v>24.841544645534452</v>
      </c>
      <c r="S215" s="32">
        <v>32.923244628622058</v>
      </c>
      <c r="T215" s="32">
        <v>31.873769259097706</v>
      </c>
      <c r="U215" s="32">
        <v>32.329879839920778</v>
      </c>
      <c r="V215" s="32">
        <v>15.198654790933352</v>
      </c>
      <c r="W215" s="32">
        <v>8.739647031478583</v>
      </c>
      <c r="X215" s="32">
        <v>2.4701198653437491</v>
      </c>
      <c r="Y215" s="32">
        <v>1.6926336465965416E-2</v>
      </c>
      <c r="Z215" s="32"/>
      <c r="AA215" s="32">
        <v>0</v>
      </c>
      <c r="AB215" s="32">
        <v>6.4669889081172965E-3</v>
      </c>
      <c r="AC215" s="32">
        <v>0.19198193332356245</v>
      </c>
      <c r="AD215" s="32">
        <v>4.133271908866976</v>
      </c>
      <c r="AE215" s="32">
        <v>16.107901124848699</v>
      </c>
      <c r="AF215" s="32">
        <v>24.201063591400583</v>
      </c>
      <c r="AG215" s="32">
        <v>27.451090320764092</v>
      </c>
      <c r="AH215" s="32">
        <v>23.511006208952693</v>
      </c>
      <c r="AI215" s="32">
        <v>12.165033923551341</v>
      </c>
      <c r="AJ215" s="32">
        <v>5.7411835793038843</v>
      </c>
      <c r="AK215" s="32">
        <v>1.2187938824889448</v>
      </c>
      <c r="AL215" s="32">
        <v>1.2508504613852301E-2</v>
      </c>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26"/>
      <c r="CT215" s="26"/>
      <c r="CU215" s="26"/>
      <c r="CV215" s="26"/>
      <c r="CW215" s="26"/>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row>
    <row r="216" spans="1:131">
      <c r="A216" s="7"/>
      <c r="B216" s="7" t="s">
        <v>70</v>
      </c>
      <c r="C216" s="26">
        <v>128.45746134037779</v>
      </c>
      <c r="D216" s="26">
        <v>50.186666666666667</v>
      </c>
      <c r="E216" s="26">
        <v>10.037333333333333</v>
      </c>
      <c r="F216" s="26">
        <v>60.224000000000004</v>
      </c>
      <c r="G216" s="26">
        <v>186.83517422626875</v>
      </c>
      <c r="H216" s="26">
        <v>62.049612632442894</v>
      </c>
      <c r="I216" s="26">
        <v>4106.9022732910917</v>
      </c>
      <c r="J216" s="26">
        <v>24.578315132909125</v>
      </c>
      <c r="K216" s="26">
        <v>106.87008758454893</v>
      </c>
      <c r="L216" s="742">
        <v>0.33226864703643805</v>
      </c>
      <c r="M216" s="26">
        <v>1.2203623793521992</v>
      </c>
      <c r="N216" s="32">
        <v>0</v>
      </c>
      <c r="O216" s="32">
        <v>4.5001000080755246E-3</v>
      </c>
      <c r="P216" s="32">
        <v>0.24777166085091484</v>
      </c>
      <c r="Q216" s="32">
        <v>2.9845430096285206</v>
      </c>
      <c r="R216" s="32">
        <v>11.821631707407624</v>
      </c>
      <c r="S216" s="32">
        <v>15.667563276199916</v>
      </c>
      <c r="T216" s="32">
        <v>15.168137355568101</v>
      </c>
      <c r="U216" s="32">
        <v>15.385191946225826</v>
      </c>
      <c r="V216" s="32">
        <v>7.2327587495143435</v>
      </c>
      <c r="W216" s="32">
        <v>4.1590364018467145</v>
      </c>
      <c r="X216" s="32">
        <v>1.1754843645157267</v>
      </c>
      <c r="Y216" s="32">
        <v>8.0549305090123029E-3</v>
      </c>
      <c r="Z216" s="32"/>
      <c r="AA216" s="32">
        <v>0</v>
      </c>
      <c r="AB216" s="32">
        <v>3.0775204287224402E-3</v>
      </c>
      <c r="AC216" s="32">
        <v>9.1360651787618111E-2</v>
      </c>
      <c r="AD216" s="32">
        <v>1.9669476657113825</v>
      </c>
      <c r="AE216" s="32">
        <v>7.6654522653255688</v>
      </c>
      <c r="AF216" s="32">
        <v>11.516838618025242</v>
      </c>
      <c r="AG216" s="32">
        <v>13.063466236476193</v>
      </c>
      <c r="AH216" s="32">
        <v>11.188453070802716</v>
      </c>
      <c r="AI216" s="32">
        <v>5.7891146788328021</v>
      </c>
      <c r="AJ216" s="32">
        <v>2.7321230949037312</v>
      </c>
      <c r="AK216" s="32">
        <v>0.58000146978041367</v>
      </c>
      <c r="AL216" s="32">
        <v>5.9525660286165964E-3</v>
      </c>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c r="CH216" s="26"/>
      <c r="CI216" s="26"/>
      <c r="CJ216" s="26"/>
      <c r="CK216" s="26"/>
      <c r="CL216" s="26"/>
      <c r="CM216" s="26"/>
      <c r="CN216" s="26"/>
      <c r="CO216" s="26"/>
      <c r="CP216" s="26"/>
      <c r="CQ216" s="26"/>
      <c r="CR216" s="26"/>
      <c r="CS216" s="26"/>
      <c r="CT216" s="26"/>
      <c r="CU216" s="26"/>
      <c r="CV216" s="26"/>
      <c r="CW216" s="26"/>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row>
    <row r="217" spans="1:131">
      <c r="A217" s="7"/>
      <c r="B217" s="7" t="s">
        <v>73</v>
      </c>
      <c r="C217" s="750">
        <v>0</v>
      </c>
      <c r="D217" s="750">
        <v>0</v>
      </c>
      <c r="E217" s="750">
        <v>0</v>
      </c>
      <c r="F217" s="750">
        <v>0</v>
      </c>
      <c r="G217" s="750">
        <v>0</v>
      </c>
      <c r="H217" s="750">
        <v>0</v>
      </c>
      <c r="I217" s="750">
        <v>0</v>
      </c>
      <c r="J217" s="750">
        <v>0</v>
      </c>
      <c r="K217" s="750">
        <v>0</v>
      </c>
      <c r="L217" s="751">
        <v>0</v>
      </c>
      <c r="M217" s="750">
        <v>0</v>
      </c>
      <c r="N217" s="750">
        <v>0</v>
      </c>
      <c r="O217" s="750">
        <v>0</v>
      </c>
      <c r="P217" s="750">
        <v>0</v>
      </c>
      <c r="Q217" s="750">
        <v>0</v>
      </c>
      <c r="R217" s="750">
        <v>0</v>
      </c>
      <c r="S217" s="750">
        <v>0</v>
      </c>
      <c r="T217" s="750">
        <v>0</v>
      </c>
      <c r="U217" s="750">
        <v>0</v>
      </c>
      <c r="V217" s="750">
        <v>0</v>
      </c>
      <c r="W217" s="750">
        <v>0</v>
      </c>
      <c r="X217" s="750">
        <v>0</v>
      </c>
      <c r="Y217" s="750">
        <v>0</v>
      </c>
      <c r="Z217" s="750"/>
      <c r="AA217" s="750">
        <v>0</v>
      </c>
      <c r="AB217" s="750">
        <v>0</v>
      </c>
      <c r="AC217" s="750">
        <v>0</v>
      </c>
      <c r="AD217" s="750">
        <v>0</v>
      </c>
      <c r="AE217" s="750">
        <v>0</v>
      </c>
      <c r="AF217" s="750">
        <v>0</v>
      </c>
      <c r="AG217" s="750">
        <v>0</v>
      </c>
      <c r="AH217" s="750">
        <v>0</v>
      </c>
      <c r="AI217" s="750">
        <v>0</v>
      </c>
      <c r="AJ217" s="750">
        <v>0</v>
      </c>
      <c r="AK217" s="750">
        <v>0</v>
      </c>
      <c r="AL217" s="750">
        <v>0</v>
      </c>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c r="CW217" s="26"/>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row>
    <row r="218" spans="1:131">
      <c r="A218" s="7"/>
      <c r="B218" s="7" t="s">
        <v>76</v>
      </c>
      <c r="C218" s="26">
        <v>7.7081209822715397</v>
      </c>
      <c r="D218" s="26">
        <v>6.1749999999999998</v>
      </c>
      <c r="E218" s="26">
        <v>1.2350000000000001</v>
      </c>
      <c r="F218" s="26">
        <v>7.41</v>
      </c>
      <c r="G218" s="26">
        <v>12.713016647993882</v>
      </c>
      <c r="H218" s="26">
        <v>3.7233019871584156</v>
      </c>
      <c r="I218" s="26">
        <v>8421.1963135107562</v>
      </c>
      <c r="J218" s="26">
        <v>50.556435461134605</v>
      </c>
      <c r="K218" s="26">
        <v>121.2074872067093</v>
      </c>
      <c r="L218" s="742">
        <v>0.29287320942397677</v>
      </c>
      <c r="M218" s="26">
        <v>7.3228139215162302E-2</v>
      </c>
      <c r="N218" s="32">
        <v>0</v>
      </c>
      <c r="O218" s="32">
        <v>2.7002958748075526E-4</v>
      </c>
      <c r="P218" s="32">
        <v>1.4867598330910529E-2</v>
      </c>
      <c r="Q218" s="32">
        <v>0.17908822387554268</v>
      </c>
      <c r="R218" s="32">
        <v>0.70935986479683644</v>
      </c>
      <c r="S218" s="32">
        <v>0.94013591713713096</v>
      </c>
      <c r="T218" s="32">
        <v>0.91016774418910817</v>
      </c>
      <c r="U218" s="32">
        <v>0.92319215730680126</v>
      </c>
      <c r="V218" s="32">
        <v>0.4340034350290829</v>
      </c>
      <c r="W218" s="32">
        <v>0.24956398344320188</v>
      </c>
      <c r="X218" s="32">
        <v>7.0535223099631214E-2</v>
      </c>
      <c r="Y218" s="32">
        <v>4.8333804996145277E-4</v>
      </c>
      <c r="Z218" s="32"/>
      <c r="AA218" s="32">
        <v>0</v>
      </c>
      <c r="AB218" s="32">
        <v>1.8466735635657691E-4</v>
      </c>
      <c r="AC218" s="32">
        <v>5.4821179684701364E-3</v>
      </c>
      <c r="AD218" s="32">
        <v>0.11802716957737555</v>
      </c>
      <c r="AE218" s="32">
        <v>0.45996731391409229</v>
      </c>
      <c r="AF218" s="32">
        <v>0.69107068187974241</v>
      </c>
      <c r="AG218" s="32">
        <v>0.7838764455399273</v>
      </c>
      <c r="AH218" s="32">
        <v>0.67136582783382925</v>
      </c>
      <c r="AI218" s="32">
        <v>0.34737722401696697</v>
      </c>
      <c r="AJ218" s="32">
        <v>0.16394170594866414</v>
      </c>
      <c r="AK218" s="32">
        <v>3.4803128228702324E-2</v>
      </c>
      <c r="AL218" s="32">
        <v>3.5718516172414828E-4</v>
      </c>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c r="CH218" s="26"/>
      <c r="CI218" s="26"/>
      <c r="CJ218" s="26"/>
      <c r="CK218" s="26"/>
      <c r="CL218" s="26"/>
      <c r="CM218" s="26"/>
      <c r="CN218" s="26"/>
      <c r="CO218" s="26"/>
      <c r="CP218" s="26"/>
      <c r="CQ218" s="26"/>
      <c r="CR218" s="26"/>
      <c r="CS218" s="26"/>
      <c r="CT218" s="26"/>
      <c r="CU218" s="26"/>
      <c r="CV218" s="26"/>
      <c r="CW218" s="26"/>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row>
    <row r="219" spans="1:131">
      <c r="A219" s="7"/>
      <c r="B219" s="7" t="s">
        <v>79</v>
      </c>
      <c r="C219" s="26">
        <v>2.8320162362181653</v>
      </c>
      <c r="D219" s="26">
        <v>2.0750000000000002</v>
      </c>
      <c r="E219" s="26">
        <v>0.41500000000000004</v>
      </c>
      <c r="F219" s="26">
        <v>2.4900000000000002</v>
      </c>
      <c r="G219" s="26">
        <v>5.1037127736287227</v>
      </c>
      <c r="H219" s="26">
        <v>1.3679665516703678</v>
      </c>
      <c r="I219" s="26">
        <v>7702.0744870897961</v>
      </c>
      <c r="J219" s="26">
        <v>46.226310262605999</v>
      </c>
      <c r="K219" s="26">
        <v>132.45419904259862</v>
      </c>
      <c r="L219" s="742">
        <v>0.26803360854058178</v>
      </c>
      <c r="M219" s="26">
        <v>2.6904517934054156E-2</v>
      </c>
      <c r="N219" s="32">
        <v>0</v>
      </c>
      <c r="O219" s="32">
        <v>9.9210712670914938E-5</v>
      </c>
      <c r="P219" s="32">
        <v>5.4624570584127655E-3</v>
      </c>
      <c r="Q219" s="32">
        <v>6.5798235250524986E-2</v>
      </c>
      <c r="R219" s="32">
        <v>0.26062365381220914</v>
      </c>
      <c r="S219" s="32">
        <v>0.34541234987201674</v>
      </c>
      <c r="T219" s="32">
        <v>0.3344018386782</v>
      </c>
      <c r="U219" s="32">
        <v>0.33918709691446214</v>
      </c>
      <c r="V219" s="32">
        <v>0.15945582294358437</v>
      </c>
      <c r="W219" s="32">
        <v>9.1691510124449066E-2</v>
      </c>
      <c r="X219" s="32">
        <v>2.5915122181250319E-2</v>
      </c>
      <c r="Y219" s="32">
        <v>1.7758169704667467E-4</v>
      </c>
      <c r="Z219" s="32"/>
      <c r="AA219" s="32">
        <v>0</v>
      </c>
      <c r="AB219" s="32">
        <v>6.7848046586730152E-5</v>
      </c>
      <c r="AC219" s="32">
        <v>2.0141675424242638E-3</v>
      </c>
      <c r="AD219" s="32">
        <v>4.3363987322822123E-2</v>
      </c>
      <c r="AE219" s="32">
        <v>0.16899512918004148</v>
      </c>
      <c r="AF219" s="32">
        <v>0.25390408323365937</v>
      </c>
      <c r="AG219" s="32">
        <v>0.28800155395379529</v>
      </c>
      <c r="AH219" s="32">
        <v>0.24666438542420827</v>
      </c>
      <c r="AI219" s="32">
        <v>0.12762876202528564</v>
      </c>
      <c r="AJ219" s="32">
        <v>6.0233301229672541E-2</v>
      </c>
      <c r="AK219" s="32">
        <v>1.2786906749590451E-2</v>
      </c>
      <c r="AL219" s="32">
        <v>1.3123226525187462E-4</v>
      </c>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c r="CH219" s="26"/>
      <c r="CI219" s="26"/>
      <c r="CJ219" s="26"/>
      <c r="CK219" s="26"/>
      <c r="CL219" s="26"/>
      <c r="CM219" s="26"/>
      <c r="CN219" s="26"/>
      <c r="CO219" s="26"/>
      <c r="CP219" s="26"/>
      <c r="CQ219" s="26"/>
      <c r="CR219" s="26"/>
      <c r="CS219" s="26"/>
      <c r="CT219" s="26"/>
      <c r="CU219" s="26"/>
      <c r="CV219" s="26"/>
      <c r="CW219" s="26"/>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row>
    <row r="220" spans="1:131">
      <c r="A220" s="7"/>
      <c r="B220" s="7" t="s">
        <v>82</v>
      </c>
      <c r="C220" s="750">
        <v>0</v>
      </c>
      <c r="D220" s="750">
        <v>0</v>
      </c>
      <c r="E220" s="750">
        <v>0</v>
      </c>
      <c r="F220" s="750">
        <v>0</v>
      </c>
      <c r="G220" s="750">
        <v>0</v>
      </c>
      <c r="H220" s="750">
        <v>0</v>
      </c>
      <c r="I220" s="750">
        <v>0</v>
      </c>
      <c r="J220" s="750">
        <v>0</v>
      </c>
      <c r="K220" s="750">
        <v>0</v>
      </c>
      <c r="L220" s="751">
        <v>0</v>
      </c>
      <c r="M220" s="750">
        <v>0</v>
      </c>
      <c r="N220" s="750">
        <v>0</v>
      </c>
      <c r="O220" s="750">
        <v>0</v>
      </c>
      <c r="P220" s="750">
        <v>0</v>
      </c>
      <c r="Q220" s="750">
        <v>0</v>
      </c>
      <c r="R220" s="750">
        <v>0</v>
      </c>
      <c r="S220" s="750">
        <v>0</v>
      </c>
      <c r="T220" s="750">
        <v>0</v>
      </c>
      <c r="U220" s="750">
        <v>0</v>
      </c>
      <c r="V220" s="750">
        <v>0</v>
      </c>
      <c r="W220" s="750">
        <v>0</v>
      </c>
      <c r="X220" s="750">
        <v>0</v>
      </c>
      <c r="Y220" s="750">
        <v>0</v>
      </c>
      <c r="Z220" s="750"/>
      <c r="AA220" s="750">
        <v>0</v>
      </c>
      <c r="AB220" s="750">
        <v>0</v>
      </c>
      <c r="AC220" s="750">
        <v>0</v>
      </c>
      <c r="AD220" s="750">
        <v>0</v>
      </c>
      <c r="AE220" s="750">
        <v>0</v>
      </c>
      <c r="AF220" s="750">
        <v>0</v>
      </c>
      <c r="AG220" s="750">
        <v>0</v>
      </c>
      <c r="AH220" s="750">
        <v>0</v>
      </c>
      <c r="AI220" s="750">
        <v>0</v>
      </c>
      <c r="AJ220" s="750">
        <v>0</v>
      </c>
      <c r="AK220" s="750">
        <v>0</v>
      </c>
      <c r="AL220" s="750">
        <v>0</v>
      </c>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c r="CH220" s="26"/>
      <c r="CI220" s="26"/>
      <c r="CJ220" s="26"/>
      <c r="CK220" s="26"/>
      <c r="CL220" s="26"/>
      <c r="CM220" s="26"/>
      <c r="CN220" s="26"/>
      <c r="CO220" s="26"/>
      <c r="CP220" s="26"/>
      <c r="CQ220" s="26"/>
      <c r="CR220" s="26"/>
      <c r="CS220" s="26"/>
      <c r="CT220" s="26"/>
      <c r="CU220" s="26"/>
      <c r="CV220" s="26"/>
      <c r="CW220" s="26"/>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row>
    <row r="221" spans="1:131">
      <c r="A221" s="7"/>
      <c r="B221" s="7" t="s">
        <v>85</v>
      </c>
      <c r="C221" s="750">
        <v>0</v>
      </c>
      <c r="D221" s="750">
        <v>0</v>
      </c>
      <c r="E221" s="750">
        <v>0</v>
      </c>
      <c r="F221" s="750">
        <v>0</v>
      </c>
      <c r="G221" s="750">
        <v>0</v>
      </c>
      <c r="H221" s="750">
        <v>0</v>
      </c>
      <c r="I221" s="750">
        <v>0</v>
      </c>
      <c r="J221" s="750">
        <v>0</v>
      </c>
      <c r="K221" s="750">
        <v>0</v>
      </c>
      <c r="L221" s="751">
        <v>0</v>
      </c>
      <c r="M221" s="750">
        <v>0</v>
      </c>
      <c r="N221" s="750">
        <v>0</v>
      </c>
      <c r="O221" s="750">
        <v>0</v>
      </c>
      <c r="P221" s="750">
        <v>0</v>
      </c>
      <c r="Q221" s="750">
        <v>0</v>
      </c>
      <c r="R221" s="750">
        <v>0</v>
      </c>
      <c r="S221" s="750">
        <v>0</v>
      </c>
      <c r="T221" s="750">
        <v>0</v>
      </c>
      <c r="U221" s="750">
        <v>0</v>
      </c>
      <c r="V221" s="750">
        <v>0</v>
      </c>
      <c r="W221" s="750">
        <v>0</v>
      </c>
      <c r="X221" s="750">
        <v>0</v>
      </c>
      <c r="Y221" s="750">
        <v>0</v>
      </c>
      <c r="Z221" s="750"/>
      <c r="AA221" s="750">
        <v>0</v>
      </c>
      <c r="AB221" s="750">
        <v>0</v>
      </c>
      <c r="AC221" s="750">
        <v>0</v>
      </c>
      <c r="AD221" s="750">
        <v>0</v>
      </c>
      <c r="AE221" s="750">
        <v>0</v>
      </c>
      <c r="AF221" s="750">
        <v>0</v>
      </c>
      <c r="AG221" s="750">
        <v>0</v>
      </c>
      <c r="AH221" s="750">
        <v>0</v>
      </c>
      <c r="AI221" s="750">
        <v>0</v>
      </c>
      <c r="AJ221" s="750">
        <v>0</v>
      </c>
      <c r="AK221" s="750">
        <v>0</v>
      </c>
      <c r="AL221" s="750">
        <v>0</v>
      </c>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c r="CH221" s="26"/>
      <c r="CI221" s="26"/>
      <c r="CJ221" s="26"/>
      <c r="CK221" s="26"/>
      <c r="CL221" s="26"/>
      <c r="CM221" s="26"/>
      <c r="CN221" s="26"/>
      <c r="CO221" s="26"/>
      <c r="CP221" s="26"/>
      <c r="CQ221" s="26"/>
      <c r="CR221" s="26"/>
      <c r="CS221" s="26"/>
      <c r="CT221" s="26"/>
      <c r="CU221" s="26"/>
      <c r="CV221" s="26"/>
      <c r="CW221" s="26"/>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row>
    <row r="222" spans="1:131">
      <c r="A222" s="7"/>
      <c r="B222" s="7" t="s">
        <v>88</v>
      </c>
      <c r="C222" s="750">
        <v>0</v>
      </c>
      <c r="D222" s="750">
        <v>0</v>
      </c>
      <c r="E222" s="750">
        <v>0</v>
      </c>
      <c r="F222" s="750">
        <v>0</v>
      </c>
      <c r="G222" s="750">
        <v>0</v>
      </c>
      <c r="H222" s="750">
        <v>0</v>
      </c>
      <c r="I222" s="750">
        <v>0</v>
      </c>
      <c r="J222" s="750">
        <v>0</v>
      </c>
      <c r="K222" s="750">
        <v>0</v>
      </c>
      <c r="L222" s="751">
        <v>0</v>
      </c>
      <c r="M222" s="750">
        <v>0</v>
      </c>
      <c r="N222" s="750">
        <v>0</v>
      </c>
      <c r="O222" s="750">
        <v>0</v>
      </c>
      <c r="P222" s="750">
        <v>0</v>
      </c>
      <c r="Q222" s="750">
        <v>0</v>
      </c>
      <c r="R222" s="750">
        <v>0</v>
      </c>
      <c r="S222" s="750">
        <v>0</v>
      </c>
      <c r="T222" s="750">
        <v>0</v>
      </c>
      <c r="U222" s="750">
        <v>0</v>
      </c>
      <c r="V222" s="750">
        <v>0</v>
      </c>
      <c r="W222" s="750">
        <v>0</v>
      </c>
      <c r="X222" s="750">
        <v>0</v>
      </c>
      <c r="Y222" s="750">
        <v>0</v>
      </c>
      <c r="Z222" s="750"/>
      <c r="AA222" s="750">
        <v>0</v>
      </c>
      <c r="AB222" s="750">
        <v>0</v>
      </c>
      <c r="AC222" s="750">
        <v>0</v>
      </c>
      <c r="AD222" s="750">
        <v>0</v>
      </c>
      <c r="AE222" s="750">
        <v>0</v>
      </c>
      <c r="AF222" s="750">
        <v>0</v>
      </c>
      <c r="AG222" s="750">
        <v>0</v>
      </c>
      <c r="AH222" s="750">
        <v>0</v>
      </c>
      <c r="AI222" s="750">
        <v>0</v>
      </c>
      <c r="AJ222" s="750">
        <v>0</v>
      </c>
      <c r="AK222" s="750">
        <v>0</v>
      </c>
      <c r="AL222" s="750">
        <v>0</v>
      </c>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c r="CH222" s="26"/>
      <c r="CI222" s="26"/>
      <c r="CJ222" s="26"/>
      <c r="CK222" s="26"/>
      <c r="CL222" s="26"/>
      <c r="CM222" s="26"/>
      <c r="CN222" s="26"/>
      <c r="CO222" s="26"/>
      <c r="CP222" s="26"/>
      <c r="CQ222" s="26"/>
      <c r="CR222" s="26"/>
      <c r="CS222" s="26"/>
      <c r="CT222" s="26"/>
      <c r="CU222" s="26"/>
      <c r="CV222" s="26"/>
      <c r="CW222" s="26"/>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row>
    <row r="223" spans="1:131">
      <c r="A223" s="7"/>
      <c r="B223" s="7" t="s">
        <v>91</v>
      </c>
      <c r="C223" s="750">
        <v>0</v>
      </c>
      <c r="D223" s="750">
        <v>0</v>
      </c>
      <c r="E223" s="750">
        <v>0</v>
      </c>
      <c r="F223" s="750">
        <v>0</v>
      </c>
      <c r="G223" s="750">
        <v>0</v>
      </c>
      <c r="H223" s="750">
        <v>0</v>
      </c>
      <c r="I223" s="750">
        <v>0</v>
      </c>
      <c r="J223" s="750">
        <v>0</v>
      </c>
      <c r="K223" s="750">
        <v>0</v>
      </c>
      <c r="L223" s="751">
        <v>0</v>
      </c>
      <c r="M223" s="750">
        <v>0</v>
      </c>
      <c r="N223" s="750">
        <v>0</v>
      </c>
      <c r="O223" s="750">
        <v>0</v>
      </c>
      <c r="P223" s="750">
        <v>0</v>
      </c>
      <c r="Q223" s="750">
        <v>0</v>
      </c>
      <c r="R223" s="750">
        <v>0</v>
      </c>
      <c r="S223" s="750">
        <v>0</v>
      </c>
      <c r="T223" s="750">
        <v>0</v>
      </c>
      <c r="U223" s="750">
        <v>0</v>
      </c>
      <c r="V223" s="750">
        <v>0</v>
      </c>
      <c r="W223" s="750">
        <v>0</v>
      </c>
      <c r="X223" s="750">
        <v>0</v>
      </c>
      <c r="Y223" s="750">
        <v>0</v>
      </c>
      <c r="Z223" s="750"/>
      <c r="AA223" s="750">
        <v>0</v>
      </c>
      <c r="AB223" s="750">
        <v>0</v>
      </c>
      <c r="AC223" s="750">
        <v>0</v>
      </c>
      <c r="AD223" s="750">
        <v>0</v>
      </c>
      <c r="AE223" s="750">
        <v>0</v>
      </c>
      <c r="AF223" s="750">
        <v>0</v>
      </c>
      <c r="AG223" s="750">
        <v>0</v>
      </c>
      <c r="AH223" s="750">
        <v>0</v>
      </c>
      <c r="AI223" s="750">
        <v>0</v>
      </c>
      <c r="AJ223" s="750">
        <v>0</v>
      </c>
      <c r="AK223" s="750">
        <v>0</v>
      </c>
      <c r="AL223" s="750">
        <v>0</v>
      </c>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c r="CH223" s="26"/>
      <c r="CI223" s="26"/>
      <c r="CJ223" s="26"/>
      <c r="CK223" s="26"/>
      <c r="CL223" s="26"/>
      <c r="CM223" s="26"/>
      <c r="CN223" s="26"/>
      <c r="CO223" s="26"/>
      <c r="CP223" s="26"/>
      <c r="CQ223" s="26"/>
      <c r="CR223" s="26"/>
      <c r="CS223" s="26"/>
      <c r="CT223" s="26"/>
      <c r="CU223" s="26"/>
      <c r="CV223" s="26"/>
      <c r="CW223" s="26"/>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row>
    <row r="224" spans="1:131">
      <c r="A224" s="7"/>
      <c r="B224" s="7" t="s">
        <v>94</v>
      </c>
      <c r="C224" s="750">
        <v>0</v>
      </c>
      <c r="D224" s="750">
        <v>0</v>
      </c>
      <c r="E224" s="750">
        <v>0</v>
      </c>
      <c r="F224" s="750">
        <v>0</v>
      </c>
      <c r="G224" s="750">
        <v>0</v>
      </c>
      <c r="H224" s="750">
        <v>0</v>
      </c>
      <c r="I224" s="750">
        <v>0</v>
      </c>
      <c r="J224" s="750">
        <v>0</v>
      </c>
      <c r="K224" s="750">
        <v>0</v>
      </c>
      <c r="L224" s="751">
        <v>0</v>
      </c>
      <c r="M224" s="750">
        <v>0</v>
      </c>
      <c r="N224" s="750">
        <v>0</v>
      </c>
      <c r="O224" s="750">
        <v>0</v>
      </c>
      <c r="P224" s="750">
        <v>0</v>
      </c>
      <c r="Q224" s="750">
        <v>0</v>
      </c>
      <c r="R224" s="750">
        <v>0</v>
      </c>
      <c r="S224" s="750">
        <v>0</v>
      </c>
      <c r="T224" s="750">
        <v>0</v>
      </c>
      <c r="U224" s="750">
        <v>0</v>
      </c>
      <c r="V224" s="750">
        <v>0</v>
      </c>
      <c r="W224" s="750">
        <v>0</v>
      </c>
      <c r="X224" s="750">
        <v>0</v>
      </c>
      <c r="Y224" s="750">
        <v>0</v>
      </c>
      <c r="Z224" s="750"/>
      <c r="AA224" s="750">
        <v>0</v>
      </c>
      <c r="AB224" s="750">
        <v>0</v>
      </c>
      <c r="AC224" s="750">
        <v>0</v>
      </c>
      <c r="AD224" s="750">
        <v>0</v>
      </c>
      <c r="AE224" s="750">
        <v>0</v>
      </c>
      <c r="AF224" s="750">
        <v>0</v>
      </c>
      <c r="AG224" s="750">
        <v>0</v>
      </c>
      <c r="AH224" s="750">
        <v>0</v>
      </c>
      <c r="AI224" s="750">
        <v>0</v>
      </c>
      <c r="AJ224" s="750">
        <v>0</v>
      </c>
      <c r="AK224" s="750">
        <v>0</v>
      </c>
      <c r="AL224" s="750">
        <v>0</v>
      </c>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c r="CH224" s="26"/>
      <c r="CI224" s="26"/>
      <c r="CJ224" s="26"/>
      <c r="CK224" s="26"/>
      <c r="CL224" s="26"/>
      <c r="CM224" s="26"/>
      <c r="CN224" s="26"/>
      <c r="CO224" s="26"/>
      <c r="CP224" s="26"/>
      <c r="CQ224" s="26"/>
      <c r="CR224" s="26"/>
      <c r="CS224" s="26"/>
      <c r="CT224" s="26"/>
      <c r="CU224" s="26"/>
      <c r="CV224" s="26"/>
      <c r="CW224" s="26"/>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row>
    <row r="225" spans="1:131">
      <c r="A225" s="7"/>
      <c r="B225" s="7" t="s">
        <v>97</v>
      </c>
      <c r="C225" s="26">
        <v>26.980540557862223</v>
      </c>
      <c r="D225" s="26">
        <v>28.8</v>
      </c>
      <c r="E225" s="26">
        <v>5.7600000000000007</v>
      </c>
      <c r="F225" s="26">
        <v>34.56</v>
      </c>
      <c r="G225" s="26">
        <v>70.837073677352876</v>
      </c>
      <c r="H225" s="26">
        <v>13.032579600754101</v>
      </c>
      <c r="I225" s="26">
        <v>11220.88711865259</v>
      </c>
      <c r="J225" s="26">
        <v>67.414513269409795</v>
      </c>
      <c r="K225" s="26">
        <v>193.03695539222213</v>
      </c>
      <c r="L225" s="742">
        <v>0.18397964405072129</v>
      </c>
      <c r="M225" s="26">
        <v>0.25631860016411295</v>
      </c>
      <c r="N225" s="32">
        <v>0</v>
      </c>
      <c r="O225" s="32">
        <v>9.451777227684761E-4</v>
      </c>
      <c r="P225" s="32">
        <v>5.204067770702319E-2</v>
      </c>
      <c r="Q225" s="32">
        <v>0.62685797210796457</v>
      </c>
      <c r="R225" s="32">
        <v>2.4829543602506585</v>
      </c>
      <c r="S225" s="32">
        <v>3.2907339286138613</v>
      </c>
      <c r="T225" s="32">
        <v>3.1858370922086183</v>
      </c>
      <c r="U225" s="32">
        <v>3.2314261154183601</v>
      </c>
      <c r="V225" s="32">
        <v>1.5191312264020702</v>
      </c>
      <c r="W225" s="32">
        <v>0.8735424875345793</v>
      </c>
      <c r="X225" s="32">
        <v>0.2468926541208275</v>
      </c>
      <c r="Y225" s="32">
        <v>1.6918159289580827E-3</v>
      </c>
      <c r="Z225" s="32"/>
      <c r="AA225" s="32">
        <v>0</v>
      </c>
      <c r="AB225" s="32">
        <v>6.4638646816146976E-4</v>
      </c>
      <c r="AC225" s="32">
        <v>1.9188918613431701E-2</v>
      </c>
      <c r="AD225" s="32">
        <v>0.41312751097656331</v>
      </c>
      <c r="AE225" s="32">
        <v>1.610011933763513</v>
      </c>
      <c r="AF225" s="32">
        <v>2.4189371967162847</v>
      </c>
      <c r="AG225" s="32">
        <v>2.743782859647109</v>
      </c>
      <c r="AH225" s="32">
        <v>2.3499647954014518</v>
      </c>
      <c r="AI225" s="32">
        <v>1.2159156950213523</v>
      </c>
      <c r="AJ225" s="32">
        <v>0.57384099920672926</v>
      </c>
      <c r="AK225" s="32">
        <v>0.1218205078610822</v>
      </c>
      <c r="AL225" s="32">
        <v>1.250246170854077E-3</v>
      </c>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c r="CH225" s="26"/>
      <c r="CI225" s="26"/>
      <c r="CJ225" s="26"/>
      <c r="CK225" s="26"/>
      <c r="CL225" s="26"/>
      <c r="CM225" s="26"/>
      <c r="CN225" s="26"/>
      <c r="CO225" s="26"/>
      <c r="CP225" s="26"/>
      <c r="CQ225" s="26"/>
      <c r="CR225" s="26"/>
      <c r="CS225" s="26"/>
      <c r="CT225" s="26"/>
      <c r="CU225" s="26"/>
      <c r="CV225" s="26"/>
      <c r="CW225" s="26"/>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row>
    <row r="226" spans="1:131">
      <c r="A226" s="7"/>
      <c r="B226" s="7" t="s">
        <v>100</v>
      </c>
      <c r="C226" s="26">
        <v>104.00287313605791</v>
      </c>
      <c r="D226" s="26">
        <v>243.10683333333336</v>
      </c>
      <c r="E226" s="26">
        <v>48.621366666666674</v>
      </c>
      <c r="F226" s="26">
        <v>291.72820000000002</v>
      </c>
      <c r="G226" s="26">
        <v>599.10755892471639</v>
      </c>
      <c r="H226" s="26">
        <v>50.237159627916689</v>
      </c>
      <c r="I226" s="26">
        <v>24571.8118638589</v>
      </c>
      <c r="J226" s="26">
        <v>147.80586496930314</v>
      </c>
      <c r="K226" s="26">
        <v>423.71595613110128</v>
      </c>
      <c r="L226" s="742">
        <v>9.4625832577271488E-2</v>
      </c>
      <c r="M226" s="26">
        <v>0.98804065093173166</v>
      </c>
      <c r="N226" s="32">
        <v>0</v>
      </c>
      <c r="O226" s="32">
        <v>3.6434110199275683E-3</v>
      </c>
      <c r="P226" s="32">
        <v>0.20060309725339526</v>
      </c>
      <c r="Q226" s="32">
        <v>2.416372274219432</v>
      </c>
      <c r="R226" s="32">
        <v>9.5711346767854408</v>
      </c>
      <c r="S226" s="32">
        <v>12.684912022728811</v>
      </c>
      <c r="T226" s="32">
        <v>12.280562363920764</v>
      </c>
      <c r="U226" s="32">
        <v>12.456296033419015</v>
      </c>
      <c r="V226" s="32">
        <v>5.8558505111373158</v>
      </c>
      <c r="W226" s="32">
        <v>3.367276067548655</v>
      </c>
      <c r="X226" s="32">
        <v>0.95170611314051379</v>
      </c>
      <c r="Y226" s="32">
        <v>6.5215045284819509E-3</v>
      </c>
      <c r="Z226" s="32"/>
      <c r="AA226" s="32">
        <v>0</v>
      </c>
      <c r="AB226" s="32">
        <v>2.4916494797755993E-3</v>
      </c>
      <c r="AC226" s="32">
        <v>7.3968224020230858E-2</v>
      </c>
      <c r="AD226" s="32">
        <v>1.5924976751657525</v>
      </c>
      <c r="AE226" s="32">
        <v>6.2061716864287071</v>
      </c>
      <c r="AF226" s="32">
        <v>9.3243653830673541</v>
      </c>
      <c r="AG226" s="32">
        <v>10.576559800675055</v>
      </c>
      <c r="AH226" s="32">
        <v>9.0584949536572417</v>
      </c>
      <c r="AI226" s="32">
        <v>4.6870345500396908</v>
      </c>
      <c r="AJ226" s="32">
        <v>2.2120058162946958</v>
      </c>
      <c r="AK226" s="32">
        <v>0.46958595204106418</v>
      </c>
      <c r="AL226" s="32">
        <v>4.8193694865867982E-3</v>
      </c>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c r="CP226" s="26"/>
      <c r="CQ226" s="26"/>
      <c r="CR226" s="26"/>
      <c r="CS226" s="26"/>
      <c r="CT226" s="26"/>
      <c r="CU226" s="26"/>
      <c r="CV226" s="26"/>
      <c r="CW226" s="26"/>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row>
    <row r="227" spans="1:131">
      <c r="A227" s="7"/>
      <c r="B227" s="7"/>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c r="CH227" s="26"/>
      <c r="CI227" s="26"/>
      <c r="CJ227" s="26"/>
      <c r="CK227" s="26"/>
      <c r="CL227" s="26"/>
      <c r="CM227" s="26"/>
      <c r="CN227" s="26"/>
      <c r="CO227" s="26"/>
      <c r="CP227" s="26"/>
      <c r="CQ227" s="26"/>
      <c r="CR227" s="26"/>
      <c r="CS227" s="26"/>
      <c r="CT227" s="26"/>
      <c r="CU227" s="26"/>
      <c r="CV227" s="26"/>
      <c r="CW227" s="26"/>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row>
    <row r="228" spans="1:131">
      <c r="A228" s="7"/>
      <c r="B228" s="7"/>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c r="CW228" s="26"/>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row>
    <row r="229" spans="1:131" ht="13.5" thickBot="1">
      <c r="A229" s="24" t="s">
        <v>1545</v>
      </c>
      <c r="B229" s="25"/>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row>
    <row r="230" spans="1:131" ht="13.5" thickBot="1">
      <c r="A230" s="33"/>
      <c r="B230" s="34"/>
      <c r="C230" s="35"/>
      <c r="D230" s="35"/>
      <c r="E230" s="35"/>
      <c r="F230" s="35"/>
      <c r="G230" s="35"/>
      <c r="H230" s="35"/>
      <c r="I230" s="35"/>
      <c r="J230" s="35"/>
      <c r="K230" s="35"/>
      <c r="L230" s="35"/>
      <c r="M230" s="35"/>
      <c r="N230" s="35"/>
      <c r="O230" s="36" t="s">
        <v>1652</v>
      </c>
      <c r="P230" s="37"/>
      <c r="Q230" s="37"/>
      <c r="R230" s="37"/>
      <c r="S230" s="37"/>
      <c r="T230" s="37"/>
      <c r="U230" s="37"/>
      <c r="V230" s="37"/>
      <c r="W230" s="37"/>
      <c r="X230" s="37"/>
      <c r="Y230" s="37"/>
      <c r="Z230" s="31"/>
      <c r="AA230" s="35"/>
      <c r="AB230" s="36" t="s">
        <v>1653</v>
      </c>
      <c r="AC230" s="37"/>
      <c r="AD230" s="37"/>
      <c r="AE230" s="37"/>
      <c r="AF230" s="37"/>
      <c r="AG230" s="37"/>
      <c r="AH230" s="37"/>
      <c r="AI230" s="37"/>
      <c r="AJ230" s="37"/>
      <c r="AK230" s="37"/>
      <c r="AL230" s="37"/>
      <c r="AM230" s="31"/>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row>
    <row r="231" spans="1:131" ht="204">
      <c r="A231" s="27" t="s">
        <v>1436</v>
      </c>
      <c r="B231" s="28" t="s">
        <v>1437</v>
      </c>
      <c r="C231" s="29" t="s">
        <v>22</v>
      </c>
      <c r="D231" s="29" t="s">
        <v>1522</v>
      </c>
      <c r="E231" s="29" t="s">
        <v>1523</v>
      </c>
      <c r="F231" s="29" t="s">
        <v>1524</v>
      </c>
      <c r="G231" s="29" t="s">
        <v>1525</v>
      </c>
      <c r="H231" s="29" t="s">
        <v>1526</v>
      </c>
      <c r="I231" s="29" t="s">
        <v>1527</v>
      </c>
      <c r="J231" s="29" t="s">
        <v>1528</v>
      </c>
      <c r="K231" s="29" t="s">
        <v>21</v>
      </c>
      <c r="L231" s="29" t="s">
        <v>1498</v>
      </c>
      <c r="M231" s="29" t="s">
        <v>1529</v>
      </c>
      <c r="N231" s="29" t="s">
        <v>1654</v>
      </c>
      <c r="O231" s="29" t="s">
        <v>1530</v>
      </c>
      <c r="P231" s="29" t="s">
        <v>1531</v>
      </c>
      <c r="Q231" s="29" t="s">
        <v>1532</v>
      </c>
      <c r="R231" s="29" t="s">
        <v>1533</v>
      </c>
      <c r="S231" s="29" t="s">
        <v>1534</v>
      </c>
      <c r="T231" s="29" t="s">
        <v>1535</v>
      </c>
      <c r="U231" s="29" t="s">
        <v>1536</v>
      </c>
      <c r="V231" s="29" t="s">
        <v>1537</v>
      </c>
      <c r="W231" s="29" t="s">
        <v>1538</v>
      </c>
      <c r="X231" s="29" t="s">
        <v>1539</v>
      </c>
      <c r="Y231" s="29" t="s">
        <v>1540</v>
      </c>
      <c r="Z231" s="29" t="s">
        <v>1541</v>
      </c>
      <c r="AA231" s="29"/>
      <c r="AB231" s="29" t="s">
        <v>1530</v>
      </c>
      <c r="AC231" s="29" t="s">
        <v>1531</v>
      </c>
      <c r="AD231" s="29" t="s">
        <v>1532</v>
      </c>
      <c r="AE231" s="29" t="s">
        <v>1533</v>
      </c>
      <c r="AF231" s="29" t="s">
        <v>1534</v>
      </c>
      <c r="AG231" s="29" t="s">
        <v>1535</v>
      </c>
      <c r="AH231" s="29" t="s">
        <v>1536</v>
      </c>
      <c r="AI231" s="29" t="s">
        <v>1537</v>
      </c>
      <c r="AJ231" s="29" t="s">
        <v>1538</v>
      </c>
      <c r="AK231" s="29" t="s">
        <v>1539</v>
      </c>
      <c r="AL231" s="29" t="s">
        <v>1540</v>
      </c>
      <c r="AM231" s="29" t="s">
        <v>1541</v>
      </c>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6"/>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row>
    <row r="232" spans="1:131">
      <c r="A232" s="7" t="s">
        <v>1318</v>
      </c>
      <c r="B232" s="7"/>
      <c r="C232" s="32">
        <v>398.75442145308739</v>
      </c>
      <c r="D232" s="32">
        <v>6.2666666666666666</v>
      </c>
      <c r="E232" s="32">
        <v>1.2533333333333334</v>
      </c>
      <c r="F232" s="32">
        <v>7.52</v>
      </c>
      <c r="G232" s="32">
        <v>22.987953419479691</v>
      </c>
      <c r="H232" s="32">
        <v>192.61284730730273</v>
      </c>
      <c r="I232" s="32">
        <v>165.20243151147122</v>
      </c>
      <c r="J232" s="32">
        <v>0.84373611884529098</v>
      </c>
      <c r="K232" s="32">
        <v>4.0909288497475105</v>
      </c>
      <c r="L232" s="30">
        <v>8.3788601704789052</v>
      </c>
      <c r="M232" s="32">
        <v>3.7882182121930161</v>
      </c>
      <c r="N232" s="32">
        <v>1.0606173555314377E-3</v>
      </c>
      <c r="O232" s="32">
        <v>0</v>
      </c>
      <c r="P232" s="32">
        <v>1.3969097290864402E-2</v>
      </c>
      <c r="Q232" s="32">
        <v>0.76912655943965402</v>
      </c>
      <c r="R232" s="32">
        <v>9.2645433646927842</v>
      </c>
      <c r="S232" s="32">
        <v>36.696411893336091</v>
      </c>
      <c r="T232" s="32">
        <v>48.634855963924991</v>
      </c>
      <c r="U232" s="32">
        <v>47.084550579074467</v>
      </c>
      <c r="V232" s="32">
        <v>47.758325981595618</v>
      </c>
      <c r="W232" s="32">
        <v>22.451747843827242</v>
      </c>
      <c r="X232" s="32">
        <v>12.910376220391836</v>
      </c>
      <c r="Y232" s="32">
        <v>3.6489090069872319</v>
      </c>
      <c r="Z232" s="32">
        <v>2.5003912746300094E-2</v>
      </c>
      <c r="AA232" s="32"/>
      <c r="AB232" s="32">
        <v>0</v>
      </c>
      <c r="AC232" s="32">
        <v>9.5531615311436856E-3</v>
      </c>
      <c r="AD232" s="32">
        <v>0.28359943803200099</v>
      </c>
      <c r="AE232" s="32">
        <v>6.1057494853567249</v>
      </c>
      <c r="AF232" s="32">
        <v>23.794904175607975</v>
      </c>
      <c r="AG232" s="32">
        <v>35.7502808492426</v>
      </c>
      <c r="AH232" s="32">
        <v>40.551283412765329</v>
      </c>
      <c r="AI232" s="32">
        <v>34.730914690749835</v>
      </c>
      <c r="AJ232" s="32">
        <v>17.970424219787567</v>
      </c>
      <c r="AK232" s="32">
        <v>8.4809878124573554</v>
      </c>
      <c r="AL232" s="32">
        <v>1.8004259784599372</v>
      </c>
      <c r="AM232" s="26">
        <v>1.847780578983169E-2</v>
      </c>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c r="CH232" s="26"/>
      <c r="CI232" s="26"/>
      <c r="CJ232" s="26"/>
      <c r="CK232" s="26"/>
      <c r="CL232" s="26"/>
      <c r="CM232" s="26"/>
      <c r="CN232" s="26"/>
      <c r="CO232" s="26"/>
      <c r="CP232" s="26"/>
      <c r="CQ232" s="26"/>
      <c r="CR232" s="26"/>
      <c r="CS232" s="26"/>
      <c r="CT232" s="26"/>
      <c r="CU232" s="26"/>
      <c r="CV232" s="26"/>
      <c r="CW232" s="26"/>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row>
    <row r="233" spans="1:131">
      <c r="A233" s="7" t="s">
        <v>1331</v>
      </c>
      <c r="B233" s="7"/>
      <c r="C233" s="32">
        <v>398.75442145308739</v>
      </c>
      <c r="D233" s="32">
        <v>6.2666666666666666</v>
      </c>
      <c r="E233" s="32">
        <v>1.2533333333333334</v>
      </c>
      <c r="F233" s="32">
        <v>7.52</v>
      </c>
      <c r="G233" s="32">
        <v>22.987953419479691</v>
      </c>
      <c r="H233" s="32">
        <v>192.61284730730273</v>
      </c>
      <c r="I233" s="32">
        <v>165.20243151147122</v>
      </c>
      <c r="J233" s="32">
        <v>0.84373611884529098</v>
      </c>
      <c r="K233" s="32">
        <v>4.0909288497475105</v>
      </c>
      <c r="L233" s="30">
        <v>8.3788601704789052</v>
      </c>
      <c r="M233" s="32">
        <v>3.7882182121930161</v>
      </c>
      <c r="N233" s="32">
        <v>1.0606173555314377E-3</v>
      </c>
      <c r="O233" s="32">
        <v>0</v>
      </c>
      <c r="P233" s="32">
        <v>1.3969097290864402E-2</v>
      </c>
      <c r="Q233" s="32">
        <v>0.76912655943965402</v>
      </c>
      <c r="R233" s="32">
        <v>9.2645433646927842</v>
      </c>
      <c r="S233" s="32">
        <v>36.696411893336091</v>
      </c>
      <c r="T233" s="32">
        <v>48.634855963924991</v>
      </c>
      <c r="U233" s="32">
        <v>47.084550579074467</v>
      </c>
      <c r="V233" s="32">
        <v>47.758325981595618</v>
      </c>
      <c r="W233" s="32">
        <v>22.451747843827242</v>
      </c>
      <c r="X233" s="32">
        <v>12.910376220391836</v>
      </c>
      <c r="Y233" s="32">
        <v>3.6489090069872319</v>
      </c>
      <c r="Z233" s="32">
        <v>2.5003912746300094E-2</v>
      </c>
      <c r="AA233" s="32"/>
      <c r="AB233" s="32">
        <v>0</v>
      </c>
      <c r="AC233" s="32">
        <v>9.5531615311436856E-3</v>
      </c>
      <c r="AD233" s="32">
        <v>0.28359943803200099</v>
      </c>
      <c r="AE233" s="32">
        <v>6.1057494853567249</v>
      </c>
      <c r="AF233" s="32">
        <v>23.794904175607975</v>
      </c>
      <c r="AG233" s="32">
        <v>35.7502808492426</v>
      </c>
      <c r="AH233" s="32">
        <v>40.551283412765329</v>
      </c>
      <c r="AI233" s="32">
        <v>34.730914690749835</v>
      </c>
      <c r="AJ233" s="32">
        <v>17.970424219787567</v>
      </c>
      <c r="AK233" s="32">
        <v>8.4809878124573554</v>
      </c>
      <c r="AL233" s="32">
        <v>1.8004259784599372</v>
      </c>
      <c r="AM233" s="26">
        <v>1.847780578983169E-2</v>
      </c>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c r="CH233" s="26"/>
      <c r="CI233" s="26"/>
      <c r="CJ233" s="26"/>
      <c r="CK233" s="26"/>
      <c r="CL233" s="26"/>
      <c r="CM233" s="26"/>
      <c r="CN233" s="26"/>
      <c r="CO233" s="26"/>
      <c r="CP233" s="26"/>
      <c r="CQ233" s="26"/>
      <c r="CR233" s="26"/>
      <c r="CS233" s="26"/>
      <c r="CT233" s="26"/>
      <c r="CU233" s="26"/>
      <c r="CV233" s="26"/>
      <c r="CW233" s="26"/>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row>
    <row r="234" spans="1:131">
      <c r="A234" s="7" t="s">
        <v>1295</v>
      </c>
      <c r="B234" s="7"/>
      <c r="C234" s="32">
        <v>290.22000108964318</v>
      </c>
      <c r="D234" s="32">
        <v>6.2666666666666666</v>
      </c>
      <c r="E234" s="32">
        <v>1.2533333333333334</v>
      </c>
      <c r="F234" s="32">
        <v>7.52</v>
      </c>
      <c r="G234" s="32">
        <v>22.987953419479691</v>
      </c>
      <c r="H234" s="32">
        <v>140.18678602158465</v>
      </c>
      <c r="I234" s="32">
        <v>226.98366671031906</v>
      </c>
      <c r="J234" s="32">
        <v>1.215746080859921</v>
      </c>
      <c r="K234" s="32">
        <v>5.6773009492221416</v>
      </c>
      <c r="L234" s="30">
        <v>6.0982717105556778</v>
      </c>
      <c r="M234" s="32">
        <v>2.7571272806558902</v>
      </c>
      <c r="N234" s="32">
        <v>7.7193468841383565E-4</v>
      </c>
      <c r="O234" s="32">
        <v>0</v>
      </c>
      <c r="P234" s="32">
        <v>1.0166937876707548E-2</v>
      </c>
      <c r="Q234" s="32">
        <v>0.55978291125960788</v>
      </c>
      <c r="R234" s="32">
        <v>6.7428864502572363</v>
      </c>
      <c r="S234" s="32">
        <v>26.708249806636815</v>
      </c>
      <c r="T234" s="32">
        <v>35.397244999590626</v>
      </c>
      <c r="U234" s="32">
        <v>34.268907340434332</v>
      </c>
      <c r="V234" s="32">
        <v>34.759292117463993</v>
      </c>
      <c r="W234" s="32">
        <v>16.340749928127188</v>
      </c>
      <c r="X234" s="32">
        <v>9.3963833356281192</v>
      </c>
      <c r="Y234" s="32">
        <v>2.6557357586778028</v>
      </c>
      <c r="Z234" s="32">
        <v>1.8198257358584009E-2</v>
      </c>
      <c r="AA234" s="32"/>
      <c r="AB234" s="32">
        <v>0</v>
      </c>
      <c r="AC234" s="32">
        <v>6.9529474804939278E-3</v>
      </c>
      <c r="AD234" s="32">
        <v>0.20640831746702695</v>
      </c>
      <c r="AE234" s="32">
        <v>4.4438645114855237</v>
      </c>
      <c r="AF234" s="32">
        <v>17.318321112548087</v>
      </c>
      <c r="AG234" s="32">
        <v>26.019640131420807</v>
      </c>
      <c r="AH234" s="32">
        <v>29.513888456340936</v>
      </c>
      <c r="AI234" s="32">
        <v>25.277728740067566</v>
      </c>
      <c r="AJ234" s="32">
        <v>13.079169172953424</v>
      </c>
      <c r="AK234" s="32">
        <v>6.1726018816375614</v>
      </c>
      <c r="AL234" s="32">
        <v>1.3103795251382264</v>
      </c>
      <c r="AM234" s="26">
        <v>1.3448449792524922E-2</v>
      </c>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c r="CH234" s="26"/>
      <c r="CI234" s="26"/>
      <c r="CJ234" s="26"/>
      <c r="CK234" s="26"/>
      <c r="CL234" s="26"/>
      <c r="CM234" s="26"/>
      <c r="CN234" s="26"/>
      <c r="CO234" s="26"/>
      <c r="CP234" s="26"/>
      <c r="CQ234" s="26"/>
      <c r="CR234" s="26"/>
      <c r="CS234" s="26"/>
      <c r="CT234" s="26"/>
      <c r="CU234" s="26"/>
      <c r="CV234" s="26"/>
      <c r="CW234" s="26"/>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row>
    <row r="235" spans="1:131">
      <c r="A235" s="7" t="s">
        <v>1322</v>
      </c>
      <c r="B235" s="7"/>
      <c r="C235" s="32">
        <v>98.880861483826095</v>
      </c>
      <c r="D235" s="32">
        <v>5.2</v>
      </c>
      <c r="E235" s="32">
        <v>1.04</v>
      </c>
      <c r="F235" s="32">
        <v>6.24</v>
      </c>
      <c r="G235" s="32">
        <v>19.075110284249103</v>
      </c>
      <c r="H235" s="32">
        <v>47.763042238365365</v>
      </c>
      <c r="I235" s="32">
        <v>552.8107176629029</v>
      </c>
      <c r="J235" s="32">
        <v>3.1776833658313701</v>
      </c>
      <c r="K235" s="32">
        <v>14.043642949696046</v>
      </c>
      <c r="L235" s="30">
        <v>2.5039457977763178</v>
      </c>
      <c r="M235" s="32">
        <v>0.93938088246235063</v>
      </c>
      <c r="N235" s="32">
        <v>2.6300588075606906E-4</v>
      </c>
      <c r="O235" s="32">
        <v>0</v>
      </c>
      <c r="P235" s="32">
        <v>3.463977576069479E-3</v>
      </c>
      <c r="Q235" s="32">
        <v>0.19072364517074453</v>
      </c>
      <c r="R235" s="32">
        <v>2.297368956604442</v>
      </c>
      <c r="S235" s="32">
        <v>9.0997682437115959</v>
      </c>
      <c r="T235" s="32">
        <v>12.060195942982103</v>
      </c>
      <c r="U235" s="32">
        <v>11.675760000031513</v>
      </c>
      <c r="V235" s="32">
        <v>11.842839005714065</v>
      </c>
      <c r="W235" s="32">
        <v>5.567457184613203</v>
      </c>
      <c r="X235" s="32">
        <v>3.2014419253350783</v>
      </c>
      <c r="Y235" s="32">
        <v>0.90483577529293446</v>
      </c>
      <c r="Z235" s="32">
        <v>6.2003285726863009E-3</v>
      </c>
      <c r="AA235" s="32"/>
      <c r="AB235" s="32">
        <v>0</v>
      </c>
      <c r="AC235" s="32">
        <v>2.3689388537721022E-3</v>
      </c>
      <c r="AD235" s="32">
        <v>7.0325381338078419E-2</v>
      </c>
      <c r="AE235" s="32">
        <v>1.5140691529298307</v>
      </c>
      <c r="AF235" s="32">
        <v>5.9005254794046618</v>
      </c>
      <c r="AG235" s="32">
        <v>8.8651520296126058</v>
      </c>
      <c r="AH235" s="32">
        <v>10.055677435543522</v>
      </c>
      <c r="AI235" s="32">
        <v>8.6123753869062583</v>
      </c>
      <c r="AJ235" s="32">
        <v>4.4562039503089492</v>
      </c>
      <c r="AK235" s="32">
        <v>2.1030672915767865</v>
      </c>
      <c r="AL235" s="32">
        <v>0.44645943019072876</v>
      </c>
      <c r="AM235" s="26">
        <v>4.5820215564539935E-3</v>
      </c>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c r="CB235" s="26"/>
      <c r="CC235" s="26"/>
      <c r="CD235" s="26"/>
      <c r="CE235" s="26"/>
      <c r="CF235" s="26"/>
      <c r="CG235" s="26"/>
      <c r="CH235" s="26"/>
      <c r="CI235" s="26"/>
      <c r="CJ235" s="26"/>
      <c r="CK235" s="26"/>
      <c r="CL235" s="26"/>
      <c r="CM235" s="26"/>
      <c r="CN235" s="26"/>
      <c r="CO235" s="26"/>
      <c r="CP235" s="26"/>
      <c r="CQ235" s="26"/>
      <c r="CR235" s="26"/>
      <c r="CS235" s="26"/>
      <c r="CT235" s="26"/>
      <c r="CU235" s="26"/>
      <c r="CV235" s="26"/>
      <c r="CW235" s="26"/>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row>
    <row r="236" spans="1:131">
      <c r="A236" s="7" t="s">
        <v>1335</v>
      </c>
      <c r="B236" s="7"/>
      <c r="C236" s="32">
        <v>98.880861483826095</v>
      </c>
      <c r="D236" s="32">
        <v>5.2</v>
      </c>
      <c r="E236" s="32">
        <v>1.04</v>
      </c>
      <c r="F236" s="32">
        <v>6.24</v>
      </c>
      <c r="G236" s="32">
        <v>19.075110284249103</v>
      </c>
      <c r="H236" s="32">
        <v>47.763042238365365</v>
      </c>
      <c r="I236" s="32">
        <v>552.8107176629029</v>
      </c>
      <c r="J236" s="32">
        <v>3.1776833658313701</v>
      </c>
      <c r="K236" s="32">
        <v>14.043642949696046</v>
      </c>
      <c r="L236" s="30">
        <v>2.5039457977763178</v>
      </c>
      <c r="M236" s="32">
        <v>0.93938088246235063</v>
      </c>
      <c r="N236" s="32">
        <v>2.6300588075606906E-4</v>
      </c>
      <c r="O236" s="32">
        <v>0</v>
      </c>
      <c r="P236" s="32">
        <v>3.463977576069479E-3</v>
      </c>
      <c r="Q236" s="32">
        <v>0.19072364517074453</v>
      </c>
      <c r="R236" s="32">
        <v>2.297368956604442</v>
      </c>
      <c r="S236" s="32">
        <v>9.0997682437115959</v>
      </c>
      <c r="T236" s="32">
        <v>12.060195942982103</v>
      </c>
      <c r="U236" s="32">
        <v>11.675760000031513</v>
      </c>
      <c r="V236" s="32">
        <v>11.842839005714065</v>
      </c>
      <c r="W236" s="32">
        <v>5.567457184613203</v>
      </c>
      <c r="X236" s="32">
        <v>3.2014419253350783</v>
      </c>
      <c r="Y236" s="32">
        <v>0.90483577529293446</v>
      </c>
      <c r="Z236" s="32">
        <v>6.2003285726863009E-3</v>
      </c>
      <c r="AA236" s="32"/>
      <c r="AB236" s="32">
        <v>0</v>
      </c>
      <c r="AC236" s="32">
        <v>2.3689388537721022E-3</v>
      </c>
      <c r="AD236" s="32">
        <v>7.0325381338078419E-2</v>
      </c>
      <c r="AE236" s="32">
        <v>1.5140691529298307</v>
      </c>
      <c r="AF236" s="32">
        <v>5.9005254794046618</v>
      </c>
      <c r="AG236" s="32">
        <v>8.8651520296126058</v>
      </c>
      <c r="AH236" s="32">
        <v>10.055677435543522</v>
      </c>
      <c r="AI236" s="32">
        <v>8.6123753869062583</v>
      </c>
      <c r="AJ236" s="32">
        <v>4.4562039503089492</v>
      </c>
      <c r="AK236" s="32">
        <v>2.1030672915767865</v>
      </c>
      <c r="AL236" s="32">
        <v>0.44645943019072876</v>
      </c>
      <c r="AM236" s="26">
        <v>4.5820215564539935E-3</v>
      </c>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c r="CH236" s="26"/>
      <c r="CI236" s="26"/>
      <c r="CJ236" s="26"/>
      <c r="CK236" s="26"/>
      <c r="CL236" s="26"/>
      <c r="CM236" s="26"/>
      <c r="CN236" s="26"/>
      <c r="CO236" s="26"/>
      <c r="CP236" s="26"/>
      <c r="CQ236" s="26"/>
      <c r="CR236" s="26"/>
      <c r="CS236" s="26"/>
      <c r="CT236" s="26"/>
      <c r="CU236" s="26"/>
      <c r="CV236" s="26"/>
      <c r="CW236" s="26"/>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row>
    <row r="237" spans="1:131">
      <c r="A237" s="7" t="s">
        <v>1319</v>
      </c>
      <c r="B237" s="7"/>
      <c r="C237" s="32">
        <v>413.28068651502326</v>
      </c>
      <c r="D237" s="32">
        <v>21.866666666666667</v>
      </c>
      <c r="E237" s="32">
        <v>4.373333333333334</v>
      </c>
      <c r="F237" s="32">
        <v>26.240000000000002</v>
      </c>
      <c r="G237" s="32">
        <v>80.213284272226986</v>
      </c>
      <c r="H237" s="32">
        <v>199.62956016060278</v>
      </c>
      <c r="I237" s="32">
        <v>556.18955228299603</v>
      </c>
      <c r="J237" s="32">
        <v>3.198028704260254</v>
      </c>
      <c r="K237" s="32">
        <v>14.130402124270704</v>
      </c>
      <c r="L237" s="30">
        <v>2.48873440318317</v>
      </c>
      <c r="M237" s="32">
        <v>3.9262195957569674</v>
      </c>
      <c r="N237" s="32">
        <v>1.0992546922149928E-3</v>
      </c>
      <c r="O237" s="32">
        <v>0</v>
      </c>
      <c r="P237" s="32">
        <v>1.4477978945852997E-2</v>
      </c>
      <c r="Q237" s="32">
        <v>0.79714514849474649</v>
      </c>
      <c r="R237" s="32">
        <v>9.6020423499150951</v>
      </c>
      <c r="S237" s="32">
        <v>38.033229185648651</v>
      </c>
      <c r="T237" s="32">
        <v>50.406580040128532</v>
      </c>
      <c r="U237" s="32">
        <v>48.799798423954421</v>
      </c>
      <c r="V237" s="32">
        <v>49.498118858612315</v>
      </c>
      <c r="W237" s="32">
        <v>23.269644831889984</v>
      </c>
      <c r="X237" s="32">
        <v>13.380689618656662</v>
      </c>
      <c r="Y237" s="32">
        <v>3.7818354814554724</v>
      </c>
      <c r="Z237" s="32">
        <v>2.5914782807162865E-2</v>
      </c>
      <c r="AA237" s="32"/>
      <c r="AB237" s="32">
        <v>0</v>
      </c>
      <c r="AC237" s="32">
        <v>9.9011746166793608E-3</v>
      </c>
      <c r="AD237" s="32">
        <v>0.29393071058129755</v>
      </c>
      <c r="AE237" s="32">
        <v>6.3281764495590638</v>
      </c>
      <c r="AF237" s="32">
        <v>24.661731141234263</v>
      </c>
      <c r="AG237" s="32">
        <v>37.052631438265088</v>
      </c>
      <c r="AH237" s="32">
        <v>42.02853020869788</v>
      </c>
      <c r="AI237" s="32">
        <v>35.99613068710881</v>
      </c>
      <c r="AJ237" s="32">
        <v>18.625070617289087</v>
      </c>
      <c r="AK237" s="32">
        <v>8.7899425733898227</v>
      </c>
      <c r="AL237" s="32">
        <v>1.866013878130615</v>
      </c>
      <c r="AM237" s="26">
        <v>1.9150935641753963E-2</v>
      </c>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c r="CH237" s="26"/>
      <c r="CI237" s="26"/>
      <c r="CJ237" s="26"/>
      <c r="CK237" s="26"/>
      <c r="CL237" s="26"/>
      <c r="CM237" s="26"/>
      <c r="CN237" s="26"/>
      <c r="CO237" s="26"/>
      <c r="CP237" s="26"/>
      <c r="CQ237" s="26"/>
      <c r="CR237" s="26"/>
      <c r="CS237" s="26"/>
      <c r="CT237" s="26"/>
      <c r="CU237" s="26"/>
      <c r="CV237" s="26"/>
      <c r="CW237" s="26"/>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row>
    <row r="238" spans="1:131">
      <c r="A238" s="7" t="s">
        <v>1332</v>
      </c>
      <c r="B238" s="7"/>
      <c r="C238" s="32">
        <v>413.28068651502326</v>
      </c>
      <c r="D238" s="32">
        <v>21.866666666666667</v>
      </c>
      <c r="E238" s="32">
        <v>4.373333333333334</v>
      </c>
      <c r="F238" s="32">
        <v>26.240000000000002</v>
      </c>
      <c r="G238" s="32">
        <v>80.213284272226986</v>
      </c>
      <c r="H238" s="32">
        <v>199.62956016060278</v>
      </c>
      <c r="I238" s="32">
        <v>556.18955228299603</v>
      </c>
      <c r="J238" s="32">
        <v>3.198028704260254</v>
      </c>
      <c r="K238" s="32">
        <v>14.130402124270704</v>
      </c>
      <c r="L238" s="30">
        <v>2.48873440318317</v>
      </c>
      <c r="M238" s="32">
        <v>3.9262195957569674</v>
      </c>
      <c r="N238" s="32">
        <v>1.0992546922149928E-3</v>
      </c>
      <c r="O238" s="32">
        <v>0</v>
      </c>
      <c r="P238" s="32">
        <v>1.4477978945852997E-2</v>
      </c>
      <c r="Q238" s="32">
        <v>0.79714514849474649</v>
      </c>
      <c r="R238" s="32">
        <v>9.6020423499150951</v>
      </c>
      <c r="S238" s="32">
        <v>38.033229185648651</v>
      </c>
      <c r="T238" s="32">
        <v>50.406580040128532</v>
      </c>
      <c r="U238" s="32">
        <v>48.799798423954421</v>
      </c>
      <c r="V238" s="32">
        <v>49.498118858612315</v>
      </c>
      <c r="W238" s="32">
        <v>23.269644831889984</v>
      </c>
      <c r="X238" s="32">
        <v>13.380689618656662</v>
      </c>
      <c r="Y238" s="32">
        <v>3.7818354814554724</v>
      </c>
      <c r="Z238" s="32">
        <v>2.5914782807162865E-2</v>
      </c>
      <c r="AA238" s="32"/>
      <c r="AB238" s="32">
        <v>0</v>
      </c>
      <c r="AC238" s="32">
        <v>9.9011746166793608E-3</v>
      </c>
      <c r="AD238" s="32">
        <v>0.29393071058129755</v>
      </c>
      <c r="AE238" s="32">
        <v>6.3281764495590638</v>
      </c>
      <c r="AF238" s="32">
        <v>24.661731141234263</v>
      </c>
      <c r="AG238" s="32">
        <v>37.052631438265088</v>
      </c>
      <c r="AH238" s="32">
        <v>42.02853020869788</v>
      </c>
      <c r="AI238" s="32">
        <v>35.99613068710881</v>
      </c>
      <c r="AJ238" s="32">
        <v>18.625070617289087</v>
      </c>
      <c r="AK238" s="32">
        <v>8.7899425733898227</v>
      </c>
      <c r="AL238" s="32">
        <v>1.866013878130615</v>
      </c>
      <c r="AM238" s="26">
        <v>1.9150935641753963E-2</v>
      </c>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c r="CH238" s="26"/>
      <c r="CI238" s="26"/>
      <c r="CJ238" s="26"/>
      <c r="CK238" s="26"/>
      <c r="CL238" s="26"/>
      <c r="CM238" s="26"/>
      <c r="CN238" s="26"/>
      <c r="CO238" s="26"/>
      <c r="CP238" s="26"/>
      <c r="CQ238" s="26"/>
      <c r="CR238" s="26"/>
      <c r="CS238" s="26"/>
      <c r="CT238" s="26"/>
      <c r="CU238" s="26"/>
      <c r="CV238" s="26"/>
      <c r="CW238" s="26"/>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row>
    <row r="239" spans="1:131">
      <c r="A239" s="7" t="s">
        <v>1316</v>
      </c>
      <c r="B239" s="7"/>
      <c r="C239" s="32">
        <v>75.807619128618981</v>
      </c>
      <c r="D239" s="32">
        <v>3.3866666666666667</v>
      </c>
      <c r="E239" s="32">
        <v>0.67733333333333334</v>
      </c>
      <c r="F239" s="32">
        <v>4.0640000000000001</v>
      </c>
      <c r="G239" s="32">
        <v>15.159181668026848</v>
      </c>
      <c r="H239" s="32">
        <v>36.617829376642312</v>
      </c>
      <c r="I239" s="32">
        <v>469.6182311120757</v>
      </c>
      <c r="J239" s="32">
        <v>2.6767475450750196</v>
      </c>
      <c r="K239" s="32">
        <v>14.563061720172616</v>
      </c>
      <c r="L239" s="30">
        <v>2.4155544922240231</v>
      </c>
      <c r="M239" s="32">
        <v>0.72018211700208545</v>
      </c>
      <c r="N239" s="32">
        <v>2.0163507212368184E-4</v>
      </c>
      <c r="O239" s="32">
        <v>0</v>
      </c>
      <c r="P239" s="32">
        <v>2.6556796615258517E-3</v>
      </c>
      <c r="Q239" s="32">
        <v>0.14621945273292966</v>
      </c>
      <c r="R239" s="32">
        <v>1.7612920058212611</v>
      </c>
      <c r="S239" s="32">
        <v>6.9763931546129001</v>
      </c>
      <c r="T239" s="32">
        <v>9.2460232136190239</v>
      </c>
      <c r="U239" s="32">
        <v>8.9512930392938657</v>
      </c>
      <c r="V239" s="32">
        <v>9.0793851840942317</v>
      </c>
      <c r="W239" s="32">
        <v>4.2683252090707819</v>
      </c>
      <c r="X239" s="32">
        <v>2.4544050941333233</v>
      </c>
      <c r="Y239" s="32">
        <v>0.69369789864315923</v>
      </c>
      <c r="Z239" s="32">
        <v>4.753519941645936E-3</v>
      </c>
      <c r="AA239" s="32"/>
      <c r="AB239" s="32">
        <v>0</v>
      </c>
      <c r="AC239" s="32">
        <v>1.8161615065936413E-3</v>
      </c>
      <c r="AD239" s="32">
        <v>5.3915385076048927E-2</v>
      </c>
      <c r="AE239" s="32">
        <v>1.1607704054891308</v>
      </c>
      <c r="AF239" s="32">
        <v>4.5236740607745016</v>
      </c>
      <c r="AG239" s="32">
        <v>6.7965231946133722</v>
      </c>
      <c r="AH239" s="32">
        <v>7.7092468014006954</v>
      </c>
      <c r="AI239" s="32">
        <v>6.6027304306008112</v>
      </c>
      <c r="AJ239" s="32">
        <v>3.4163760990262446</v>
      </c>
      <c r="AK239" s="32">
        <v>1.6123294422125054</v>
      </c>
      <c r="AL239" s="32">
        <v>0.34228086135571384</v>
      </c>
      <c r="AM239" s="26">
        <v>3.512834938716655E-3</v>
      </c>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c r="CH239" s="26"/>
      <c r="CI239" s="26"/>
      <c r="CJ239" s="26"/>
      <c r="CK239" s="26"/>
      <c r="CL239" s="26"/>
      <c r="CM239" s="26"/>
      <c r="CN239" s="26"/>
      <c r="CO239" s="26"/>
      <c r="CP239" s="26"/>
      <c r="CQ239" s="26"/>
      <c r="CR239" s="26"/>
      <c r="CS239" s="26"/>
      <c r="CT239" s="26"/>
      <c r="CU239" s="26"/>
      <c r="CV239" s="26"/>
      <c r="CW239" s="26"/>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row>
    <row r="240" spans="1:131">
      <c r="A240" s="7" t="s">
        <v>1329</v>
      </c>
      <c r="B240" s="7"/>
      <c r="C240" s="32">
        <v>75.807619128618981</v>
      </c>
      <c r="D240" s="32">
        <v>3.3866666666666667</v>
      </c>
      <c r="E240" s="32">
        <v>0.67733333333333334</v>
      </c>
      <c r="F240" s="32">
        <v>4.0640000000000001</v>
      </c>
      <c r="G240" s="32">
        <v>15.159181668026848</v>
      </c>
      <c r="H240" s="32">
        <v>36.617829376642312</v>
      </c>
      <c r="I240" s="32">
        <v>469.6182311120757</v>
      </c>
      <c r="J240" s="32">
        <v>2.6767475450750196</v>
      </c>
      <c r="K240" s="32">
        <v>14.563061720172616</v>
      </c>
      <c r="L240" s="30">
        <v>2.4155544922240231</v>
      </c>
      <c r="M240" s="32">
        <v>0.72018211700208545</v>
      </c>
      <c r="N240" s="32">
        <v>2.0163507212368184E-4</v>
      </c>
      <c r="O240" s="32">
        <v>0</v>
      </c>
      <c r="P240" s="32">
        <v>2.6556796615258517E-3</v>
      </c>
      <c r="Q240" s="32">
        <v>0.14621945273292966</v>
      </c>
      <c r="R240" s="32">
        <v>1.7612920058212611</v>
      </c>
      <c r="S240" s="32">
        <v>6.9763931546129001</v>
      </c>
      <c r="T240" s="32">
        <v>9.2460232136190239</v>
      </c>
      <c r="U240" s="32">
        <v>8.9512930392938657</v>
      </c>
      <c r="V240" s="32">
        <v>9.0793851840942317</v>
      </c>
      <c r="W240" s="32">
        <v>4.2683252090707819</v>
      </c>
      <c r="X240" s="32">
        <v>2.4544050941333233</v>
      </c>
      <c r="Y240" s="32">
        <v>0.69369789864315923</v>
      </c>
      <c r="Z240" s="32">
        <v>4.753519941645936E-3</v>
      </c>
      <c r="AA240" s="32"/>
      <c r="AB240" s="32">
        <v>0</v>
      </c>
      <c r="AC240" s="32">
        <v>1.8161615065936413E-3</v>
      </c>
      <c r="AD240" s="32">
        <v>5.3915385076048927E-2</v>
      </c>
      <c r="AE240" s="32">
        <v>1.1607704054891308</v>
      </c>
      <c r="AF240" s="32">
        <v>4.5236740607745016</v>
      </c>
      <c r="AG240" s="32">
        <v>6.7965231946133722</v>
      </c>
      <c r="AH240" s="32">
        <v>7.7092468014006954</v>
      </c>
      <c r="AI240" s="32">
        <v>6.6027304306008112</v>
      </c>
      <c r="AJ240" s="32">
        <v>3.4163760990262446</v>
      </c>
      <c r="AK240" s="32">
        <v>1.6123294422125054</v>
      </c>
      <c r="AL240" s="32">
        <v>0.34228086135571384</v>
      </c>
      <c r="AM240" s="26">
        <v>3.512834938716655E-3</v>
      </c>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c r="CH240" s="26"/>
      <c r="CI240" s="26"/>
      <c r="CJ240" s="26"/>
      <c r="CK240" s="26"/>
      <c r="CL240" s="26"/>
      <c r="CM240" s="26"/>
      <c r="CN240" s="26"/>
      <c r="CO240" s="26"/>
      <c r="CP240" s="26"/>
      <c r="CQ240" s="26"/>
      <c r="CR240" s="26"/>
      <c r="CS240" s="26"/>
      <c r="CT240" s="26"/>
      <c r="CU240" s="26"/>
      <c r="CV240" s="26"/>
      <c r="CW240" s="26"/>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row>
    <row r="241" spans="1:131">
      <c r="A241" s="7" t="s">
        <v>1291</v>
      </c>
      <c r="B241" s="7"/>
      <c r="C241" s="32">
        <v>68.27798844872909</v>
      </c>
      <c r="D241" s="32">
        <v>3.3866666666666667</v>
      </c>
      <c r="E241" s="32">
        <v>0.67733333333333334</v>
      </c>
      <c r="F241" s="32">
        <v>4.0640000000000001</v>
      </c>
      <c r="G241" s="32">
        <v>15.159181668026848</v>
      </c>
      <c r="H241" s="32">
        <v>32.980744678895199</v>
      </c>
      <c r="I241" s="32">
        <v>521.40727647143592</v>
      </c>
      <c r="J241" s="32">
        <v>2.9885904652578277</v>
      </c>
      <c r="K241" s="32">
        <v>16.185715897644169</v>
      </c>
      <c r="L241" s="30">
        <v>2.1756283024470173</v>
      </c>
      <c r="M241" s="32">
        <v>0.64864965858142765</v>
      </c>
      <c r="N241" s="32">
        <v>1.8160756509132974E-4</v>
      </c>
      <c r="O241" s="32">
        <v>0</v>
      </c>
      <c r="P241" s="32">
        <v>2.3919029160583815E-3</v>
      </c>
      <c r="Q241" s="32">
        <v>0.13169613053985824</v>
      </c>
      <c r="R241" s="32">
        <v>1.5863507733209261</v>
      </c>
      <c r="S241" s="32">
        <v>6.2834593237426457</v>
      </c>
      <c r="T241" s="32">
        <v>8.32765721220008</v>
      </c>
      <c r="U241" s="32">
        <v>8.0622012637165614</v>
      </c>
      <c r="V241" s="32">
        <v>8.1775705904885001</v>
      </c>
      <c r="W241" s="32">
        <v>3.844371616867361</v>
      </c>
      <c r="X241" s="32">
        <v>2.2106200483807465</v>
      </c>
      <c r="Y241" s="32">
        <v>0.62479599880461412</v>
      </c>
      <c r="Z241" s="32">
        <v>4.2813741335925434E-3</v>
      </c>
      <c r="AA241" s="32"/>
      <c r="AB241" s="32">
        <v>0</v>
      </c>
      <c r="AC241" s="32">
        <v>1.635770332766103E-3</v>
      </c>
      <c r="AD241" s="32">
        <v>4.856021178010464E-2</v>
      </c>
      <c r="AE241" s="32">
        <v>1.0454762891727987</v>
      </c>
      <c r="AF241" s="32">
        <v>4.0743578128121536</v>
      </c>
      <c r="AG241" s="32">
        <v>6.1214550398423127</v>
      </c>
      <c r="AH241" s="32">
        <v>6.9435219059098747</v>
      </c>
      <c r="AI241" s="32">
        <v>5.9469108415837288</v>
      </c>
      <c r="AJ241" s="32">
        <v>3.0770427894597505</v>
      </c>
      <c r="AK241" s="32">
        <v>1.4521839928009457</v>
      </c>
      <c r="AL241" s="32">
        <v>0.30828363911832324</v>
      </c>
      <c r="AM241" s="26">
        <v>3.1639208053882745E-3</v>
      </c>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c r="CP241" s="26"/>
      <c r="CQ241" s="26"/>
      <c r="CR241" s="26"/>
      <c r="CS241" s="26"/>
      <c r="CT241" s="26"/>
      <c r="CU241" s="26"/>
      <c r="CV241" s="26"/>
      <c r="CW241" s="26"/>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row>
    <row r="242" spans="1:131">
      <c r="A242" s="7" t="s">
        <v>1303</v>
      </c>
      <c r="B242" s="7"/>
      <c r="C242" s="32">
        <v>71.967111042948147</v>
      </c>
      <c r="D242" s="32">
        <v>5.2</v>
      </c>
      <c r="E242" s="32">
        <v>1.04</v>
      </c>
      <c r="F242" s="32">
        <v>6.24</v>
      </c>
      <c r="G242" s="32">
        <v>19.075110284249103</v>
      </c>
      <c r="H242" s="32">
        <v>34.762724686411772</v>
      </c>
      <c r="I242" s="32">
        <v>759.54695426607952</v>
      </c>
      <c r="J242" s="32">
        <v>4.4225263877984986</v>
      </c>
      <c r="K242" s="32">
        <v>19.352060572653851</v>
      </c>
      <c r="L242" s="30">
        <v>1.8224127760412692</v>
      </c>
      <c r="M242" s="32">
        <v>0.68369679698683283</v>
      </c>
      <c r="N242" s="32">
        <v>1.9141998907863894E-4</v>
      </c>
      <c r="O242" s="32">
        <v>0</v>
      </c>
      <c r="P242" s="32">
        <v>2.52113963335616E-3</v>
      </c>
      <c r="Q242" s="32">
        <v>0.13881179375408195</v>
      </c>
      <c r="R242" s="32">
        <v>1.672062766500245</v>
      </c>
      <c r="S242" s="32">
        <v>6.6229604175465715</v>
      </c>
      <c r="T242" s="32">
        <v>8.7776082004531677</v>
      </c>
      <c r="U242" s="32">
        <v>8.4978094226102883</v>
      </c>
      <c r="V242" s="32">
        <v>8.6194122603532453</v>
      </c>
      <c r="W242" s="32">
        <v>4.052086555672413</v>
      </c>
      <c r="X242" s="32">
        <v>2.3300618853914972</v>
      </c>
      <c r="Y242" s="32">
        <v>0.65855430200504561</v>
      </c>
      <c r="Z242" s="32">
        <v>4.5127007208191367E-3</v>
      </c>
      <c r="AA242" s="32"/>
      <c r="AB242" s="32">
        <v>0</v>
      </c>
      <c r="AC242" s="32">
        <v>1.7241525102535385E-3</v>
      </c>
      <c r="AD242" s="32">
        <v>5.11839647424897E-2</v>
      </c>
      <c r="AE242" s="32">
        <v>1.1019643358732936</v>
      </c>
      <c r="AF242" s="32">
        <v>4.2944991175822125</v>
      </c>
      <c r="AG242" s="32">
        <v>6.4522028929946655</v>
      </c>
      <c r="AH242" s="32">
        <v>7.3186867888908962</v>
      </c>
      <c r="AI242" s="32">
        <v>6.2682279109635175</v>
      </c>
      <c r="AJ242" s="32">
        <v>3.2432982450741004</v>
      </c>
      <c r="AK242" s="32">
        <v>1.5306468312723522</v>
      </c>
      <c r="AL242" s="32">
        <v>0.32494048804341263</v>
      </c>
      <c r="AM242" s="26">
        <v>3.334870360210651E-3</v>
      </c>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c r="CH242" s="26"/>
      <c r="CI242" s="26"/>
      <c r="CJ242" s="26"/>
      <c r="CK242" s="26"/>
      <c r="CL242" s="26"/>
      <c r="CM242" s="26"/>
      <c r="CN242" s="26"/>
      <c r="CO242" s="26"/>
      <c r="CP242" s="26"/>
      <c r="CQ242" s="26"/>
      <c r="CR242" s="26"/>
      <c r="CS242" s="26"/>
      <c r="CT242" s="26"/>
      <c r="CU242" s="26"/>
      <c r="CV242" s="26"/>
      <c r="CW242" s="26"/>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row>
    <row r="243" spans="1:131">
      <c r="A243" s="7" t="s">
        <v>1297</v>
      </c>
      <c r="B243" s="7"/>
      <c r="C243" s="32">
        <v>300.79245479872253</v>
      </c>
      <c r="D243" s="32">
        <v>21.866666666666667</v>
      </c>
      <c r="E243" s="32">
        <v>4.373333333333334</v>
      </c>
      <c r="F243" s="32">
        <v>26.240000000000002</v>
      </c>
      <c r="G243" s="32">
        <v>80.213284272226986</v>
      </c>
      <c r="H243" s="32">
        <v>145.29366459739987</v>
      </c>
      <c r="I243" s="32">
        <v>764.18938152492592</v>
      </c>
      <c r="J243" s="32">
        <v>4.4504803317858732</v>
      </c>
      <c r="K243" s="32">
        <v>19.471265328815996</v>
      </c>
      <c r="L243" s="30">
        <v>1.8113416738342714</v>
      </c>
      <c r="M243" s="32">
        <v>2.8575669486158244</v>
      </c>
      <c r="N243" s="32">
        <v>8.0005557508272865E-4</v>
      </c>
      <c r="O243" s="32">
        <v>0</v>
      </c>
      <c r="P243" s="32">
        <v>1.0537310282678887E-2</v>
      </c>
      <c r="Q243" s="32">
        <v>0.58017529942791279</v>
      </c>
      <c r="R243" s="32">
        <v>6.9885237412546379</v>
      </c>
      <c r="S243" s="32">
        <v>27.681207334274532</v>
      </c>
      <c r="T243" s="32">
        <v>36.686734810017299</v>
      </c>
      <c r="U243" s="32">
        <v>35.517292824402276</v>
      </c>
      <c r="V243" s="32">
        <v>36.025541877964628</v>
      </c>
      <c r="W243" s="32">
        <v>16.936028756388936</v>
      </c>
      <c r="X243" s="32">
        <v>9.738685132457098</v>
      </c>
      <c r="Y243" s="32">
        <v>2.752481824651027</v>
      </c>
      <c r="Z243" s="32">
        <v>1.8861203512491966E-2</v>
      </c>
      <c r="AA243" s="32"/>
      <c r="AB243" s="32">
        <v>0</v>
      </c>
      <c r="AC243" s="32">
        <v>7.2062371059614574E-3</v>
      </c>
      <c r="AD243" s="32">
        <v>0.21392758689503252</v>
      </c>
      <c r="AE243" s="32">
        <v>4.6057505002550894</v>
      </c>
      <c r="AF243" s="32">
        <v>17.949211980144877</v>
      </c>
      <c r="AG243" s="32">
        <v>26.967512227704685</v>
      </c>
      <c r="AH243" s="32">
        <v>30.589052877497469</v>
      </c>
      <c r="AI243" s="32">
        <v>26.19857367140116</v>
      </c>
      <c r="AJ243" s="32">
        <v>13.555631546721921</v>
      </c>
      <c r="AK243" s="32">
        <v>6.397464218530847</v>
      </c>
      <c r="AL243" s="32">
        <v>1.3581154731047145</v>
      </c>
      <c r="AM243" s="26">
        <v>1.3938364727252076E-2</v>
      </c>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c r="CH243" s="26"/>
      <c r="CI243" s="26"/>
      <c r="CJ243" s="26"/>
      <c r="CK243" s="26"/>
      <c r="CL243" s="26"/>
      <c r="CM243" s="26"/>
      <c r="CN243" s="26"/>
      <c r="CO243" s="26"/>
      <c r="CP243" s="26"/>
      <c r="CQ243" s="26"/>
      <c r="CR243" s="26"/>
      <c r="CS243" s="26"/>
      <c r="CT243" s="26"/>
      <c r="CU243" s="26"/>
      <c r="CV243" s="26"/>
      <c r="CW243" s="26"/>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row>
    <row r="244" spans="1:131">
      <c r="A244" s="7" t="s">
        <v>1326</v>
      </c>
      <c r="B244" s="7"/>
      <c r="C244" s="32">
        <v>16.648197676361288</v>
      </c>
      <c r="D244" s="32">
        <v>2.0750000000000002</v>
      </c>
      <c r="E244" s="32">
        <v>0.41500000000000004</v>
      </c>
      <c r="F244" s="32">
        <v>2.4900000000000002</v>
      </c>
      <c r="G244" s="32">
        <v>5.1037127736287227</v>
      </c>
      <c r="H244" s="32">
        <v>8.041683262830043</v>
      </c>
      <c r="I244" s="32">
        <v>1310.1958797000198</v>
      </c>
      <c r="J244" s="32">
        <v>7.7382076812326881</v>
      </c>
      <c r="K244" s="32">
        <v>22.406388933458576</v>
      </c>
      <c r="L244" s="30">
        <v>1.5756535721175455</v>
      </c>
      <c r="M244" s="32">
        <v>0.15816001590141862</v>
      </c>
      <c r="N244" s="32">
        <v>4.4281308103173689E-5</v>
      </c>
      <c r="O244" s="32">
        <v>0</v>
      </c>
      <c r="P244" s="32">
        <v>5.8321683860248737E-4</v>
      </c>
      <c r="Q244" s="32">
        <v>3.2111420741192789E-2</v>
      </c>
      <c r="R244" s="32">
        <v>0.38679934570900443</v>
      </c>
      <c r="S244" s="32">
        <v>1.5320936555064861</v>
      </c>
      <c r="T244" s="32">
        <v>2.0305297007071292</v>
      </c>
      <c r="U244" s="32">
        <v>1.9658036710579374</v>
      </c>
      <c r="V244" s="32">
        <v>1.993934133034424</v>
      </c>
      <c r="W244" s="32">
        <v>0.93737176611552331</v>
      </c>
      <c r="X244" s="32">
        <v>0.53901470135438734</v>
      </c>
      <c r="Y244" s="32">
        <v>0.15234378650902422</v>
      </c>
      <c r="Z244" s="32">
        <v>1.0439259345789271E-3</v>
      </c>
      <c r="AA244" s="32"/>
      <c r="AB244" s="32">
        <v>0</v>
      </c>
      <c r="AC244" s="32">
        <v>3.9884929933849377E-4</v>
      </c>
      <c r="AD244" s="32">
        <v>1.1840419193488971E-2</v>
      </c>
      <c r="AE244" s="32">
        <v>0.25491811231620121</v>
      </c>
      <c r="AF244" s="32">
        <v>0.99344921859932656</v>
      </c>
      <c r="AG244" s="32">
        <v>1.4925922084945347</v>
      </c>
      <c r="AH244" s="32">
        <v>1.6930364805128377</v>
      </c>
      <c r="AI244" s="32">
        <v>1.4500331586178246</v>
      </c>
      <c r="AJ244" s="32">
        <v>0.75027425062493336</v>
      </c>
      <c r="AK244" s="32">
        <v>0.35408550726054339</v>
      </c>
      <c r="AL244" s="32">
        <v>7.5168690247572806E-2</v>
      </c>
      <c r="AM244" s="26">
        <v>7.7145768639639331E-4</v>
      </c>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c r="CH244" s="26"/>
      <c r="CI244" s="26"/>
      <c r="CJ244" s="26"/>
      <c r="CK244" s="26"/>
      <c r="CL244" s="26"/>
      <c r="CM244" s="26"/>
      <c r="CN244" s="26"/>
      <c r="CO244" s="26"/>
      <c r="CP244" s="26"/>
      <c r="CQ244" s="26"/>
      <c r="CR244" s="26"/>
      <c r="CS244" s="26"/>
      <c r="CT244" s="26"/>
      <c r="CU244" s="26"/>
      <c r="CV244" s="26"/>
      <c r="CW244" s="26"/>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row>
    <row r="245" spans="1:131">
      <c r="A245" s="7" t="s">
        <v>1339</v>
      </c>
      <c r="B245" s="7"/>
      <c r="C245" s="32">
        <v>16.648197676361288</v>
      </c>
      <c r="D245" s="32">
        <v>2.0750000000000002</v>
      </c>
      <c r="E245" s="32">
        <v>0.41500000000000004</v>
      </c>
      <c r="F245" s="32">
        <v>2.4900000000000002</v>
      </c>
      <c r="G245" s="32">
        <v>5.1037127736287227</v>
      </c>
      <c r="H245" s="32">
        <v>8.041683262830043</v>
      </c>
      <c r="I245" s="32">
        <v>1310.1958797000198</v>
      </c>
      <c r="J245" s="32">
        <v>7.7382076812326881</v>
      </c>
      <c r="K245" s="32">
        <v>22.406388933458576</v>
      </c>
      <c r="L245" s="30">
        <v>1.5756535721175455</v>
      </c>
      <c r="M245" s="32">
        <v>0.15816001590141862</v>
      </c>
      <c r="N245" s="32">
        <v>4.4281308103173689E-5</v>
      </c>
      <c r="O245" s="32">
        <v>0</v>
      </c>
      <c r="P245" s="32">
        <v>5.8321683860248737E-4</v>
      </c>
      <c r="Q245" s="32">
        <v>3.2111420741192789E-2</v>
      </c>
      <c r="R245" s="32">
        <v>0.38679934570900443</v>
      </c>
      <c r="S245" s="32">
        <v>1.5320936555064861</v>
      </c>
      <c r="T245" s="32">
        <v>2.0305297007071292</v>
      </c>
      <c r="U245" s="32">
        <v>1.9658036710579374</v>
      </c>
      <c r="V245" s="32">
        <v>1.993934133034424</v>
      </c>
      <c r="W245" s="32">
        <v>0.93737176611552331</v>
      </c>
      <c r="X245" s="32">
        <v>0.53901470135438734</v>
      </c>
      <c r="Y245" s="32">
        <v>0.15234378650902422</v>
      </c>
      <c r="Z245" s="32">
        <v>1.0439259345789271E-3</v>
      </c>
      <c r="AA245" s="32"/>
      <c r="AB245" s="32">
        <v>0</v>
      </c>
      <c r="AC245" s="32">
        <v>3.9884929933849377E-4</v>
      </c>
      <c r="AD245" s="32">
        <v>1.1840419193488971E-2</v>
      </c>
      <c r="AE245" s="32">
        <v>0.25491811231620121</v>
      </c>
      <c r="AF245" s="32">
        <v>0.99344921859932656</v>
      </c>
      <c r="AG245" s="32">
        <v>1.4925922084945347</v>
      </c>
      <c r="AH245" s="32">
        <v>1.6930364805128377</v>
      </c>
      <c r="AI245" s="32">
        <v>1.4500331586178246</v>
      </c>
      <c r="AJ245" s="32">
        <v>0.75027425062493336</v>
      </c>
      <c r="AK245" s="32">
        <v>0.35408550726054339</v>
      </c>
      <c r="AL245" s="32">
        <v>7.5168690247572806E-2</v>
      </c>
      <c r="AM245" s="26">
        <v>7.7145768639639331E-4</v>
      </c>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c r="CP245" s="26"/>
      <c r="CQ245" s="26"/>
      <c r="CR245" s="26"/>
      <c r="CS245" s="26"/>
      <c r="CT245" s="26"/>
      <c r="CU245" s="26"/>
      <c r="CV245" s="26"/>
      <c r="CW245" s="26"/>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row>
    <row r="246" spans="1:131">
      <c r="A246" s="7" t="s">
        <v>1320</v>
      </c>
      <c r="B246" s="7"/>
      <c r="C246" s="32">
        <v>198.409703845281</v>
      </c>
      <c r="D246" s="32">
        <v>28.8</v>
      </c>
      <c r="E246" s="32">
        <v>5.7600000000000007</v>
      </c>
      <c r="F246" s="32">
        <v>34.56</v>
      </c>
      <c r="G246" s="32">
        <v>70.837073677352876</v>
      </c>
      <c r="H246" s="32">
        <v>95.839082741141112</v>
      </c>
      <c r="I246" s="32">
        <v>1525.8608532377009</v>
      </c>
      <c r="J246" s="32">
        <v>9.0368142622667875</v>
      </c>
      <c r="K246" s="32">
        <v>26.119453513193985</v>
      </c>
      <c r="L246" s="30">
        <v>1.3529509022022399</v>
      </c>
      <c r="M246" s="32">
        <v>1.8849176664764418</v>
      </c>
      <c r="N246" s="32">
        <v>5.2773527786177817E-4</v>
      </c>
      <c r="O246" s="32">
        <v>0</v>
      </c>
      <c r="P246" s="32">
        <v>6.9506551083908076E-3</v>
      </c>
      <c r="Q246" s="32">
        <v>0.38269713053430049</v>
      </c>
      <c r="R246" s="32">
        <v>4.6097929110153224</v>
      </c>
      <c r="S246" s="32">
        <v>18.25916861162089</v>
      </c>
      <c r="T246" s="32">
        <v>24.199424129759809</v>
      </c>
      <c r="U246" s="32">
        <v>23.428032978391411</v>
      </c>
      <c r="V246" s="32">
        <v>23.763285883137407</v>
      </c>
      <c r="W246" s="32">
        <v>11.171398737773666</v>
      </c>
      <c r="X246" s="32">
        <v>6.4238633720590927</v>
      </c>
      <c r="Y246" s="32">
        <v>1.81560107295234</v>
      </c>
      <c r="Z246" s="32">
        <v>1.2441288813521786E-2</v>
      </c>
      <c r="AA246" s="32"/>
      <c r="AB246" s="32">
        <v>0</v>
      </c>
      <c r="AC246" s="32">
        <v>4.7534017134486977E-3</v>
      </c>
      <c r="AD246" s="32">
        <v>0.14111161527832075</v>
      </c>
      <c r="AE246" s="32">
        <v>3.038060224457293</v>
      </c>
      <c r="AF246" s="32">
        <v>11.839717973044847</v>
      </c>
      <c r="AG246" s="32">
        <v>17.788398708748478</v>
      </c>
      <c r="AH246" s="32">
        <v>20.177251209286947</v>
      </c>
      <c r="AI246" s="32">
        <v>17.281188940692658</v>
      </c>
      <c r="AJ246" s="32">
        <v>8.9416100627277686</v>
      </c>
      <c r="AK246" s="32">
        <v>4.2199162934750518</v>
      </c>
      <c r="AL246" s="32">
        <v>0.89584457491366731</v>
      </c>
      <c r="AM246" s="26">
        <v>9.194069776358435E-3</v>
      </c>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c r="CH246" s="26"/>
      <c r="CI246" s="26"/>
      <c r="CJ246" s="26"/>
      <c r="CK246" s="26"/>
      <c r="CL246" s="26"/>
      <c r="CM246" s="26"/>
      <c r="CN246" s="26"/>
      <c r="CO246" s="26"/>
      <c r="CP246" s="26"/>
      <c r="CQ246" s="26"/>
      <c r="CR246" s="26"/>
      <c r="CS246" s="26"/>
      <c r="CT246" s="26"/>
      <c r="CU246" s="26"/>
      <c r="CV246" s="26"/>
      <c r="CW246" s="26"/>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row>
    <row r="247" spans="1:131">
      <c r="A247" s="7" t="s">
        <v>1333</v>
      </c>
      <c r="B247" s="7"/>
      <c r="C247" s="32">
        <v>198.409703845281</v>
      </c>
      <c r="D247" s="32">
        <v>28.8</v>
      </c>
      <c r="E247" s="32">
        <v>5.7600000000000007</v>
      </c>
      <c r="F247" s="32">
        <v>34.56</v>
      </c>
      <c r="G247" s="32">
        <v>70.837073677352876</v>
      </c>
      <c r="H247" s="32">
        <v>95.839082741141112</v>
      </c>
      <c r="I247" s="32">
        <v>1525.8608532377009</v>
      </c>
      <c r="J247" s="32">
        <v>9.0368142622667875</v>
      </c>
      <c r="K247" s="32">
        <v>26.119453513193985</v>
      </c>
      <c r="L247" s="30">
        <v>1.3529509022022399</v>
      </c>
      <c r="M247" s="32">
        <v>1.8849176664764418</v>
      </c>
      <c r="N247" s="32">
        <v>5.2773527786177817E-4</v>
      </c>
      <c r="O247" s="32">
        <v>0</v>
      </c>
      <c r="P247" s="32">
        <v>6.9506551083908076E-3</v>
      </c>
      <c r="Q247" s="32">
        <v>0.38269713053430049</v>
      </c>
      <c r="R247" s="32">
        <v>4.6097929110153224</v>
      </c>
      <c r="S247" s="32">
        <v>18.25916861162089</v>
      </c>
      <c r="T247" s="32">
        <v>24.199424129759809</v>
      </c>
      <c r="U247" s="32">
        <v>23.428032978391411</v>
      </c>
      <c r="V247" s="32">
        <v>23.763285883137407</v>
      </c>
      <c r="W247" s="32">
        <v>11.171398737773666</v>
      </c>
      <c r="X247" s="32">
        <v>6.4238633720590927</v>
      </c>
      <c r="Y247" s="32">
        <v>1.81560107295234</v>
      </c>
      <c r="Z247" s="32">
        <v>1.2441288813521786E-2</v>
      </c>
      <c r="AA247" s="32"/>
      <c r="AB247" s="32">
        <v>0</v>
      </c>
      <c r="AC247" s="32">
        <v>4.7534017134486977E-3</v>
      </c>
      <c r="AD247" s="32">
        <v>0.14111161527832075</v>
      </c>
      <c r="AE247" s="32">
        <v>3.038060224457293</v>
      </c>
      <c r="AF247" s="32">
        <v>11.839717973044847</v>
      </c>
      <c r="AG247" s="32">
        <v>17.788398708748478</v>
      </c>
      <c r="AH247" s="32">
        <v>20.177251209286947</v>
      </c>
      <c r="AI247" s="32">
        <v>17.281188940692658</v>
      </c>
      <c r="AJ247" s="32">
        <v>8.9416100627277686</v>
      </c>
      <c r="AK247" s="32">
        <v>4.2199162934750518</v>
      </c>
      <c r="AL247" s="32">
        <v>0.89584457491366731</v>
      </c>
      <c r="AM247" s="26">
        <v>9.194069776358435E-3</v>
      </c>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6"/>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row>
    <row r="248" spans="1:131">
      <c r="A248" s="7" t="s">
        <v>1311</v>
      </c>
      <c r="B248" s="7"/>
      <c r="C248" s="32">
        <v>12.827549704832846</v>
      </c>
      <c r="D248" s="32">
        <v>2.0750000000000002</v>
      </c>
      <c r="E248" s="32">
        <v>0.41500000000000004</v>
      </c>
      <c r="F248" s="32">
        <v>2.4900000000000002</v>
      </c>
      <c r="G248" s="32">
        <v>5.1037127736287227</v>
      </c>
      <c r="H248" s="32">
        <v>6.1961717280029855</v>
      </c>
      <c r="I248" s="32">
        <v>1700.4338709973633</v>
      </c>
      <c r="J248" s="32">
        <v>10.087989453188879</v>
      </c>
      <c r="K248" s="32">
        <v>29.125045372586339</v>
      </c>
      <c r="L248" s="30">
        <v>1.2140518095021104</v>
      </c>
      <c r="M248" s="32">
        <v>0.12186336952097195</v>
      </c>
      <c r="N248" s="32">
        <v>3.4119049504980847E-5</v>
      </c>
      <c r="O248" s="32">
        <v>0</v>
      </c>
      <c r="P248" s="32">
        <v>4.493725465845153E-4</v>
      </c>
      <c r="Q248" s="32">
        <v>2.4742068400312272E-2</v>
      </c>
      <c r="R248" s="32">
        <v>0.29803153045954989</v>
      </c>
      <c r="S248" s="32">
        <v>1.1804885970553876</v>
      </c>
      <c r="T248" s="32">
        <v>1.5645369648597878</v>
      </c>
      <c r="U248" s="32">
        <v>1.5146651181492936</v>
      </c>
      <c r="V248" s="32">
        <v>1.5363398307060561</v>
      </c>
      <c r="W248" s="32">
        <v>0.72225133047446421</v>
      </c>
      <c r="X248" s="32">
        <v>0.41531449876262194</v>
      </c>
      <c r="Y248" s="32">
        <v>0.11738192515828359</v>
      </c>
      <c r="Z248" s="32">
        <v>8.0435204304362112E-4</v>
      </c>
      <c r="AA248" s="32"/>
      <c r="AB248" s="32">
        <v>0</v>
      </c>
      <c r="AC248" s="32">
        <v>3.0731610180643391E-4</v>
      </c>
      <c r="AD248" s="32">
        <v>9.1231236367523127E-3</v>
      </c>
      <c r="AE248" s="32">
        <v>0.19641614185307621</v>
      </c>
      <c r="AF248" s="32">
        <v>0.76545938957132198</v>
      </c>
      <c r="AG248" s="32">
        <v>1.1500524630780682</v>
      </c>
      <c r="AH248" s="32">
        <v>1.3044961399461454</v>
      </c>
      <c r="AI248" s="32">
        <v>1.1172604252673255</v>
      </c>
      <c r="AJ248" s="32">
        <v>0.57809142041921358</v>
      </c>
      <c r="AK248" s="32">
        <v>0.27282529511256404</v>
      </c>
      <c r="AL248" s="32">
        <v>5.7917987829218941E-2</v>
      </c>
      <c r="AM248" s="26">
        <v>5.9441340196700397E-4</v>
      </c>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c r="CH248" s="26"/>
      <c r="CI248" s="26"/>
      <c r="CJ248" s="26"/>
      <c r="CK248" s="26"/>
      <c r="CL248" s="26"/>
      <c r="CM248" s="26"/>
      <c r="CN248" s="26"/>
      <c r="CO248" s="26"/>
      <c r="CP248" s="26"/>
      <c r="CQ248" s="26"/>
      <c r="CR248" s="26"/>
      <c r="CS248" s="26"/>
      <c r="CT248" s="26"/>
      <c r="CU248" s="26"/>
      <c r="CV248" s="26"/>
      <c r="CW248" s="26"/>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row>
    <row r="249" spans="1:131">
      <c r="A249" s="7" t="s">
        <v>1546</v>
      </c>
      <c r="B249" s="7"/>
      <c r="C249" s="32">
        <v>54.224211982249763</v>
      </c>
      <c r="D249" s="32">
        <v>6.2666666666666666</v>
      </c>
      <c r="E249" s="32">
        <v>1.2533333333333334</v>
      </c>
      <c r="F249" s="32">
        <v>7.52</v>
      </c>
      <c r="G249" s="32">
        <v>22.987953419479691</v>
      </c>
      <c r="H249" s="32">
        <v>26.192260953085462</v>
      </c>
      <c r="I249" s="32">
        <v>1214.8668941756898</v>
      </c>
      <c r="J249" s="32">
        <v>7.1641930606175803</v>
      </c>
      <c r="K249" s="32">
        <v>31.043423600315389</v>
      </c>
      <c r="L249" s="30">
        <v>1.1393907267486667</v>
      </c>
      <c r="M249" s="32">
        <v>0.5151369773517106</v>
      </c>
      <c r="N249" s="32">
        <v>1.4422696583229208E-4</v>
      </c>
      <c r="O249" s="32">
        <v>0</v>
      </c>
      <c r="P249" s="32">
        <v>1.8995734014440667E-3</v>
      </c>
      <c r="Q249" s="32">
        <v>0.10458888818901976</v>
      </c>
      <c r="R249" s="32">
        <v>1.2598294496527578</v>
      </c>
      <c r="S249" s="32">
        <v>4.9901240223020507</v>
      </c>
      <c r="T249" s="32">
        <v>6.6135611234202001</v>
      </c>
      <c r="U249" s="32">
        <v>6.4027444319863518</v>
      </c>
      <c r="V249" s="32">
        <v>6.4943670906683471</v>
      </c>
      <c r="W249" s="32">
        <v>3.053077957152972</v>
      </c>
      <c r="X249" s="32">
        <v>1.7556042999951622</v>
      </c>
      <c r="Y249" s="32">
        <v>0.49619315762770511</v>
      </c>
      <c r="Z249" s="32">
        <v>3.4001314899540546E-3</v>
      </c>
      <c r="AA249" s="32"/>
      <c r="AB249" s="32">
        <v>0</v>
      </c>
      <c r="AC249" s="32">
        <v>1.2990768956936869E-3</v>
      </c>
      <c r="AD249" s="32">
        <v>3.8564979392218E-2</v>
      </c>
      <c r="AE249" s="32">
        <v>0.83028409615627596</v>
      </c>
      <c r="AF249" s="32">
        <v>3.2357256965670613</v>
      </c>
      <c r="AG249" s="32">
        <v>4.8614653603843712</v>
      </c>
      <c r="AH249" s="32">
        <v>5.5143247814363532</v>
      </c>
      <c r="AI249" s="32">
        <v>4.7228478963717579</v>
      </c>
      <c r="AJ249" s="32">
        <v>2.4436897495802592</v>
      </c>
      <c r="AK249" s="32">
        <v>1.1532784496426396</v>
      </c>
      <c r="AL249" s="32">
        <v>0.24482908442394952</v>
      </c>
      <c r="AM249" s="26">
        <v>2.5126855132126783E-3</v>
      </c>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c r="CH249" s="26"/>
      <c r="CI249" s="26"/>
      <c r="CJ249" s="26"/>
      <c r="CK249" s="26"/>
      <c r="CL249" s="26"/>
      <c r="CM249" s="26"/>
      <c r="CN249" s="26"/>
      <c r="CO249" s="26"/>
      <c r="CP249" s="26"/>
      <c r="CQ249" s="26"/>
      <c r="CR249" s="26"/>
      <c r="CS249" s="26"/>
      <c r="CT249" s="26"/>
      <c r="CU249" s="26"/>
      <c r="CV249" s="26"/>
      <c r="CW249" s="26"/>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row>
    <row r="250" spans="1:131">
      <c r="A250" s="7" t="s">
        <v>1299</v>
      </c>
      <c r="B250" s="7"/>
      <c r="C250" s="32">
        <v>144.40583318509411</v>
      </c>
      <c r="D250" s="32">
        <v>28.8</v>
      </c>
      <c r="E250" s="32">
        <v>5.7600000000000007</v>
      </c>
      <c r="F250" s="32">
        <v>34.56</v>
      </c>
      <c r="G250" s="32">
        <v>70.837073677352876</v>
      </c>
      <c r="H250" s="32">
        <v>69.753254637796374</v>
      </c>
      <c r="I250" s="32">
        <v>2096.4914873760799</v>
      </c>
      <c r="J250" s="32">
        <v>12.472813556339858</v>
      </c>
      <c r="K250" s="32">
        <v>35.943897237065414</v>
      </c>
      <c r="L250" s="742">
        <v>0.98469983324702182</v>
      </c>
      <c r="M250" s="32">
        <v>1.3718739599807517</v>
      </c>
      <c r="N250" s="32">
        <v>3.8409438159448049E-4</v>
      </c>
      <c r="O250" s="32">
        <v>0</v>
      </c>
      <c r="P250" s="32">
        <v>5.0588006667864286E-3</v>
      </c>
      <c r="Q250" s="32">
        <v>0.27853324167775972</v>
      </c>
      <c r="R250" s="32">
        <v>3.3550828070637264</v>
      </c>
      <c r="S250" s="32">
        <v>13.289322072091512</v>
      </c>
      <c r="T250" s="32">
        <v>17.612737362797848</v>
      </c>
      <c r="U250" s="32">
        <v>17.051306244429629</v>
      </c>
      <c r="V250" s="32">
        <v>17.295308801256791</v>
      </c>
      <c r="W250" s="32">
        <v>8.1307270325300873</v>
      </c>
      <c r="X250" s="32">
        <v>4.6753930101764256</v>
      </c>
      <c r="Y250" s="32">
        <v>1.3214242075371623</v>
      </c>
      <c r="Z250" s="32">
        <v>9.0549738354227926E-3</v>
      </c>
      <c r="AA250" s="32"/>
      <c r="AB250" s="32">
        <v>0</v>
      </c>
      <c r="AC250" s="32">
        <v>3.459603646348263E-3</v>
      </c>
      <c r="AD250" s="32">
        <v>0.10270334555940128</v>
      </c>
      <c r="AE250" s="32">
        <v>2.2111500066617524</v>
      </c>
      <c r="AF250" s="32">
        <v>8.6171407216418707</v>
      </c>
      <c r="AG250" s="32">
        <v>12.9466880237298</v>
      </c>
      <c r="AH250" s="32">
        <v>14.685334012363274</v>
      </c>
      <c r="AI250" s="32">
        <v>12.57753244446018</v>
      </c>
      <c r="AJ250" s="32">
        <v>6.5078503021773226</v>
      </c>
      <c r="AK250" s="32">
        <v>3.0713242171149617</v>
      </c>
      <c r="AL250" s="32">
        <v>0.65201035905800742</v>
      </c>
      <c r="AM250" s="26">
        <v>6.6915946180346525E-3</v>
      </c>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26"/>
      <c r="CT250" s="26"/>
      <c r="CU250" s="26"/>
      <c r="CV250" s="26"/>
      <c r="CW250" s="26"/>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row>
    <row r="251" spans="1:131">
      <c r="A251" s="7" t="s">
        <v>1315</v>
      </c>
      <c r="B251" s="7"/>
      <c r="C251" s="32">
        <v>75.807619128618981</v>
      </c>
      <c r="D251" s="32">
        <v>9.0666666666666664</v>
      </c>
      <c r="E251" s="32">
        <v>1.8133333333333335</v>
      </c>
      <c r="F251" s="32">
        <v>10.879999999999999</v>
      </c>
      <c r="G251" s="32">
        <v>40.583635961646671</v>
      </c>
      <c r="H251" s="32">
        <v>36.617829376642312</v>
      </c>
      <c r="I251" s="32">
        <v>1257.2456580953208</v>
      </c>
      <c r="J251" s="32">
        <v>7.4193728462794768</v>
      </c>
      <c r="K251" s="32">
        <v>39.241001346540749</v>
      </c>
      <c r="L251" s="742">
        <v>0.90228064856603241</v>
      </c>
      <c r="M251" s="32">
        <v>0.72018211700208545</v>
      </c>
      <c r="N251" s="32">
        <v>2.0163507212368184E-4</v>
      </c>
      <c r="O251" s="32">
        <v>0</v>
      </c>
      <c r="P251" s="32">
        <v>2.6556796615258517E-3</v>
      </c>
      <c r="Q251" s="32">
        <v>0.14621945273292966</v>
      </c>
      <c r="R251" s="32">
        <v>1.7612920058212611</v>
      </c>
      <c r="S251" s="32">
        <v>6.9763931546129001</v>
      </c>
      <c r="T251" s="32">
        <v>9.2460232136190239</v>
      </c>
      <c r="U251" s="32">
        <v>8.9512930392938657</v>
      </c>
      <c r="V251" s="32">
        <v>9.0793851840942317</v>
      </c>
      <c r="W251" s="32">
        <v>4.2683252090707819</v>
      </c>
      <c r="X251" s="32">
        <v>2.4544050941333233</v>
      </c>
      <c r="Y251" s="32">
        <v>0.69369789864315923</v>
      </c>
      <c r="Z251" s="32">
        <v>4.753519941645936E-3</v>
      </c>
      <c r="AA251" s="32"/>
      <c r="AB251" s="32">
        <v>0</v>
      </c>
      <c r="AC251" s="32">
        <v>1.8161615065936413E-3</v>
      </c>
      <c r="AD251" s="32">
        <v>5.3915385076048927E-2</v>
      </c>
      <c r="AE251" s="32">
        <v>1.1607704054891308</v>
      </c>
      <c r="AF251" s="32">
        <v>4.5236740607745016</v>
      </c>
      <c r="AG251" s="32">
        <v>6.7965231946133722</v>
      </c>
      <c r="AH251" s="32">
        <v>7.7092468014006954</v>
      </c>
      <c r="AI251" s="32">
        <v>6.6027304306008112</v>
      </c>
      <c r="AJ251" s="32">
        <v>3.4163760990262446</v>
      </c>
      <c r="AK251" s="32">
        <v>1.6123294422125054</v>
      </c>
      <c r="AL251" s="32">
        <v>0.34228086135571384</v>
      </c>
      <c r="AM251" s="26">
        <v>3.512834938716655E-3</v>
      </c>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c r="CH251" s="26"/>
      <c r="CI251" s="26"/>
      <c r="CJ251" s="26"/>
      <c r="CK251" s="26"/>
      <c r="CL251" s="26"/>
      <c r="CM251" s="26"/>
      <c r="CN251" s="26"/>
      <c r="CO251" s="26"/>
      <c r="CP251" s="26"/>
      <c r="CQ251" s="26"/>
      <c r="CR251" s="26"/>
      <c r="CS251" s="26"/>
      <c r="CT251" s="26"/>
      <c r="CU251" s="26"/>
      <c r="CV251" s="26"/>
      <c r="CW251" s="26"/>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row>
    <row r="252" spans="1:131">
      <c r="A252" s="7" t="s">
        <v>1328</v>
      </c>
      <c r="B252" s="7"/>
      <c r="C252" s="32">
        <v>75.807619128618981</v>
      </c>
      <c r="D252" s="32">
        <v>9.0666666666666664</v>
      </c>
      <c r="E252" s="32">
        <v>1.8133333333333335</v>
      </c>
      <c r="F252" s="32">
        <v>10.879999999999999</v>
      </c>
      <c r="G252" s="32">
        <v>40.583635961646671</v>
      </c>
      <c r="H252" s="32">
        <v>36.617829376642312</v>
      </c>
      <c r="I252" s="32">
        <v>1257.2456580953208</v>
      </c>
      <c r="J252" s="32">
        <v>7.4193728462794768</v>
      </c>
      <c r="K252" s="32">
        <v>39.241001346540749</v>
      </c>
      <c r="L252" s="742">
        <v>0.90228064856603241</v>
      </c>
      <c r="M252" s="32">
        <v>0.72018211700208545</v>
      </c>
      <c r="N252" s="32">
        <v>2.0163507212368184E-4</v>
      </c>
      <c r="O252" s="32">
        <v>0</v>
      </c>
      <c r="P252" s="32">
        <v>2.6556796615258517E-3</v>
      </c>
      <c r="Q252" s="32">
        <v>0.14621945273292966</v>
      </c>
      <c r="R252" s="32">
        <v>1.7612920058212611</v>
      </c>
      <c r="S252" s="32">
        <v>6.9763931546129001</v>
      </c>
      <c r="T252" s="32">
        <v>9.2460232136190239</v>
      </c>
      <c r="U252" s="32">
        <v>8.9512930392938657</v>
      </c>
      <c r="V252" s="32">
        <v>9.0793851840942317</v>
      </c>
      <c r="W252" s="32">
        <v>4.2683252090707819</v>
      </c>
      <c r="X252" s="32">
        <v>2.4544050941333233</v>
      </c>
      <c r="Y252" s="32">
        <v>0.69369789864315923</v>
      </c>
      <c r="Z252" s="32">
        <v>4.753519941645936E-3</v>
      </c>
      <c r="AA252" s="32"/>
      <c r="AB252" s="32">
        <v>0</v>
      </c>
      <c r="AC252" s="32">
        <v>1.8161615065936413E-3</v>
      </c>
      <c r="AD252" s="32">
        <v>5.3915385076048927E-2</v>
      </c>
      <c r="AE252" s="32">
        <v>1.1607704054891308</v>
      </c>
      <c r="AF252" s="32">
        <v>4.5236740607745016</v>
      </c>
      <c r="AG252" s="32">
        <v>6.7965231946133722</v>
      </c>
      <c r="AH252" s="32">
        <v>7.7092468014006954</v>
      </c>
      <c r="AI252" s="32">
        <v>6.6027304306008112</v>
      </c>
      <c r="AJ252" s="32">
        <v>3.4163760990262446</v>
      </c>
      <c r="AK252" s="32">
        <v>1.6123294422125054</v>
      </c>
      <c r="AL252" s="32">
        <v>0.34228086135571384</v>
      </c>
      <c r="AM252" s="26">
        <v>3.512834938716655E-3</v>
      </c>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c r="CH252" s="26"/>
      <c r="CI252" s="26"/>
      <c r="CJ252" s="26"/>
      <c r="CK252" s="26"/>
      <c r="CL252" s="26"/>
      <c r="CM252" s="26"/>
      <c r="CN252" s="26"/>
      <c r="CO252" s="26"/>
      <c r="CP252" s="26"/>
      <c r="CQ252" s="26"/>
      <c r="CR252" s="26"/>
      <c r="CS252" s="26"/>
      <c r="CT252" s="26"/>
      <c r="CU252" s="26"/>
      <c r="CV252" s="26"/>
      <c r="CW252" s="26"/>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row>
    <row r="253" spans="1:131">
      <c r="A253" s="7" t="s">
        <v>1289</v>
      </c>
      <c r="B253" s="7"/>
      <c r="C253" s="32">
        <v>68.27798844872909</v>
      </c>
      <c r="D253" s="32">
        <v>9.0666666666666664</v>
      </c>
      <c r="E253" s="32">
        <v>1.8133333333333335</v>
      </c>
      <c r="F253" s="32">
        <v>10.879999999999999</v>
      </c>
      <c r="G253" s="32">
        <v>40.583635961646671</v>
      </c>
      <c r="H253" s="32">
        <v>32.980744678895199</v>
      </c>
      <c r="I253" s="32">
        <v>1395.8934960652616</v>
      </c>
      <c r="J253" s="32">
        <v>8.2542279081862091</v>
      </c>
      <c r="K253" s="32">
        <v>43.585114892527585</v>
      </c>
      <c r="L253" s="742">
        <v>0.81266116003168021</v>
      </c>
      <c r="M253" s="32">
        <v>0.64864965858142765</v>
      </c>
      <c r="N253" s="32">
        <v>1.8160756509132974E-4</v>
      </c>
      <c r="O253" s="32">
        <v>0</v>
      </c>
      <c r="P253" s="32">
        <v>2.3919029160583815E-3</v>
      </c>
      <c r="Q253" s="32">
        <v>0.13169613053985824</v>
      </c>
      <c r="R253" s="32">
        <v>1.5863507733209261</v>
      </c>
      <c r="S253" s="32">
        <v>6.2834593237426457</v>
      </c>
      <c r="T253" s="32">
        <v>8.32765721220008</v>
      </c>
      <c r="U253" s="32">
        <v>8.0622012637165614</v>
      </c>
      <c r="V253" s="32">
        <v>8.1775705904885001</v>
      </c>
      <c r="W253" s="32">
        <v>3.844371616867361</v>
      </c>
      <c r="X253" s="32">
        <v>2.2106200483807465</v>
      </c>
      <c r="Y253" s="32">
        <v>0.62479599880461412</v>
      </c>
      <c r="Z253" s="32">
        <v>4.2813741335925434E-3</v>
      </c>
      <c r="AA253" s="32"/>
      <c r="AB253" s="32">
        <v>0</v>
      </c>
      <c r="AC253" s="32">
        <v>1.635770332766103E-3</v>
      </c>
      <c r="AD253" s="32">
        <v>4.856021178010464E-2</v>
      </c>
      <c r="AE253" s="32">
        <v>1.0454762891727987</v>
      </c>
      <c r="AF253" s="32">
        <v>4.0743578128121536</v>
      </c>
      <c r="AG253" s="32">
        <v>6.1214550398423127</v>
      </c>
      <c r="AH253" s="32">
        <v>6.9435219059098747</v>
      </c>
      <c r="AI253" s="32">
        <v>5.9469108415837288</v>
      </c>
      <c r="AJ253" s="32">
        <v>3.0770427894597505</v>
      </c>
      <c r="AK253" s="32">
        <v>1.4521839928009457</v>
      </c>
      <c r="AL253" s="32">
        <v>0.30828363911832324</v>
      </c>
      <c r="AM253" s="26">
        <v>3.1639208053882745E-3</v>
      </c>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c r="CH253" s="26"/>
      <c r="CI253" s="26"/>
      <c r="CJ253" s="26"/>
      <c r="CK253" s="26"/>
      <c r="CL253" s="26"/>
      <c r="CM253" s="26"/>
      <c r="CN253" s="26"/>
      <c r="CO253" s="26"/>
      <c r="CP253" s="26"/>
      <c r="CQ253" s="26"/>
      <c r="CR253" s="26"/>
      <c r="CS253" s="26"/>
      <c r="CT253" s="26"/>
      <c r="CU253" s="26"/>
      <c r="CV253" s="26"/>
      <c r="CW253" s="26"/>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row>
    <row r="254" spans="1:131">
      <c r="A254" s="7" t="s">
        <v>1324</v>
      </c>
      <c r="B254" s="7"/>
      <c r="C254" s="32">
        <v>10.003962157933968</v>
      </c>
      <c r="D254" s="32">
        <v>3.9583333333333335</v>
      </c>
      <c r="E254" s="32">
        <v>0.79166666666666674</v>
      </c>
      <c r="F254" s="32">
        <v>4.75</v>
      </c>
      <c r="G254" s="32">
        <v>6.0526841362108934</v>
      </c>
      <c r="H254" s="32">
        <v>4.8322765389596256</v>
      </c>
      <c r="I254" s="32">
        <v>4159.3519990476807</v>
      </c>
      <c r="J254" s="32">
        <v>24.894136278659708</v>
      </c>
      <c r="K254" s="32">
        <v>44.368055175717714</v>
      </c>
      <c r="L254" s="742">
        <v>0.79836919128985506</v>
      </c>
      <c r="M254" s="32">
        <v>9.5038925217870746E-2</v>
      </c>
      <c r="N254" s="32">
        <v>2.6608798092117926E-5</v>
      </c>
      <c r="O254" s="32">
        <v>0</v>
      </c>
      <c r="P254" s="32">
        <v>3.5045710632890432E-4</v>
      </c>
      <c r="Q254" s="32">
        <v>1.929586878875892E-2</v>
      </c>
      <c r="R254" s="32">
        <v>0.232429124906465</v>
      </c>
      <c r="S254" s="32">
        <v>0.920640615281759</v>
      </c>
      <c r="T254" s="32">
        <v>1.2201526364188924</v>
      </c>
      <c r="U254" s="32">
        <v>1.1812585312531882</v>
      </c>
      <c r="V254" s="32">
        <v>1.1981622275312276</v>
      </c>
      <c r="W254" s="32">
        <v>0.56327008234953879</v>
      </c>
      <c r="X254" s="32">
        <v>0.32389588228975985</v>
      </c>
      <c r="Y254" s="32">
        <v>9.1543931953464858E-2</v>
      </c>
      <c r="Z254" s="32">
        <v>6.2729886731474681E-4</v>
      </c>
      <c r="AA254" s="32"/>
      <c r="AB254" s="32">
        <v>0</v>
      </c>
      <c r="AC254" s="32">
        <v>2.3966998559647439E-4</v>
      </c>
      <c r="AD254" s="32">
        <v>7.1149506900634023E-3</v>
      </c>
      <c r="AE254" s="32">
        <v>0.1531812150815727</v>
      </c>
      <c r="AF254" s="32">
        <v>0.59696722623664356</v>
      </c>
      <c r="AG254" s="32">
        <v>0.89690405299596276</v>
      </c>
      <c r="AH254" s="32">
        <v>1.0173517405491297</v>
      </c>
      <c r="AI254" s="32">
        <v>0.87133016609715663</v>
      </c>
      <c r="AJ254" s="32">
        <v>0.45084250903516326</v>
      </c>
      <c r="AK254" s="32">
        <v>0.2127712611399952</v>
      </c>
      <c r="AL254" s="32">
        <v>4.5169137663827637E-2</v>
      </c>
      <c r="AM254" s="26">
        <v>4.6357171215686882E-4</v>
      </c>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c r="CH254" s="26"/>
      <c r="CI254" s="26"/>
      <c r="CJ254" s="26"/>
      <c r="CK254" s="26"/>
      <c r="CL254" s="26"/>
      <c r="CM254" s="26"/>
      <c r="CN254" s="26"/>
      <c r="CO254" s="26"/>
      <c r="CP254" s="26"/>
      <c r="CQ254" s="26"/>
      <c r="CR254" s="26"/>
      <c r="CS254" s="26"/>
      <c r="CT254" s="26"/>
      <c r="CU254" s="26"/>
      <c r="CV254" s="26"/>
      <c r="CW254" s="26"/>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row>
    <row r="255" spans="1:131">
      <c r="A255" s="7" t="s">
        <v>1337</v>
      </c>
      <c r="B255" s="7"/>
      <c r="C255" s="32">
        <v>10.003962157933968</v>
      </c>
      <c r="D255" s="32">
        <v>3.9583333333333335</v>
      </c>
      <c r="E255" s="32">
        <v>0.79166666666666674</v>
      </c>
      <c r="F255" s="32">
        <v>4.75</v>
      </c>
      <c r="G255" s="32">
        <v>6.0526841362108934</v>
      </c>
      <c r="H255" s="32">
        <v>4.8322765389596256</v>
      </c>
      <c r="I255" s="32">
        <v>4159.3519990476807</v>
      </c>
      <c r="J255" s="32">
        <v>24.894136278659708</v>
      </c>
      <c r="K255" s="32">
        <v>44.368055175717714</v>
      </c>
      <c r="L255" s="742">
        <v>0.79836919128985506</v>
      </c>
      <c r="M255" s="32">
        <v>9.5038925217870746E-2</v>
      </c>
      <c r="N255" s="32">
        <v>2.6608798092117926E-5</v>
      </c>
      <c r="O255" s="32">
        <v>0</v>
      </c>
      <c r="P255" s="32">
        <v>3.5045710632890432E-4</v>
      </c>
      <c r="Q255" s="32">
        <v>1.929586878875892E-2</v>
      </c>
      <c r="R255" s="32">
        <v>0.232429124906465</v>
      </c>
      <c r="S255" s="32">
        <v>0.920640615281759</v>
      </c>
      <c r="T255" s="32">
        <v>1.2201526364188924</v>
      </c>
      <c r="U255" s="32">
        <v>1.1812585312531882</v>
      </c>
      <c r="V255" s="32">
        <v>1.1981622275312276</v>
      </c>
      <c r="W255" s="32">
        <v>0.56327008234953879</v>
      </c>
      <c r="X255" s="32">
        <v>0.32389588228975985</v>
      </c>
      <c r="Y255" s="32">
        <v>9.1543931953464858E-2</v>
      </c>
      <c r="Z255" s="32">
        <v>6.2729886731474681E-4</v>
      </c>
      <c r="AA255" s="32"/>
      <c r="AB255" s="32">
        <v>0</v>
      </c>
      <c r="AC255" s="32">
        <v>2.3966998559647439E-4</v>
      </c>
      <c r="AD255" s="32">
        <v>7.1149506900634023E-3</v>
      </c>
      <c r="AE255" s="32">
        <v>0.1531812150815727</v>
      </c>
      <c r="AF255" s="32">
        <v>0.59696722623664356</v>
      </c>
      <c r="AG255" s="32">
        <v>0.89690405299596276</v>
      </c>
      <c r="AH255" s="32">
        <v>1.0173517405491297</v>
      </c>
      <c r="AI255" s="32">
        <v>0.87133016609715663</v>
      </c>
      <c r="AJ255" s="32">
        <v>0.45084250903516326</v>
      </c>
      <c r="AK255" s="32">
        <v>0.2127712611399952</v>
      </c>
      <c r="AL255" s="32">
        <v>4.5169137663827637E-2</v>
      </c>
      <c r="AM255" s="26">
        <v>4.6357171215686882E-4</v>
      </c>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c r="CH255" s="26"/>
      <c r="CI255" s="26"/>
      <c r="CJ255" s="26"/>
      <c r="CK255" s="26"/>
      <c r="CL255" s="26"/>
      <c r="CM255" s="26"/>
      <c r="CN255" s="26"/>
      <c r="CO255" s="26"/>
      <c r="CP255" s="26"/>
      <c r="CQ255" s="26"/>
      <c r="CR255" s="26"/>
      <c r="CS255" s="26"/>
      <c r="CT255" s="26"/>
      <c r="CU255" s="26"/>
      <c r="CV255" s="26"/>
      <c r="CW255" s="26"/>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row>
    <row r="256" spans="1:131">
      <c r="A256" s="7" t="s">
        <v>1323</v>
      </c>
      <c r="B256" s="7"/>
      <c r="C256" s="32">
        <v>131.05318682818603</v>
      </c>
      <c r="D256" s="32">
        <v>24.253499999999999</v>
      </c>
      <c r="E256" s="32">
        <v>4.8506999999999998</v>
      </c>
      <c r="F256" s="32">
        <v>29.104199999999999</v>
      </c>
      <c r="G256" s="32">
        <v>88.968882169045301</v>
      </c>
      <c r="H256" s="32">
        <v>63.303442183004229</v>
      </c>
      <c r="I256" s="32">
        <v>1945.4146684296156</v>
      </c>
      <c r="J256" s="32">
        <v>11.56311854139439</v>
      </c>
      <c r="K256" s="32">
        <v>49.801879993743583</v>
      </c>
      <c r="L256" s="742">
        <v>0.71152340728216124</v>
      </c>
      <c r="M256" s="32">
        <v>1.2450221048316961</v>
      </c>
      <c r="N256" s="32">
        <v>3.4857866639111573E-4</v>
      </c>
      <c r="O256" s="32">
        <v>0</v>
      </c>
      <c r="P256" s="32">
        <v>4.591033023306895E-3</v>
      </c>
      <c r="Q256" s="32">
        <v>0.25277835496207379</v>
      </c>
      <c r="R256" s="32">
        <v>3.0448513348804496</v>
      </c>
      <c r="S256" s="32">
        <v>12.060510091039159</v>
      </c>
      <c r="T256" s="32">
        <v>15.984155966912677</v>
      </c>
      <c r="U256" s="32">
        <v>15.474638202818213</v>
      </c>
      <c r="V256" s="32">
        <v>15.696078791201078</v>
      </c>
      <c r="W256" s="32">
        <v>7.3789102928920824</v>
      </c>
      <c r="X256" s="32">
        <v>4.2430775831089695</v>
      </c>
      <c r="Y256" s="32">
        <v>1.1992372449919224</v>
      </c>
      <c r="Z256" s="32">
        <v>8.2176955847548926E-3</v>
      </c>
      <c r="AA256" s="32"/>
      <c r="AB256" s="32">
        <v>0</v>
      </c>
      <c r="AC256" s="32">
        <v>3.1397075382350458E-3</v>
      </c>
      <c r="AD256" s="32">
        <v>9.3206766212995992E-2</v>
      </c>
      <c r="AE256" s="32">
        <v>2.0066935561859212</v>
      </c>
      <c r="AF256" s="32">
        <v>7.8203471979598067</v>
      </c>
      <c r="AG256" s="32">
        <v>11.749558081946219</v>
      </c>
      <c r="AH256" s="32">
        <v>13.327438230903931</v>
      </c>
      <c r="AI256" s="32">
        <v>11.414536884868408</v>
      </c>
      <c r="AJ256" s="32">
        <v>5.9060946686823117</v>
      </c>
      <c r="AK256" s="32">
        <v>2.7873307993007508</v>
      </c>
      <c r="AL256" s="32">
        <v>0.59172149431122734</v>
      </c>
      <c r="AM256" s="26">
        <v>6.0728488615257731E-3</v>
      </c>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c r="CH256" s="26"/>
      <c r="CI256" s="26"/>
      <c r="CJ256" s="26"/>
      <c r="CK256" s="26"/>
      <c r="CL256" s="26"/>
      <c r="CM256" s="26"/>
      <c r="CN256" s="26"/>
      <c r="CO256" s="26"/>
      <c r="CP256" s="26"/>
      <c r="CQ256" s="26"/>
      <c r="CR256" s="26"/>
      <c r="CS256" s="26"/>
      <c r="CT256" s="26"/>
      <c r="CU256" s="26"/>
      <c r="CV256" s="26"/>
      <c r="CW256" s="26"/>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row>
    <row r="257" spans="1:131">
      <c r="A257" s="7" t="s">
        <v>1336</v>
      </c>
      <c r="B257" s="7"/>
      <c r="C257" s="32">
        <v>131.05318682818603</v>
      </c>
      <c r="D257" s="32">
        <v>24.253499999999999</v>
      </c>
      <c r="E257" s="32">
        <v>4.8506999999999998</v>
      </c>
      <c r="F257" s="32">
        <v>29.104199999999999</v>
      </c>
      <c r="G257" s="32">
        <v>88.968882169045301</v>
      </c>
      <c r="H257" s="32">
        <v>63.303442183004229</v>
      </c>
      <c r="I257" s="32">
        <v>1945.4146684296156</v>
      </c>
      <c r="J257" s="32">
        <v>11.56311854139439</v>
      </c>
      <c r="K257" s="32">
        <v>49.801879993743583</v>
      </c>
      <c r="L257" s="742">
        <v>0.71152340728216124</v>
      </c>
      <c r="M257" s="32">
        <v>1.2450221048316961</v>
      </c>
      <c r="N257" s="32">
        <v>3.4857866639111573E-4</v>
      </c>
      <c r="O257" s="32">
        <v>0</v>
      </c>
      <c r="P257" s="32">
        <v>4.591033023306895E-3</v>
      </c>
      <c r="Q257" s="32">
        <v>0.25277835496207379</v>
      </c>
      <c r="R257" s="32">
        <v>3.0448513348804496</v>
      </c>
      <c r="S257" s="32">
        <v>12.060510091039159</v>
      </c>
      <c r="T257" s="32">
        <v>15.984155966912677</v>
      </c>
      <c r="U257" s="32">
        <v>15.474638202818213</v>
      </c>
      <c r="V257" s="32">
        <v>15.696078791201078</v>
      </c>
      <c r="W257" s="32">
        <v>7.3789102928920824</v>
      </c>
      <c r="X257" s="32">
        <v>4.2430775831089695</v>
      </c>
      <c r="Y257" s="32">
        <v>1.1992372449919224</v>
      </c>
      <c r="Z257" s="32">
        <v>8.2176955847548926E-3</v>
      </c>
      <c r="AA257" s="32"/>
      <c r="AB257" s="32">
        <v>0</v>
      </c>
      <c r="AC257" s="32">
        <v>3.1397075382350458E-3</v>
      </c>
      <c r="AD257" s="32">
        <v>9.3206766212995992E-2</v>
      </c>
      <c r="AE257" s="32">
        <v>2.0066935561859212</v>
      </c>
      <c r="AF257" s="32">
        <v>7.8203471979598067</v>
      </c>
      <c r="AG257" s="32">
        <v>11.749558081946219</v>
      </c>
      <c r="AH257" s="32">
        <v>13.327438230903931</v>
      </c>
      <c r="AI257" s="32">
        <v>11.414536884868408</v>
      </c>
      <c r="AJ257" s="32">
        <v>5.9060946686823117</v>
      </c>
      <c r="AK257" s="32">
        <v>2.7873307993007508</v>
      </c>
      <c r="AL257" s="32">
        <v>0.59172149431122734</v>
      </c>
      <c r="AM257" s="26">
        <v>6.0728488615257731E-3</v>
      </c>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c r="CH257" s="26"/>
      <c r="CI257" s="26"/>
      <c r="CJ257" s="26"/>
      <c r="CK257" s="26"/>
      <c r="CL257" s="26"/>
      <c r="CM257" s="26"/>
      <c r="CN257" s="26"/>
      <c r="CO257" s="26"/>
      <c r="CP257" s="26"/>
      <c r="CQ257" s="26"/>
      <c r="CR257" s="26"/>
      <c r="CS257" s="26"/>
      <c r="CT257" s="26"/>
      <c r="CU257" s="26"/>
      <c r="CV257" s="26"/>
      <c r="CW257" s="26"/>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row>
    <row r="258" spans="1:131">
      <c r="A258" s="7" t="s">
        <v>1307</v>
      </c>
      <c r="B258" s="7"/>
      <c r="C258" s="32">
        <v>7.7081209822715397</v>
      </c>
      <c r="D258" s="32">
        <v>3.9583333333333335</v>
      </c>
      <c r="E258" s="32">
        <v>0.79166666666666674</v>
      </c>
      <c r="F258" s="32">
        <v>4.75</v>
      </c>
      <c r="G258" s="32">
        <v>6.0526841362108934</v>
      </c>
      <c r="H258" s="32">
        <v>3.7233019871584156</v>
      </c>
      <c r="I258" s="32">
        <v>5398.2027650709979</v>
      </c>
      <c r="J258" s="32">
        <v>32.353760951536543</v>
      </c>
      <c r="K258" s="32">
        <v>57.627929346261482</v>
      </c>
      <c r="L258" s="742">
        <v>0.61514889978866139</v>
      </c>
      <c r="M258" s="32">
        <v>7.3228139215162302E-2</v>
      </c>
      <c r="N258" s="32">
        <v>2.0502260169408662E-5</v>
      </c>
      <c r="O258" s="32">
        <v>0</v>
      </c>
      <c r="P258" s="32">
        <v>2.7002958748075526E-4</v>
      </c>
      <c r="Q258" s="32">
        <v>1.4867598330910529E-2</v>
      </c>
      <c r="R258" s="32">
        <v>0.17908822387554268</v>
      </c>
      <c r="S258" s="32">
        <v>0.70935986479683644</v>
      </c>
      <c r="T258" s="32">
        <v>0.94013591713713096</v>
      </c>
      <c r="U258" s="32">
        <v>0.91016774418910817</v>
      </c>
      <c r="V258" s="32">
        <v>0.92319215730680126</v>
      </c>
      <c r="W258" s="32">
        <v>0.4340034350290829</v>
      </c>
      <c r="X258" s="32">
        <v>0.24956398344320188</v>
      </c>
      <c r="Y258" s="32">
        <v>7.0535223099631214E-2</v>
      </c>
      <c r="Z258" s="32">
        <v>4.8333804996145277E-4</v>
      </c>
      <c r="AA258" s="32"/>
      <c r="AB258" s="32">
        <v>0</v>
      </c>
      <c r="AC258" s="32">
        <v>1.8466735635657691E-4</v>
      </c>
      <c r="AD258" s="32">
        <v>5.4821179684701364E-3</v>
      </c>
      <c r="AE258" s="32">
        <v>0.11802716957737555</v>
      </c>
      <c r="AF258" s="32">
        <v>0.45996731391409229</v>
      </c>
      <c r="AG258" s="32">
        <v>0.69107068187974241</v>
      </c>
      <c r="AH258" s="32">
        <v>0.7838764455399273</v>
      </c>
      <c r="AI258" s="32">
        <v>0.67136582783382925</v>
      </c>
      <c r="AJ258" s="32">
        <v>0.34737722401696697</v>
      </c>
      <c r="AK258" s="32">
        <v>0.16394170594866414</v>
      </c>
      <c r="AL258" s="32">
        <v>3.4803128228702324E-2</v>
      </c>
      <c r="AM258" s="26">
        <v>3.5718516172414828E-4</v>
      </c>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c r="CP258" s="26"/>
      <c r="CQ258" s="26"/>
      <c r="CR258" s="26"/>
      <c r="CS258" s="26"/>
      <c r="CT258" s="26"/>
      <c r="CU258" s="26"/>
      <c r="CV258" s="26"/>
      <c r="CW258" s="26"/>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row>
    <row r="259" spans="1:131">
      <c r="A259" s="7" t="s">
        <v>1305</v>
      </c>
      <c r="B259" s="7"/>
      <c r="C259" s="32">
        <v>100.97737308839594</v>
      </c>
      <c r="D259" s="32">
        <v>24.253499999999999</v>
      </c>
      <c r="E259" s="32">
        <v>4.8506999999999998</v>
      </c>
      <c r="F259" s="32">
        <v>29.104199999999999</v>
      </c>
      <c r="G259" s="32">
        <v>88.968882169045301</v>
      </c>
      <c r="H259" s="32">
        <v>48.775733378183837</v>
      </c>
      <c r="I259" s="32">
        <v>2524.8507086514664</v>
      </c>
      <c r="J259" s="32">
        <v>15.052138769284864</v>
      </c>
      <c r="K259" s="32">
        <v>64.680202912984029</v>
      </c>
      <c r="L259" s="742">
        <v>0.54823363168155259</v>
      </c>
      <c r="M259" s="32">
        <v>0.95929801194160247</v>
      </c>
      <c r="N259" s="32">
        <v>2.6858223671414699E-4</v>
      </c>
      <c r="O259" s="32">
        <v>0</v>
      </c>
      <c r="P259" s="32">
        <v>3.5374222151757766E-3</v>
      </c>
      <c r="Q259" s="32">
        <v>0.19476744423727807</v>
      </c>
      <c r="R259" s="32">
        <v>2.3460786927983115</v>
      </c>
      <c r="S259" s="32">
        <v>9.2927051724109671</v>
      </c>
      <c r="T259" s="32">
        <v>12.315901044742203</v>
      </c>
      <c r="U259" s="32">
        <v>11.923314137049649</v>
      </c>
      <c r="V259" s="32">
        <v>12.093935618687983</v>
      </c>
      <c r="W259" s="32">
        <v>5.6855006403470156</v>
      </c>
      <c r="X259" s="32">
        <v>3.2693201784884378</v>
      </c>
      <c r="Y259" s="32">
        <v>0.92402046558248951</v>
      </c>
      <c r="Z259" s="32">
        <v>6.3317904209116939E-3</v>
      </c>
      <c r="AA259" s="32"/>
      <c r="AB259" s="32">
        <v>0</v>
      </c>
      <c r="AC259" s="32">
        <v>2.4191660435732548E-3</v>
      </c>
      <c r="AD259" s="32">
        <v>7.181644822259578E-2</v>
      </c>
      <c r="AE259" s="32">
        <v>1.5461710531520272</v>
      </c>
      <c r="AF259" s="32">
        <v>6.0256307824430602</v>
      </c>
      <c r="AG259" s="32">
        <v>9.0531145314299959</v>
      </c>
      <c r="AH259" s="32">
        <v>10.268881933553246</v>
      </c>
      <c r="AI259" s="32">
        <v>8.7949784171651935</v>
      </c>
      <c r="AJ259" s="32">
        <v>4.5506861701638082</v>
      </c>
      <c r="AK259" s="32">
        <v>2.1476573660949296</v>
      </c>
      <c r="AL259" s="32">
        <v>0.45592544173551697</v>
      </c>
      <c r="AM259" s="26">
        <v>4.679171411555794E-3</v>
      </c>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c r="CH259" s="26"/>
      <c r="CI259" s="26"/>
      <c r="CJ259" s="26"/>
      <c r="CK259" s="26"/>
      <c r="CL259" s="26"/>
      <c r="CM259" s="26"/>
      <c r="CN259" s="26"/>
      <c r="CO259" s="26"/>
      <c r="CP259" s="26"/>
      <c r="CQ259" s="26"/>
      <c r="CR259" s="26"/>
      <c r="CS259" s="26"/>
      <c r="CT259" s="26"/>
      <c r="CU259" s="26"/>
      <c r="CV259" s="26"/>
      <c r="CW259" s="26"/>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row>
    <row r="260" spans="1:131">
      <c r="A260" s="7" t="s">
        <v>1321</v>
      </c>
      <c r="B260" s="7"/>
      <c r="C260" s="32">
        <v>343.39414966181369</v>
      </c>
      <c r="D260" s="32">
        <v>160</v>
      </c>
      <c r="E260" s="32">
        <v>32</v>
      </c>
      <c r="F260" s="32">
        <v>192</v>
      </c>
      <c r="G260" s="32">
        <v>329.40609938121804</v>
      </c>
      <c r="H260" s="32">
        <v>165.87182826463908</v>
      </c>
      <c r="I260" s="32">
        <v>4897.9285222430617</v>
      </c>
      <c r="J260" s="32">
        <v>29.341406124503401</v>
      </c>
      <c r="K260" s="32">
        <v>70.433406428063208</v>
      </c>
      <c r="L260" s="742">
        <v>0.5035481388360008</v>
      </c>
      <c r="M260" s="32">
        <v>3.2622885207617998</v>
      </c>
      <c r="N260" s="32">
        <v>9.133686683449805E-4</v>
      </c>
      <c r="O260" s="32">
        <v>0</v>
      </c>
      <c r="P260" s="32">
        <v>1.2029725634788659E-2</v>
      </c>
      <c r="Q260" s="32">
        <v>0.66234641336050681</v>
      </c>
      <c r="R260" s="32">
        <v>7.9783190343833219</v>
      </c>
      <c r="S260" s="32">
        <v>31.6017390147844</v>
      </c>
      <c r="T260" s="32">
        <v>41.88273310374224</v>
      </c>
      <c r="U260" s="32">
        <v>40.547661263267344</v>
      </c>
      <c r="V260" s="32">
        <v>41.127894406685961</v>
      </c>
      <c r="W260" s="32">
        <v>19.334704380599714</v>
      </c>
      <c r="X260" s="32">
        <v>11.117989984562788</v>
      </c>
      <c r="Y260" s="32">
        <v>3.1423200301620424</v>
      </c>
      <c r="Z260" s="32">
        <v>2.1532544578302695E-2</v>
      </c>
      <c r="AA260" s="32"/>
      <c r="AB260" s="32">
        <v>0</v>
      </c>
      <c r="AC260" s="32">
        <v>8.226867475512066E-3</v>
      </c>
      <c r="AD260" s="32">
        <v>0.24422647782232679</v>
      </c>
      <c r="AE260" s="32">
        <v>5.2580699793414043</v>
      </c>
      <c r="AF260" s="32">
        <v>20.49138629207286</v>
      </c>
      <c r="AG260" s="32">
        <v>30.786962180031857</v>
      </c>
      <c r="AH260" s="32">
        <v>34.921427164312995</v>
      </c>
      <c r="AI260" s="32">
        <v>29.909117681370077</v>
      </c>
      <c r="AJ260" s="32">
        <v>15.475536350239592</v>
      </c>
      <c r="AK260" s="32">
        <v>7.3035468485548245</v>
      </c>
      <c r="AL260" s="32">
        <v>1.5504674422149962</v>
      </c>
      <c r="AM260" s="26">
        <v>1.591247661579067E-2</v>
      </c>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c r="CH260" s="26"/>
      <c r="CI260" s="26"/>
      <c r="CJ260" s="26"/>
      <c r="CK260" s="26"/>
      <c r="CL260" s="26"/>
      <c r="CM260" s="26"/>
      <c r="CN260" s="26"/>
      <c r="CO260" s="26"/>
      <c r="CP260" s="26"/>
      <c r="CQ260" s="26"/>
      <c r="CR260" s="26"/>
      <c r="CS260" s="26"/>
      <c r="CT260" s="26"/>
      <c r="CU260" s="26"/>
      <c r="CV260" s="26"/>
      <c r="CW260" s="26"/>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row>
    <row r="261" spans="1:131">
      <c r="A261" s="7" t="s">
        <v>1334</v>
      </c>
      <c r="B261" s="7"/>
      <c r="C261" s="32">
        <v>343.39414966181369</v>
      </c>
      <c r="D261" s="32">
        <v>160</v>
      </c>
      <c r="E261" s="32">
        <v>32</v>
      </c>
      <c r="F261" s="32">
        <v>192</v>
      </c>
      <c r="G261" s="32">
        <v>329.40609938121804</v>
      </c>
      <c r="H261" s="32">
        <v>165.87182826463908</v>
      </c>
      <c r="I261" s="32">
        <v>4897.9285222430617</v>
      </c>
      <c r="J261" s="32">
        <v>29.341406124503401</v>
      </c>
      <c r="K261" s="32">
        <v>70.433406428063208</v>
      </c>
      <c r="L261" s="742">
        <v>0.5035481388360008</v>
      </c>
      <c r="M261" s="32">
        <v>3.2622885207617998</v>
      </c>
      <c r="N261" s="32">
        <v>9.133686683449805E-4</v>
      </c>
      <c r="O261" s="32">
        <v>0</v>
      </c>
      <c r="P261" s="32">
        <v>1.2029725634788659E-2</v>
      </c>
      <c r="Q261" s="32">
        <v>0.66234641336050681</v>
      </c>
      <c r="R261" s="32">
        <v>7.9783190343833219</v>
      </c>
      <c r="S261" s="32">
        <v>31.6017390147844</v>
      </c>
      <c r="T261" s="32">
        <v>41.88273310374224</v>
      </c>
      <c r="U261" s="32">
        <v>40.547661263267344</v>
      </c>
      <c r="V261" s="32">
        <v>41.127894406685961</v>
      </c>
      <c r="W261" s="32">
        <v>19.334704380599714</v>
      </c>
      <c r="X261" s="32">
        <v>11.117989984562788</v>
      </c>
      <c r="Y261" s="32">
        <v>3.1423200301620424</v>
      </c>
      <c r="Z261" s="32">
        <v>2.1532544578302695E-2</v>
      </c>
      <c r="AA261" s="32"/>
      <c r="AB261" s="32">
        <v>0</v>
      </c>
      <c r="AC261" s="32">
        <v>8.226867475512066E-3</v>
      </c>
      <c r="AD261" s="32">
        <v>0.24422647782232679</v>
      </c>
      <c r="AE261" s="32">
        <v>5.2580699793414043</v>
      </c>
      <c r="AF261" s="32">
        <v>20.49138629207286</v>
      </c>
      <c r="AG261" s="32">
        <v>30.786962180031857</v>
      </c>
      <c r="AH261" s="32">
        <v>34.921427164312995</v>
      </c>
      <c r="AI261" s="32">
        <v>29.909117681370077</v>
      </c>
      <c r="AJ261" s="32">
        <v>15.475536350239592</v>
      </c>
      <c r="AK261" s="32">
        <v>7.3035468485548245</v>
      </c>
      <c r="AL261" s="32">
        <v>1.5504674422149962</v>
      </c>
      <c r="AM261" s="26">
        <v>1.591247661579067E-2</v>
      </c>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c r="CH261" s="26"/>
      <c r="CI261" s="26"/>
      <c r="CJ261" s="26"/>
      <c r="CK261" s="26"/>
      <c r="CL261" s="26"/>
      <c r="CM261" s="26"/>
      <c r="CN261" s="26"/>
      <c r="CO261" s="26"/>
      <c r="CP261" s="26"/>
      <c r="CQ261" s="26"/>
      <c r="CR261" s="26"/>
      <c r="CS261" s="26"/>
      <c r="CT261" s="26"/>
      <c r="CU261" s="26"/>
      <c r="CV261" s="26"/>
      <c r="CW261" s="26"/>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row>
    <row r="262" spans="1:131">
      <c r="A262" s="7" t="s">
        <v>1317</v>
      </c>
      <c r="B262" s="7"/>
      <c r="C262" s="32">
        <v>66.641912508276818</v>
      </c>
      <c r="D262" s="32">
        <v>19.733333333333334</v>
      </c>
      <c r="E262" s="32">
        <v>3.9466666666666672</v>
      </c>
      <c r="F262" s="32">
        <v>23.68</v>
      </c>
      <c r="G262" s="32">
        <v>72.387598001765824</v>
      </c>
      <c r="H262" s="32">
        <v>32.190460663602906</v>
      </c>
      <c r="I262" s="32">
        <v>3112.7077869236828</v>
      </c>
      <c r="J262" s="32">
        <v>18.591865494628127</v>
      </c>
      <c r="K262" s="32">
        <v>79.774754914869376</v>
      </c>
      <c r="L262" s="742">
        <v>0.44469579806775261</v>
      </c>
      <c r="M262" s="32">
        <v>0.63310672704084014</v>
      </c>
      <c r="N262" s="32">
        <v>1.7725588785829057E-4</v>
      </c>
      <c r="O262" s="32">
        <v>0</v>
      </c>
      <c r="P262" s="32">
        <v>2.33458818107905E-3</v>
      </c>
      <c r="Q262" s="32">
        <v>0.12854043021062667</v>
      </c>
      <c r="R262" s="32">
        <v>1.5483386644068335</v>
      </c>
      <c r="S262" s="32">
        <v>6.1328951835863279</v>
      </c>
      <c r="T262" s="32">
        <v>8.1281100387293002</v>
      </c>
      <c r="U262" s="32">
        <v>7.869014940944977</v>
      </c>
      <c r="V262" s="32">
        <v>7.98161978996814</v>
      </c>
      <c r="W262" s="32">
        <v>3.7522528528056851</v>
      </c>
      <c r="X262" s="32">
        <v>2.1576492102408231</v>
      </c>
      <c r="Y262" s="32">
        <v>0.60982464823381233</v>
      </c>
      <c r="Z262" s="32">
        <v>4.1787839230255554E-3</v>
      </c>
      <c r="AA262" s="32"/>
      <c r="AB262" s="32">
        <v>0</v>
      </c>
      <c r="AC262" s="32">
        <v>1.59657403325072E-3</v>
      </c>
      <c r="AD262" s="32">
        <v>4.7396612852225337E-2</v>
      </c>
      <c r="AE262" s="32">
        <v>1.0204246049933012</v>
      </c>
      <c r="AF262" s="32">
        <v>3.9767281236284822</v>
      </c>
      <c r="AG262" s="32">
        <v>5.9747728434450522</v>
      </c>
      <c r="AH262" s="32">
        <v>6.7771413579417255</v>
      </c>
      <c r="AI262" s="32">
        <v>5.8044110701495413</v>
      </c>
      <c r="AJ262" s="32">
        <v>3.0033107450636627</v>
      </c>
      <c r="AK262" s="32">
        <v>1.4173867858868077</v>
      </c>
      <c r="AL262" s="32">
        <v>0.30089655206060617</v>
      </c>
      <c r="AM262" s="26">
        <v>3.0881069915252722E-3</v>
      </c>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c r="CP262" s="26"/>
      <c r="CQ262" s="26"/>
      <c r="CR262" s="26"/>
      <c r="CS262" s="26"/>
      <c r="CT262" s="26"/>
      <c r="CU262" s="26"/>
      <c r="CV262" s="26"/>
      <c r="CW262" s="26"/>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row>
    <row r="263" spans="1:131">
      <c r="A263" s="7" t="s">
        <v>1330</v>
      </c>
      <c r="B263" s="7"/>
      <c r="C263" s="32">
        <v>66.641912508276818</v>
      </c>
      <c r="D263" s="32">
        <v>19.733333333333334</v>
      </c>
      <c r="E263" s="32">
        <v>3.9466666666666672</v>
      </c>
      <c r="F263" s="32">
        <v>23.68</v>
      </c>
      <c r="G263" s="32">
        <v>72.387598001765824</v>
      </c>
      <c r="H263" s="32">
        <v>32.190460663602906</v>
      </c>
      <c r="I263" s="32">
        <v>3112.7077869236828</v>
      </c>
      <c r="J263" s="32">
        <v>18.591865494628127</v>
      </c>
      <c r="K263" s="32">
        <v>79.774754914869376</v>
      </c>
      <c r="L263" s="742">
        <v>0.44469579806775261</v>
      </c>
      <c r="M263" s="32">
        <v>0.63310672704084014</v>
      </c>
      <c r="N263" s="32">
        <v>1.7725588785829057E-4</v>
      </c>
      <c r="O263" s="32">
        <v>0</v>
      </c>
      <c r="P263" s="32">
        <v>2.33458818107905E-3</v>
      </c>
      <c r="Q263" s="32">
        <v>0.12854043021062667</v>
      </c>
      <c r="R263" s="32">
        <v>1.5483386644068335</v>
      </c>
      <c r="S263" s="32">
        <v>6.1328951835863279</v>
      </c>
      <c r="T263" s="32">
        <v>8.1281100387293002</v>
      </c>
      <c r="U263" s="32">
        <v>7.869014940944977</v>
      </c>
      <c r="V263" s="32">
        <v>7.98161978996814</v>
      </c>
      <c r="W263" s="32">
        <v>3.7522528528056851</v>
      </c>
      <c r="X263" s="32">
        <v>2.1576492102408231</v>
      </c>
      <c r="Y263" s="32">
        <v>0.60982464823381233</v>
      </c>
      <c r="Z263" s="32">
        <v>4.1787839230255554E-3</v>
      </c>
      <c r="AA263" s="32"/>
      <c r="AB263" s="32">
        <v>0</v>
      </c>
      <c r="AC263" s="32">
        <v>1.59657403325072E-3</v>
      </c>
      <c r="AD263" s="32">
        <v>4.7396612852225337E-2</v>
      </c>
      <c r="AE263" s="32">
        <v>1.0204246049933012</v>
      </c>
      <c r="AF263" s="32">
        <v>3.9767281236284822</v>
      </c>
      <c r="AG263" s="32">
        <v>5.9747728434450522</v>
      </c>
      <c r="AH263" s="32">
        <v>6.7771413579417255</v>
      </c>
      <c r="AI263" s="32">
        <v>5.8044110701495413</v>
      </c>
      <c r="AJ263" s="32">
        <v>3.0033107450636627</v>
      </c>
      <c r="AK263" s="32">
        <v>1.4173867858868077</v>
      </c>
      <c r="AL263" s="32">
        <v>0.30089655206060617</v>
      </c>
      <c r="AM263" s="26">
        <v>3.0881069915252722E-3</v>
      </c>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c r="CH263" s="26"/>
      <c r="CI263" s="26"/>
      <c r="CJ263" s="26"/>
      <c r="CK263" s="26"/>
      <c r="CL263" s="26"/>
      <c r="CM263" s="26"/>
      <c r="CN263" s="26"/>
      <c r="CO263" s="26"/>
      <c r="CP263" s="26"/>
      <c r="CQ263" s="26"/>
      <c r="CR263" s="26"/>
      <c r="CS263" s="26"/>
      <c r="CT263" s="26"/>
      <c r="CU263" s="26"/>
      <c r="CV263" s="26"/>
      <c r="CW263" s="26"/>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row>
    <row r="264" spans="1:131">
      <c r="A264" s="7" t="s">
        <v>1325</v>
      </c>
      <c r="B264" s="7"/>
      <c r="C264" s="32">
        <v>10.003962157933968</v>
      </c>
      <c r="D264" s="32">
        <v>6.1749999999999998</v>
      </c>
      <c r="E264" s="32">
        <v>1.2350000000000001</v>
      </c>
      <c r="F264" s="32">
        <v>7.41</v>
      </c>
      <c r="G264" s="32">
        <v>12.713016647993882</v>
      </c>
      <c r="H264" s="32">
        <v>4.8322765389596256</v>
      </c>
      <c r="I264" s="32">
        <v>6488.5891185143819</v>
      </c>
      <c r="J264" s="32">
        <v>38.919420971446755</v>
      </c>
      <c r="K264" s="32">
        <v>93.356537564067438</v>
      </c>
      <c r="L264" s="742">
        <v>0.38010463391646387</v>
      </c>
      <c r="M264" s="32">
        <v>9.5038925217870746E-2</v>
      </c>
      <c r="N264" s="32">
        <v>2.6608798092117926E-5</v>
      </c>
      <c r="O264" s="32">
        <v>0</v>
      </c>
      <c r="P264" s="32">
        <v>3.5045710632890432E-4</v>
      </c>
      <c r="Q264" s="32">
        <v>1.929586878875892E-2</v>
      </c>
      <c r="R264" s="32">
        <v>0.232429124906465</v>
      </c>
      <c r="S264" s="32">
        <v>0.920640615281759</v>
      </c>
      <c r="T264" s="32">
        <v>1.2201526364188924</v>
      </c>
      <c r="U264" s="32">
        <v>1.1812585312531882</v>
      </c>
      <c r="V264" s="32">
        <v>1.1981622275312276</v>
      </c>
      <c r="W264" s="32">
        <v>0.56327008234953879</v>
      </c>
      <c r="X264" s="32">
        <v>0.32389588228975985</v>
      </c>
      <c r="Y264" s="32">
        <v>9.1543931953464858E-2</v>
      </c>
      <c r="Z264" s="32">
        <v>6.2729886731474681E-4</v>
      </c>
      <c r="AA264" s="32"/>
      <c r="AB264" s="32">
        <v>0</v>
      </c>
      <c r="AC264" s="32">
        <v>2.3966998559647439E-4</v>
      </c>
      <c r="AD264" s="32">
        <v>7.1149506900634023E-3</v>
      </c>
      <c r="AE264" s="32">
        <v>0.1531812150815727</v>
      </c>
      <c r="AF264" s="32">
        <v>0.59696722623664356</v>
      </c>
      <c r="AG264" s="32">
        <v>0.89690405299596276</v>
      </c>
      <c r="AH264" s="32">
        <v>1.0173517405491297</v>
      </c>
      <c r="AI264" s="32">
        <v>0.87133016609715663</v>
      </c>
      <c r="AJ264" s="32">
        <v>0.45084250903516326</v>
      </c>
      <c r="AK264" s="32">
        <v>0.2127712611399952</v>
      </c>
      <c r="AL264" s="32">
        <v>4.5169137663827637E-2</v>
      </c>
      <c r="AM264" s="26">
        <v>4.6357171215686882E-4</v>
      </c>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c r="BZ264" s="26"/>
      <c r="CA264" s="26"/>
      <c r="CB264" s="26"/>
      <c r="CC264" s="26"/>
      <c r="CD264" s="26"/>
      <c r="CE264" s="26"/>
      <c r="CF264" s="26"/>
      <c r="CG264" s="26"/>
      <c r="CH264" s="26"/>
      <c r="CI264" s="26"/>
      <c r="CJ264" s="26"/>
      <c r="CK264" s="26"/>
      <c r="CL264" s="26"/>
      <c r="CM264" s="26"/>
      <c r="CN264" s="26"/>
      <c r="CO264" s="26"/>
      <c r="CP264" s="26"/>
      <c r="CQ264" s="26"/>
      <c r="CR264" s="26"/>
      <c r="CS264" s="26"/>
      <c r="CT264" s="26"/>
      <c r="CU264" s="26"/>
      <c r="CV264" s="26"/>
      <c r="CW264" s="26"/>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row>
    <row r="265" spans="1:131">
      <c r="A265" s="7" t="s">
        <v>1338</v>
      </c>
      <c r="B265" s="7"/>
      <c r="C265" s="32">
        <v>10.003962157933968</v>
      </c>
      <c r="D265" s="32">
        <v>6.1749999999999998</v>
      </c>
      <c r="E265" s="32">
        <v>1.2350000000000001</v>
      </c>
      <c r="F265" s="32">
        <v>7.41</v>
      </c>
      <c r="G265" s="32">
        <v>12.713016647993882</v>
      </c>
      <c r="H265" s="32">
        <v>4.8322765389596256</v>
      </c>
      <c r="I265" s="32">
        <v>6488.5891185143819</v>
      </c>
      <c r="J265" s="32">
        <v>38.919420971446755</v>
      </c>
      <c r="K265" s="32">
        <v>93.356537564067438</v>
      </c>
      <c r="L265" s="742">
        <v>0.38010463391646387</v>
      </c>
      <c r="M265" s="32">
        <v>9.5038925217870746E-2</v>
      </c>
      <c r="N265" s="32">
        <v>2.6608798092117926E-5</v>
      </c>
      <c r="O265" s="32">
        <v>0</v>
      </c>
      <c r="P265" s="32">
        <v>3.5045710632890432E-4</v>
      </c>
      <c r="Q265" s="32">
        <v>1.929586878875892E-2</v>
      </c>
      <c r="R265" s="32">
        <v>0.232429124906465</v>
      </c>
      <c r="S265" s="32">
        <v>0.920640615281759</v>
      </c>
      <c r="T265" s="32">
        <v>1.2201526364188924</v>
      </c>
      <c r="U265" s="32">
        <v>1.1812585312531882</v>
      </c>
      <c r="V265" s="32">
        <v>1.1981622275312276</v>
      </c>
      <c r="W265" s="32">
        <v>0.56327008234953879</v>
      </c>
      <c r="X265" s="32">
        <v>0.32389588228975985</v>
      </c>
      <c r="Y265" s="32">
        <v>9.1543931953464858E-2</v>
      </c>
      <c r="Z265" s="32">
        <v>6.2729886731474681E-4</v>
      </c>
      <c r="AA265" s="32"/>
      <c r="AB265" s="32">
        <v>0</v>
      </c>
      <c r="AC265" s="32">
        <v>2.3966998559647439E-4</v>
      </c>
      <c r="AD265" s="32">
        <v>7.1149506900634023E-3</v>
      </c>
      <c r="AE265" s="32">
        <v>0.1531812150815727</v>
      </c>
      <c r="AF265" s="32">
        <v>0.59696722623664356</v>
      </c>
      <c r="AG265" s="32">
        <v>0.89690405299596276</v>
      </c>
      <c r="AH265" s="32">
        <v>1.0173517405491297</v>
      </c>
      <c r="AI265" s="32">
        <v>0.87133016609715663</v>
      </c>
      <c r="AJ265" s="32">
        <v>0.45084250903516326</v>
      </c>
      <c r="AK265" s="32">
        <v>0.2127712611399952</v>
      </c>
      <c r="AL265" s="32">
        <v>4.5169137663827637E-2</v>
      </c>
      <c r="AM265" s="26">
        <v>4.6357171215686882E-4</v>
      </c>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26"/>
      <c r="CT265" s="26"/>
      <c r="CU265" s="26"/>
      <c r="CV265" s="26"/>
      <c r="CW265" s="26"/>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row>
    <row r="266" spans="1:131">
      <c r="A266" s="7" t="s">
        <v>1301</v>
      </c>
      <c r="B266" s="7"/>
      <c r="C266" s="32">
        <v>249.92788826230839</v>
      </c>
      <c r="D266" s="32">
        <v>160</v>
      </c>
      <c r="E266" s="32">
        <v>32</v>
      </c>
      <c r="F266" s="32">
        <v>192</v>
      </c>
      <c r="G266" s="32">
        <v>329.40609938121804</v>
      </c>
      <c r="H266" s="32">
        <v>120.72423423991587</v>
      </c>
      <c r="I266" s="32">
        <v>6729.6211386972709</v>
      </c>
      <c r="J266" s="32">
        <v>40.370772864686657</v>
      </c>
      <c r="K266" s="32">
        <v>96.830068384897544</v>
      </c>
      <c r="L266" s="742">
        <v>0.36649058553163899</v>
      </c>
      <c r="M266" s="32">
        <v>2.3743470344481303</v>
      </c>
      <c r="N266" s="32">
        <v>6.64764681370466E-4</v>
      </c>
      <c r="O266" s="32">
        <v>0</v>
      </c>
      <c r="P266" s="32">
        <v>8.7554314109272221E-3</v>
      </c>
      <c r="Q266" s="32">
        <v>0.48206657146702642</v>
      </c>
      <c r="R266" s="32">
        <v>5.8067513092758478</v>
      </c>
      <c r="S266" s="32">
        <v>23.000263414970934</v>
      </c>
      <c r="T266" s="32">
        <v>30.482939355784275</v>
      </c>
      <c r="U266" s="32">
        <v>29.511252196591329</v>
      </c>
      <c r="V266" s="32">
        <v>29.93355538485832</v>
      </c>
      <c r="W266" s="32">
        <v>14.072114626234276</v>
      </c>
      <c r="X266" s="32">
        <v>8.0918552668990635</v>
      </c>
      <c r="Y266" s="32">
        <v>2.2870320014368195</v>
      </c>
      <c r="Z266" s="32">
        <v>1.5671738731335923E-2</v>
      </c>
      <c r="AA266" s="32"/>
      <c r="AB266" s="32">
        <v>0</v>
      </c>
      <c r="AC266" s="32">
        <v>5.9876489369243471E-3</v>
      </c>
      <c r="AD266" s="32">
        <v>0.17775203194343564</v>
      </c>
      <c r="AE266" s="32">
        <v>3.8269094787038309</v>
      </c>
      <c r="AF266" s="32">
        <v>14.913966672375413</v>
      </c>
      <c r="AG266" s="32">
        <v>22.407255485408655</v>
      </c>
      <c r="AH266" s="32">
        <v>25.416386839665829</v>
      </c>
      <c r="AI266" s="32">
        <v>21.768345876758382</v>
      </c>
      <c r="AJ266" s="32">
        <v>11.263348905481013</v>
      </c>
      <c r="AK266" s="32">
        <v>5.3156410570238943</v>
      </c>
      <c r="AL266" s="32">
        <v>1.1284556071612895</v>
      </c>
      <c r="AM266" s="26">
        <v>1.1581361189538562E-2</v>
      </c>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c r="BZ266" s="26"/>
      <c r="CA266" s="26"/>
      <c r="CB266" s="26"/>
      <c r="CC266" s="26"/>
      <c r="CD266" s="26"/>
      <c r="CE266" s="26"/>
      <c r="CF266" s="26"/>
      <c r="CG266" s="26"/>
      <c r="CH266" s="26"/>
      <c r="CI266" s="26"/>
      <c r="CJ266" s="26"/>
      <c r="CK266" s="26"/>
      <c r="CL266" s="26"/>
      <c r="CM266" s="26"/>
      <c r="CN266" s="26"/>
      <c r="CO266" s="26"/>
      <c r="CP266" s="26"/>
      <c r="CQ266" s="26"/>
      <c r="CR266" s="26"/>
      <c r="CS266" s="26"/>
      <c r="CT266" s="26"/>
      <c r="CU266" s="26"/>
      <c r="CV266" s="26"/>
      <c r="CW266" s="26"/>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row>
    <row r="267" spans="1:131">
      <c r="A267" s="7" t="s">
        <v>1550</v>
      </c>
      <c r="B267" s="7"/>
      <c r="C267" s="32">
        <v>13.446212770626941</v>
      </c>
      <c r="D267" s="32">
        <v>5.2</v>
      </c>
      <c r="E267" s="32">
        <v>1.04</v>
      </c>
      <c r="F267" s="32">
        <v>6.24</v>
      </c>
      <c r="G267" s="32">
        <v>19.075110284249103</v>
      </c>
      <c r="H267" s="32">
        <v>6.4950084260193472</v>
      </c>
      <c r="I267" s="32">
        <v>4065.2636495094907</v>
      </c>
      <c r="J267" s="32">
        <v>24.327592032254383</v>
      </c>
      <c r="K267" s="32">
        <v>104.23376805589017</v>
      </c>
      <c r="L267" s="742">
        <v>0.34049650718834756</v>
      </c>
      <c r="M267" s="32">
        <v>0.12774074809526337</v>
      </c>
      <c r="N267" s="32">
        <v>3.5764585578076661E-5</v>
      </c>
      <c r="O267" s="32">
        <v>0</v>
      </c>
      <c r="P267" s="32">
        <v>4.7104544622246676E-4</v>
      </c>
      <c r="Q267" s="32">
        <v>2.5935359733641306E-2</v>
      </c>
      <c r="R267" s="32">
        <v>0.31240536681802022</v>
      </c>
      <c r="S267" s="32">
        <v>1.2374226734296232</v>
      </c>
      <c r="T267" s="32">
        <v>1.6399934049048945</v>
      </c>
      <c r="U267" s="32">
        <v>1.5877162765706541</v>
      </c>
      <c r="V267" s="32">
        <v>1.6104363441974905</v>
      </c>
      <c r="W267" s="32">
        <v>0.75708496843860718</v>
      </c>
      <c r="X267" s="32">
        <v>0.43534480439273138</v>
      </c>
      <c r="Y267" s="32">
        <v>0.12304316704455569</v>
      </c>
      <c r="Z267" s="32">
        <v>8.4314533657025854E-4</v>
      </c>
      <c r="AA267" s="32"/>
      <c r="AB267" s="32">
        <v>0</v>
      </c>
      <c r="AC267" s="32">
        <v>3.2213772605161836E-4</v>
      </c>
      <c r="AD267" s="32">
        <v>9.5631250219432289E-3</v>
      </c>
      <c r="AE267" s="32">
        <v>0.20588914451425402</v>
      </c>
      <c r="AF267" s="32">
        <v>0.80237691969904812</v>
      </c>
      <c r="AG267" s="32">
        <v>1.2055186276226397</v>
      </c>
      <c r="AH267" s="32">
        <v>1.3674110067621819</v>
      </c>
      <c r="AI267" s="32">
        <v>1.1711450545138513</v>
      </c>
      <c r="AJ267" s="32">
        <v>0.60597233444374232</v>
      </c>
      <c r="AK267" s="32">
        <v>0.28598345371528822</v>
      </c>
      <c r="AL267" s="32">
        <v>6.0711328782054999E-2</v>
      </c>
      <c r="AM267" s="26">
        <v>6.2308151287453423E-4</v>
      </c>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c r="BZ267" s="26"/>
      <c r="CA267" s="26"/>
      <c r="CB267" s="26"/>
      <c r="CC267" s="26"/>
      <c r="CD267" s="26"/>
      <c r="CE267" s="26"/>
      <c r="CF267" s="26"/>
      <c r="CG267" s="26"/>
      <c r="CH267" s="26"/>
      <c r="CI267" s="26"/>
      <c r="CJ267" s="26"/>
      <c r="CK267" s="26"/>
      <c r="CL267" s="26"/>
      <c r="CM267" s="26"/>
      <c r="CN267" s="26"/>
      <c r="CO267" s="26"/>
      <c r="CP267" s="26"/>
      <c r="CQ267" s="26"/>
      <c r="CR267" s="26"/>
      <c r="CS267" s="26"/>
      <c r="CT267" s="26"/>
      <c r="CU267" s="26"/>
      <c r="CV267" s="26"/>
      <c r="CW267" s="26"/>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row>
    <row r="268" spans="1:131">
      <c r="A268" s="7" t="s">
        <v>1547</v>
      </c>
      <c r="B268" s="7"/>
      <c r="C268" s="32">
        <v>56.199551272930009</v>
      </c>
      <c r="D268" s="32">
        <v>21.866666666666667</v>
      </c>
      <c r="E268" s="32">
        <v>4.373333333333334</v>
      </c>
      <c r="F268" s="32">
        <v>26.240000000000002</v>
      </c>
      <c r="G268" s="32">
        <v>80.213284272226986</v>
      </c>
      <c r="H268" s="32">
        <v>27.146421470702922</v>
      </c>
      <c r="I268" s="32">
        <v>4090.1109491726365</v>
      </c>
      <c r="J268" s="32">
        <v>24.477207736344834</v>
      </c>
      <c r="K268" s="32">
        <v>104.8717783320854</v>
      </c>
      <c r="L268" s="742">
        <v>0.33842800125941341</v>
      </c>
      <c r="M268" s="32">
        <v>0.53390295428795753</v>
      </c>
      <c r="N268" s="32">
        <v>1.4948102452617197E-4</v>
      </c>
      <c r="O268" s="32">
        <v>0</v>
      </c>
      <c r="P268" s="32">
        <v>1.9687731525927215E-3</v>
      </c>
      <c r="Q268" s="32">
        <v>0.10839896735210587</v>
      </c>
      <c r="R268" s="32">
        <v>1.305723903817805</v>
      </c>
      <c r="S268" s="32">
        <v>5.1719097539203789</v>
      </c>
      <c r="T268" s="32">
        <v>6.8544872090345716</v>
      </c>
      <c r="U268" s="32">
        <v>6.6359906550725816</v>
      </c>
      <c r="V268" s="32">
        <v>6.7309510448343826</v>
      </c>
      <c r="W268" s="32">
        <v>3.1642988421747451</v>
      </c>
      <c r="X268" s="32">
        <v>1.8195593862175836</v>
      </c>
      <c r="Y268" s="32">
        <v>0.5142690282433916</v>
      </c>
      <c r="Z268" s="32">
        <v>3.5239952231473381E-3</v>
      </c>
      <c r="AA268" s="32"/>
      <c r="AB268" s="32">
        <v>0</v>
      </c>
      <c r="AC268" s="32">
        <v>1.346401099031463E-3</v>
      </c>
      <c r="AD268" s="32">
        <v>3.9969866918525609E-2</v>
      </c>
      <c r="AE268" s="32">
        <v>0.86053059928851727</v>
      </c>
      <c r="AF268" s="32">
        <v>3.3536002745210007</v>
      </c>
      <c r="AG268" s="32">
        <v>5.0385641726232988</v>
      </c>
      <c r="AH268" s="32">
        <v>5.7152066754122162</v>
      </c>
      <c r="AI268" s="32">
        <v>4.8948969990247138</v>
      </c>
      <c r="AJ268" s="32">
        <v>2.5327111700881058</v>
      </c>
      <c r="AK268" s="32">
        <v>1.195291346675051</v>
      </c>
      <c r="AL268" s="32">
        <v>0.25374798784890312</v>
      </c>
      <c r="AM268" s="26">
        <v>2.6042203873570336E-3</v>
      </c>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c r="BZ268" s="26"/>
      <c r="CA268" s="26"/>
      <c r="CB268" s="26"/>
      <c r="CC268" s="26"/>
      <c r="CD268" s="26"/>
      <c r="CE268" s="26"/>
      <c r="CF268" s="26"/>
      <c r="CG268" s="26"/>
      <c r="CH268" s="26"/>
      <c r="CI268" s="26"/>
      <c r="CJ268" s="26"/>
      <c r="CK268" s="26"/>
      <c r="CL268" s="26"/>
      <c r="CM268" s="26"/>
      <c r="CN268" s="26"/>
      <c r="CO268" s="26"/>
      <c r="CP268" s="26"/>
      <c r="CQ268" s="26"/>
      <c r="CR268" s="26"/>
      <c r="CS268" s="26"/>
      <c r="CT268" s="26"/>
      <c r="CU268" s="26"/>
      <c r="CV268" s="26"/>
      <c r="CW268" s="26"/>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row>
    <row r="269" spans="1:131">
      <c r="A269" s="7" t="s">
        <v>1342</v>
      </c>
      <c r="B269" s="7"/>
      <c r="C269" s="32">
        <v>10.308621518278239</v>
      </c>
      <c r="D269" s="32">
        <v>3.3866666666666667</v>
      </c>
      <c r="E269" s="32">
        <v>0.67733333333333334</v>
      </c>
      <c r="F269" s="32">
        <v>4.0640000000000001</v>
      </c>
      <c r="G269" s="32">
        <v>15.159181668026848</v>
      </c>
      <c r="H269" s="32">
        <v>4.9794380591777374</v>
      </c>
      <c r="I269" s="32">
        <v>3453.48211076296</v>
      </c>
      <c r="J269" s="32">
        <v>20.643806393170983</v>
      </c>
      <c r="K269" s="32">
        <v>108.05347375084912</v>
      </c>
      <c r="L269" s="742">
        <v>0.32847670594780015</v>
      </c>
      <c r="M269" s="32">
        <v>9.7933228265760314E-2</v>
      </c>
      <c r="N269" s="32">
        <v>2.7419138962894343E-5</v>
      </c>
      <c r="O269" s="32">
        <v>0</v>
      </c>
      <c r="P269" s="32">
        <v>3.6112988139109213E-4</v>
      </c>
      <c r="Q269" s="32">
        <v>1.9883502663184165E-2</v>
      </c>
      <c r="R269" s="32">
        <v>0.23950749119788714</v>
      </c>
      <c r="S269" s="32">
        <v>0.94867768464794533</v>
      </c>
      <c r="T269" s="32">
        <v>1.2573110058594388</v>
      </c>
      <c r="U269" s="32">
        <v>1.2172324246817428</v>
      </c>
      <c r="V269" s="32">
        <v>1.2346509039241937</v>
      </c>
      <c r="W269" s="32">
        <v>0.58042383606037018</v>
      </c>
      <c r="X269" s="32">
        <v>0.33375976529518309</v>
      </c>
      <c r="Y269" s="32">
        <v>9.4331798931772376E-2</v>
      </c>
      <c r="Z269" s="32">
        <v>6.4640254530189611E-4</v>
      </c>
      <c r="AA269" s="32"/>
      <c r="AB269" s="32">
        <v>0</v>
      </c>
      <c r="AC269" s="32">
        <v>2.4696886411608513E-4</v>
      </c>
      <c r="AD269" s="32">
        <v>7.3316284715158877E-3</v>
      </c>
      <c r="AE269" s="32">
        <v>0.15784617585079139</v>
      </c>
      <c r="AF269" s="32">
        <v>0.61514718837769489</v>
      </c>
      <c r="AG269" s="32">
        <v>0.92421825218645304</v>
      </c>
      <c r="AH269" s="32">
        <v>1.0483340379256765</v>
      </c>
      <c r="AI269" s="32">
        <v>0.89786554146753395</v>
      </c>
      <c r="AJ269" s="32">
        <v>0.46457240807418815</v>
      </c>
      <c r="AK269" s="32">
        <v>0.21925096940909786</v>
      </c>
      <c r="AL269" s="32">
        <v>4.6544712698070471E-2</v>
      </c>
      <c r="AM269" s="26">
        <v>4.7768926468953234E-4</v>
      </c>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c r="BZ269" s="26"/>
      <c r="CA269" s="26"/>
      <c r="CB269" s="26"/>
      <c r="CC269" s="26"/>
      <c r="CD269" s="26"/>
      <c r="CE269" s="26"/>
      <c r="CF269" s="26"/>
      <c r="CG269" s="26"/>
      <c r="CH269" s="26"/>
      <c r="CI269" s="26"/>
      <c r="CJ269" s="26"/>
      <c r="CK269" s="26"/>
      <c r="CL269" s="26"/>
      <c r="CM269" s="26"/>
      <c r="CN269" s="26"/>
      <c r="CO269" s="26"/>
      <c r="CP269" s="26"/>
      <c r="CQ269" s="26"/>
      <c r="CR269" s="26"/>
      <c r="CS269" s="26"/>
      <c r="CT269" s="26"/>
      <c r="CU269" s="26"/>
      <c r="CV269" s="26"/>
      <c r="CW269" s="26"/>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row>
    <row r="270" spans="1:131">
      <c r="A270" s="7" t="s">
        <v>1293</v>
      </c>
      <c r="B270" s="7"/>
      <c r="C270" s="32">
        <v>48.503075778542595</v>
      </c>
      <c r="D270" s="32">
        <v>19.733333333333334</v>
      </c>
      <c r="E270" s="32">
        <v>3.9466666666666672</v>
      </c>
      <c r="F270" s="32">
        <v>23.68</v>
      </c>
      <c r="G270" s="32">
        <v>72.387598001765824</v>
      </c>
      <c r="H270" s="32">
        <v>23.428744676542891</v>
      </c>
      <c r="I270" s="32">
        <v>4276.7761975987623</v>
      </c>
      <c r="J270" s="32">
        <v>25.60119516963185</v>
      </c>
      <c r="K270" s="32">
        <v>109.66482821351977</v>
      </c>
      <c r="L270" s="742">
        <v>0.32365688768912282</v>
      </c>
      <c r="M270" s="32">
        <v>0.46078544870321808</v>
      </c>
      <c r="N270" s="32">
        <v>1.2900973932756995E-4</v>
      </c>
      <c r="O270" s="32">
        <v>0</v>
      </c>
      <c r="P270" s="32">
        <v>1.6991515278692447E-3</v>
      </c>
      <c r="Q270" s="32">
        <v>9.3553831101983495E-2</v>
      </c>
      <c r="R270" s="32">
        <v>1.1269062477948077</v>
      </c>
      <c r="S270" s="32">
        <v>4.4636215954096761</v>
      </c>
      <c r="T270" s="32">
        <v>5.9157716564010121</v>
      </c>
      <c r="U270" s="32">
        <v>5.7271979992431215</v>
      </c>
      <c r="V270" s="32">
        <v>5.8091536532697594</v>
      </c>
      <c r="W270" s="32">
        <v>2.7309511028406215</v>
      </c>
      <c r="X270" s="32">
        <v>1.5703724459412165</v>
      </c>
      <c r="Y270" s="32">
        <v>0.44384037029600693</v>
      </c>
      <c r="Z270" s="32">
        <v>3.0413874039928106E-3</v>
      </c>
      <c r="AA270" s="32"/>
      <c r="AB270" s="32">
        <v>0</v>
      </c>
      <c r="AC270" s="32">
        <v>1.1620127395232738E-3</v>
      </c>
      <c r="AD270" s="32">
        <v>3.4496031375633382E-2</v>
      </c>
      <c r="AE270" s="32">
        <v>0.74268174605781967</v>
      </c>
      <c r="AF270" s="32">
        <v>2.8943278827278247</v>
      </c>
      <c r="AG270" s="32">
        <v>4.3485375655928502</v>
      </c>
      <c r="AH270" s="32">
        <v>4.9325145163761182</v>
      </c>
      <c r="AI270" s="32">
        <v>4.2245454757966163</v>
      </c>
      <c r="AJ270" s="32">
        <v>2.1858587662267661</v>
      </c>
      <c r="AK270" s="32">
        <v>1.031597325104294</v>
      </c>
      <c r="AL270" s="32">
        <v>0.21899744045138511</v>
      </c>
      <c r="AM270" s="26">
        <v>2.2475748636954966E-3</v>
      </c>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c r="BZ270" s="26"/>
      <c r="CA270" s="26"/>
      <c r="CB270" s="26"/>
      <c r="CC270" s="26"/>
      <c r="CD270" s="26"/>
      <c r="CE270" s="26"/>
      <c r="CF270" s="26"/>
      <c r="CG270" s="26"/>
      <c r="CH270" s="26"/>
      <c r="CI270" s="26"/>
      <c r="CJ270" s="26"/>
      <c r="CK270" s="26"/>
      <c r="CL270" s="26"/>
      <c r="CM270" s="26"/>
      <c r="CN270" s="26"/>
      <c r="CO270" s="26"/>
      <c r="CP270" s="26"/>
      <c r="CQ270" s="26"/>
      <c r="CR270" s="26"/>
      <c r="CS270" s="26"/>
      <c r="CT270" s="26"/>
      <c r="CU270" s="26"/>
      <c r="CV270" s="26"/>
      <c r="CW270" s="26"/>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row>
    <row r="271" spans="1:131">
      <c r="A271" s="7" t="s">
        <v>1309</v>
      </c>
      <c r="B271" s="7"/>
      <c r="C271" s="32">
        <v>7.7081209822715397</v>
      </c>
      <c r="D271" s="32">
        <v>6.1749999999999998</v>
      </c>
      <c r="E271" s="32">
        <v>1.2350000000000001</v>
      </c>
      <c r="F271" s="32">
        <v>7.41</v>
      </c>
      <c r="G271" s="32">
        <v>12.713016647993882</v>
      </c>
      <c r="H271" s="32">
        <v>3.7233019871584156</v>
      </c>
      <c r="I271" s="32">
        <v>8421.1963135107562</v>
      </c>
      <c r="J271" s="32">
        <v>50.556435461134605</v>
      </c>
      <c r="K271" s="32">
        <v>121.2074872067093</v>
      </c>
      <c r="L271" s="742">
        <v>0.29287320942397677</v>
      </c>
      <c r="M271" s="32">
        <v>7.3228139215162302E-2</v>
      </c>
      <c r="N271" s="32">
        <v>2.0502260169408662E-5</v>
      </c>
      <c r="O271" s="32">
        <v>0</v>
      </c>
      <c r="P271" s="32">
        <v>2.7002958748075526E-4</v>
      </c>
      <c r="Q271" s="32">
        <v>1.4867598330910529E-2</v>
      </c>
      <c r="R271" s="32">
        <v>0.17908822387554268</v>
      </c>
      <c r="S271" s="32">
        <v>0.70935986479683644</v>
      </c>
      <c r="T271" s="32">
        <v>0.94013591713713096</v>
      </c>
      <c r="U271" s="32">
        <v>0.91016774418910817</v>
      </c>
      <c r="V271" s="32">
        <v>0.92319215730680126</v>
      </c>
      <c r="W271" s="32">
        <v>0.4340034350290829</v>
      </c>
      <c r="X271" s="32">
        <v>0.24956398344320188</v>
      </c>
      <c r="Y271" s="32">
        <v>7.0535223099631214E-2</v>
      </c>
      <c r="Z271" s="32">
        <v>4.8333804996145277E-4</v>
      </c>
      <c r="AA271" s="32"/>
      <c r="AB271" s="32">
        <v>0</v>
      </c>
      <c r="AC271" s="32">
        <v>1.8466735635657691E-4</v>
      </c>
      <c r="AD271" s="32">
        <v>5.4821179684701364E-3</v>
      </c>
      <c r="AE271" s="32">
        <v>0.11802716957737555</v>
      </c>
      <c r="AF271" s="32">
        <v>0.45996731391409229</v>
      </c>
      <c r="AG271" s="32">
        <v>0.69107068187974241</v>
      </c>
      <c r="AH271" s="32">
        <v>0.7838764455399273</v>
      </c>
      <c r="AI271" s="32">
        <v>0.67136582783382925</v>
      </c>
      <c r="AJ271" s="32">
        <v>0.34737722401696697</v>
      </c>
      <c r="AK271" s="32">
        <v>0.16394170594866414</v>
      </c>
      <c r="AL271" s="32">
        <v>3.4803128228702324E-2</v>
      </c>
      <c r="AM271" s="26">
        <v>3.5718516172414828E-4</v>
      </c>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c r="CV271" s="26"/>
      <c r="CW271" s="26"/>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row>
    <row r="272" spans="1:131">
      <c r="A272" s="7" t="s">
        <v>1554</v>
      </c>
      <c r="B272" s="7"/>
      <c r="C272" s="32">
        <v>2.8320162362181653</v>
      </c>
      <c r="D272" s="32">
        <v>2.0750000000000002</v>
      </c>
      <c r="E272" s="32">
        <v>0.41500000000000004</v>
      </c>
      <c r="F272" s="32">
        <v>2.4900000000000002</v>
      </c>
      <c r="G272" s="32">
        <v>5.1037127736287227</v>
      </c>
      <c r="H272" s="32">
        <v>1.3679665516703678</v>
      </c>
      <c r="I272" s="32">
        <v>7702.0744870897961</v>
      </c>
      <c r="J272" s="32">
        <v>46.226310262605999</v>
      </c>
      <c r="K272" s="32">
        <v>132.45419904259862</v>
      </c>
      <c r="L272" s="742">
        <v>0.26803360854058178</v>
      </c>
      <c r="M272" s="32">
        <v>2.6904517934054156E-2</v>
      </c>
      <c r="N272" s="32">
        <v>7.5326702593896704E-6</v>
      </c>
      <c r="O272" s="32">
        <v>0</v>
      </c>
      <c r="P272" s="32">
        <v>9.9210712670914938E-5</v>
      </c>
      <c r="Q272" s="32">
        <v>5.4624570584127655E-3</v>
      </c>
      <c r="R272" s="32">
        <v>6.5798235250524986E-2</v>
      </c>
      <c r="S272" s="32">
        <v>0.26062365381220914</v>
      </c>
      <c r="T272" s="32">
        <v>0.34541234987201674</v>
      </c>
      <c r="U272" s="32">
        <v>0.3344018386782</v>
      </c>
      <c r="V272" s="32">
        <v>0.33918709691446214</v>
      </c>
      <c r="W272" s="32">
        <v>0.15945582294358437</v>
      </c>
      <c r="X272" s="32">
        <v>9.1691510124449066E-2</v>
      </c>
      <c r="Y272" s="32">
        <v>2.5915122181250319E-2</v>
      </c>
      <c r="Z272" s="32">
        <v>1.7758169704667467E-4</v>
      </c>
      <c r="AA272" s="32"/>
      <c r="AB272" s="32">
        <v>0</v>
      </c>
      <c r="AC272" s="32">
        <v>6.7848046586730152E-5</v>
      </c>
      <c r="AD272" s="32">
        <v>2.0141675424242638E-3</v>
      </c>
      <c r="AE272" s="32">
        <v>4.3363987322822123E-2</v>
      </c>
      <c r="AF272" s="32">
        <v>0.16899512918004148</v>
      </c>
      <c r="AG272" s="32">
        <v>0.25390408323365937</v>
      </c>
      <c r="AH272" s="32">
        <v>0.28800155395379529</v>
      </c>
      <c r="AI272" s="32">
        <v>0.24666438542420827</v>
      </c>
      <c r="AJ272" s="32">
        <v>0.12762876202528564</v>
      </c>
      <c r="AK272" s="32">
        <v>6.0233301229672541E-2</v>
      </c>
      <c r="AL272" s="32">
        <v>1.2786906749590451E-2</v>
      </c>
      <c r="AM272" s="26">
        <v>1.3123226525187462E-4</v>
      </c>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c r="BZ272" s="26"/>
      <c r="CA272" s="26"/>
      <c r="CB272" s="26"/>
      <c r="CC272" s="26"/>
      <c r="CD272" s="26"/>
      <c r="CE272" s="26"/>
      <c r="CF272" s="26"/>
      <c r="CG272" s="26"/>
      <c r="CH272" s="26"/>
      <c r="CI272" s="26"/>
      <c r="CJ272" s="26"/>
      <c r="CK272" s="26"/>
      <c r="CL272" s="26"/>
      <c r="CM272" s="26"/>
      <c r="CN272" s="26"/>
      <c r="CO272" s="26"/>
      <c r="CP272" s="26"/>
      <c r="CQ272" s="26"/>
      <c r="CR272" s="26"/>
      <c r="CS272" s="26"/>
      <c r="CT272" s="26"/>
      <c r="CU272" s="26"/>
      <c r="CV272" s="26"/>
      <c r="CW272" s="26"/>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row>
    <row r="273" spans="1:131">
      <c r="A273" s="7" t="s">
        <v>1548</v>
      </c>
      <c r="B273" s="7"/>
      <c r="C273" s="32">
        <v>26.980540557862223</v>
      </c>
      <c r="D273" s="32">
        <v>28.8</v>
      </c>
      <c r="E273" s="32">
        <v>5.7600000000000007</v>
      </c>
      <c r="F273" s="32">
        <v>34.56</v>
      </c>
      <c r="G273" s="32">
        <v>70.837073677352876</v>
      </c>
      <c r="H273" s="32">
        <v>13.032579600754101</v>
      </c>
      <c r="I273" s="32">
        <v>11220.88711865259</v>
      </c>
      <c r="J273" s="32">
        <v>67.414513269409795</v>
      </c>
      <c r="K273" s="32">
        <v>193.03695539222213</v>
      </c>
      <c r="L273" s="742">
        <v>0.18397964405072129</v>
      </c>
      <c r="M273" s="32">
        <v>0.25631860016411295</v>
      </c>
      <c r="N273" s="32">
        <v>7.176354176339872E-5</v>
      </c>
      <c r="O273" s="32">
        <v>0</v>
      </c>
      <c r="P273" s="32">
        <v>9.451777227684761E-4</v>
      </c>
      <c r="Q273" s="32">
        <v>5.204067770702319E-2</v>
      </c>
      <c r="R273" s="32">
        <v>0.62685797210796457</v>
      </c>
      <c r="S273" s="32">
        <v>2.4829543602506585</v>
      </c>
      <c r="T273" s="32">
        <v>3.2907339286138613</v>
      </c>
      <c r="U273" s="32">
        <v>3.1858370922086183</v>
      </c>
      <c r="V273" s="32">
        <v>3.2314261154183601</v>
      </c>
      <c r="W273" s="32">
        <v>1.5191312264020702</v>
      </c>
      <c r="X273" s="32">
        <v>0.8735424875345793</v>
      </c>
      <c r="Y273" s="32">
        <v>0.2468926541208275</v>
      </c>
      <c r="Z273" s="32">
        <v>1.6918159289580827E-3</v>
      </c>
      <c r="AA273" s="32"/>
      <c r="AB273" s="32">
        <v>0</v>
      </c>
      <c r="AC273" s="32">
        <v>6.4638646816146976E-4</v>
      </c>
      <c r="AD273" s="32">
        <v>1.9188918613431701E-2</v>
      </c>
      <c r="AE273" s="32">
        <v>0.41312751097656331</v>
      </c>
      <c r="AF273" s="32">
        <v>1.610011933763513</v>
      </c>
      <c r="AG273" s="32">
        <v>2.4189371967162847</v>
      </c>
      <c r="AH273" s="32">
        <v>2.743782859647109</v>
      </c>
      <c r="AI273" s="32">
        <v>2.3499647954014518</v>
      </c>
      <c r="AJ273" s="32">
        <v>1.2159156950213523</v>
      </c>
      <c r="AK273" s="32">
        <v>0.57384099920672926</v>
      </c>
      <c r="AL273" s="32">
        <v>0.1218205078610822</v>
      </c>
      <c r="AM273" s="26">
        <v>1.250246170854077E-3</v>
      </c>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c r="CW273" s="26"/>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row>
    <row r="274" spans="1:131">
      <c r="A274" s="7" t="s">
        <v>1327</v>
      </c>
      <c r="B274" s="7"/>
      <c r="C274" s="32">
        <v>4.1620494190903221</v>
      </c>
      <c r="D274" s="32">
        <v>4.9800000000000004</v>
      </c>
      <c r="E274" s="32">
        <v>0.99600000000000011</v>
      </c>
      <c r="F274" s="32">
        <v>5.9760000000000009</v>
      </c>
      <c r="G274" s="32">
        <v>12.248910656708935</v>
      </c>
      <c r="H274" s="32">
        <v>2.0104208157075107</v>
      </c>
      <c r="I274" s="32">
        <v>12577.880445120189</v>
      </c>
      <c r="J274" s="32">
        <v>75.585522382590099</v>
      </c>
      <c r="K274" s="32">
        <v>216.40006240395863</v>
      </c>
      <c r="L274" s="742">
        <v>0.16413058042891099</v>
      </c>
      <c r="M274" s="32">
        <v>3.9540003975354655E-2</v>
      </c>
      <c r="N274" s="32">
        <v>1.1070327025793422E-5</v>
      </c>
      <c r="O274" s="32">
        <v>0</v>
      </c>
      <c r="P274" s="32">
        <v>1.4580420965062184E-4</v>
      </c>
      <c r="Q274" s="32">
        <v>8.0278551852981973E-3</v>
      </c>
      <c r="R274" s="32">
        <v>9.6699836427251107E-2</v>
      </c>
      <c r="S274" s="32">
        <v>0.38302341387662153</v>
      </c>
      <c r="T274" s="32">
        <v>0.50763242517678231</v>
      </c>
      <c r="U274" s="32">
        <v>0.49145091776448435</v>
      </c>
      <c r="V274" s="32">
        <v>0.498483533258606</v>
      </c>
      <c r="W274" s="32">
        <v>0.23434294152888083</v>
      </c>
      <c r="X274" s="32">
        <v>0.13475367533859683</v>
      </c>
      <c r="Y274" s="32">
        <v>3.8085946627256055E-2</v>
      </c>
      <c r="Z274" s="32">
        <v>2.6098148364473177E-4</v>
      </c>
      <c r="AA274" s="32"/>
      <c r="AB274" s="32">
        <v>0</v>
      </c>
      <c r="AC274" s="32">
        <v>9.9712324834623443E-5</v>
      </c>
      <c r="AD274" s="32">
        <v>2.9601047983722427E-3</v>
      </c>
      <c r="AE274" s="32">
        <v>6.3729528079050302E-2</v>
      </c>
      <c r="AF274" s="32">
        <v>0.24836230464983164</v>
      </c>
      <c r="AG274" s="32">
        <v>0.37314805212363367</v>
      </c>
      <c r="AH274" s="32">
        <v>0.42325912012820943</v>
      </c>
      <c r="AI274" s="32">
        <v>0.36250828965445614</v>
      </c>
      <c r="AJ274" s="32">
        <v>0.18756856265623334</v>
      </c>
      <c r="AK274" s="32">
        <v>8.8521376815135847E-2</v>
      </c>
      <c r="AL274" s="32">
        <v>1.8792172561893201E-2</v>
      </c>
      <c r="AM274" s="26">
        <v>1.9286442159909833E-4</v>
      </c>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c r="BZ274" s="26"/>
      <c r="CA274" s="26"/>
      <c r="CB274" s="26"/>
      <c r="CC274" s="26"/>
      <c r="CD274" s="26"/>
      <c r="CE274" s="26"/>
      <c r="CF274" s="26"/>
      <c r="CG274" s="26"/>
      <c r="CH274" s="26"/>
      <c r="CI274" s="26"/>
      <c r="CJ274" s="26"/>
      <c r="CK274" s="26"/>
      <c r="CL274" s="26"/>
      <c r="CM274" s="26"/>
      <c r="CN274" s="26"/>
      <c r="CO274" s="26"/>
      <c r="CP274" s="26"/>
      <c r="CQ274" s="26"/>
      <c r="CR274" s="26"/>
      <c r="CS274" s="26"/>
      <c r="CT274" s="26"/>
      <c r="CU274" s="26"/>
      <c r="CV274" s="26"/>
      <c r="CW274" s="26"/>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row>
    <row r="275" spans="1:131">
      <c r="A275" s="7" t="s">
        <v>1340</v>
      </c>
      <c r="B275" s="7"/>
      <c r="C275" s="32">
        <v>4.1620494190903221</v>
      </c>
      <c r="D275" s="32">
        <v>4.9800000000000004</v>
      </c>
      <c r="E275" s="32">
        <v>0.99600000000000011</v>
      </c>
      <c r="F275" s="32">
        <v>5.9760000000000009</v>
      </c>
      <c r="G275" s="32">
        <v>12.248910656708935</v>
      </c>
      <c r="H275" s="32">
        <v>2.0104208157075107</v>
      </c>
      <c r="I275" s="32">
        <v>12577.880445120189</v>
      </c>
      <c r="J275" s="32">
        <v>75.585522382590099</v>
      </c>
      <c r="K275" s="32">
        <v>216.40006240395863</v>
      </c>
      <c r="L275" s="742">
        <v>0.16413058042891099</v>
      </c>
      <c r="M275" s="32">
        <v>3.9540003975354655E-2</v>
      </c>
      <c r="N275" s="32">
        <v>1.1070327025793422E-5</v>
      </c>
      <c r="O275" s="32">
        <v>0</v>
      </c>
      <c r="P275" s="32">
        <v>1.4580420965062184E-4</v>
      </c>
      <c r="Q275" s="32">
        <v>8.0278551852981973E-3</v>
      </c>
      <c r="R275" s="32">
        <v>9.6699836427251107E-2</v>
      </c>
      <c r="S275" s="32">
        <v>0.38302341387662153</v>
      </c>
      <c r="T275" s="32">
        <v>0.50763242517678231</v>
      </c>
      <c r="U275" s="32">
        <v>0.49145091776448435</v>
      </c>
      <c r="V275" s="32">
        <v>0.498483533258606</v>
      </c>
      <c r="W275" s="32">
        <v>0.23434294152888083</v>
      </c>
      <c r="X275" s="32">
        <v>0.13475367533859683</v>
      </c>
      <c r="Y275" s="32">
        <v>3.8085946627256055E-2</v>
      </c>
      <c r="Z275" s="32">
        <v>2.6098148364473177E-4</v>
      </c>
      <c r="AA275" s="32"/>
      <c r="AB275" s="32">
        <v>0</v>
      </c>
      <c r="AC275" s="32">
        <v>9.9712324834623443E-5</v>
      </c>
      <c r="AD275" s="32">
        <v>2.9601047983722427E-3</v>
      </c>
      <c r="AE275" s="32">
        <v>6.3729528079050302E-2</v>
      </c>
      <c r="AF275" s="32">
        <v>0.24836230464983164</v>
      </c>
      <c r="AG275" s="32">
        <v>0.37314805212363367</v>
      </c>
      <c r="AH275" s="32">
        <v>0.42325912012820943</v>
      </c>
      <c r="AI275" s="32">
        <v>0.36250828965445614</v>
      </c>
      <c r="AJ275" s="32">
        <v>0.18756856265623334</v>
      </c>
      <c r="AK275" s="32">
        <v>8.8521376815135847E-2</v>
      </c>
      <c r="AL275" s="32">
        <v>1.8792172561893201E-2</v>
      </c>
      <c r="AM275" s="26">
        <v>1.9286442159909833E-4</v>
      </c>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c r="CB275" s="26"/>
      <c r="CC275" s="26"/>
      <c r="CD275" s="26"/>
      <c r="CE275" s="26"/>
      <c r="CF275" s="26"/>
      <c r="CG275" s="26"/>
      <c r="CH275" s="26"/>
      <c r="CI275" s="26"/>
      <c r="CJ275" s="26"/>
      <c r="CK275" s="26"/>
      <c r="CL275" s="26"/>
      <c r="CM275" s="26"/>
      <c r="CN275" s="26"/>
      <c r="CO275" s="26"/>
      <c r="CP275" s="26"/>
      <c r="CQ275" s="26"/>
      <c r="CR275" s="26"/>
      <c r="CS275" s="26"/>
      <c r="CT275" s="26"/>
      <c r="CU275" s="26"/>
      <c r="CV275" s="26"/>
      <c r="CW275" s="26"/>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row>
    <row r="276" spans="1:131">
      <c r="A276" s="7" t="s">
        <v>1552</v>
      </c>
      <c r="B276" s="7"/>
      <c r="C276" s="32">
        <v>1.7017687925467591</v>
      </c>
      <c r="D276" s="32">
        <v>3.9583333333333335</v>
      </c>
      <c r="E276" s="32">
        <v>0.79166666666666674</v>
      </c>
      <c r="F276" s="32">
        <v>4.75</v>
      </c>
      <c r="G276" s="32">
        <v>6.0526841362108934</v>
      </c>
      <c r="H276" s="32">
        <v>0.82201604535613804</v>
      </c>
      <c r="I276" s="32">
        <v>24451.030117745384</v>
      </c>
      <c r="J276" s="32">
        <v>147.07858891794004</v>
      </c>
      <c r="K276" s="32">
        <v>261.55732925333763</v>
      </c>
      <c r="L276" s="742">
        <v>0.1358101673335852</v>
      </c>
      <c r="M276" s="32">
        <v>1.6167022071818662E-2</v>
      </c>
      <c r="N276" s="32">
        <v>4.5264087853862627E-6</v>
      </c>
      <c r="O276" s="32">
        <v>0</v>
      </c>
      <c r="P276" s="32">
        <v>5.9616075836890153E-5</v>
      </c>
      <c r="Q276" s="32">
        <v>3.282410190220924E-3</v>
      </c>
      <c r="R276" s="32">
        <v>3.953839738698716E-2</v>
      </c>
      <c r="S276" s="32">
        <v>0.15660969558896304</v>
      </c>
      <c r="T276" s="32">
        <v>0.20755952951646792</v>
      </c>
      <c r="U276" s="32">
        <v>0.20094327354307501</v>
      </c>
      <c r="V276" s="32">
        <v>0.20381875251335901</v>
      </c>
      <c r="W276" s="32">
        <v>9.5817580353147844E-2</v>
      </c>
      <c r="X276" s="32">
        <v>5.5097759848878276E-2</v>
      </c>
      <c r="Y276" s="32">
        <v>1.5572490587829635E-2</v>
      </c>
      <c r="Z276" s="32">
        <v>1.0670948361690241E-4</v>
      </c>
      <c r="AA276" s="32"/>
      <c r="AB276" s="32">
        <v>0</v>
      </c>
      <c r="AC276" s="32">
        <v>4.0770136427869474E-5</v>
      </c>
      <c r="AD276" s="32">
        <v>1.2103205563663876E-3</v>
      </c>
      <c r="AE276" s="32">
        <v>2.6057576719587389E-2</v>
      </c>
      <c r="AF276" s="32">
        <v>0.10154978395005504</v>
      </c>
      <c r="AG276" s="32">
        <v>0.15257188134070795</v>
      </c>
      <c r="AH276" s="32">
        <v>0.17306117474030772</v>
      </c>
      <c r="AI276" s="32">
        <v>0.14822152075942635</v>
      </c>
      <c r="AJ276" s="32">
        <v>7.6692584409772543E-2</v>
      </c>
      <c r="AK276" s="32">
        <v>3.6194408419637565E-2</v>
      </c>
      <c r="AL276" s="32">
        <v>7.6836984835641419E-3</v>
      </c>
      <c r="AM276" s="26">
        <v>7.885794252334032E-5</v>
      </c>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c r="CW276" s="26"/>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row>
    <row r="277" spans="1:131">
      <c r="A277" s="7" t="s">
        <v>1313</v>
      </c>
      <c r="B277" s="7"/>
      <c r="C277" s="32">
        <v>3.206887426208211</v>
      </c>
      <c r="D277" s="32">
        <v>4.9800000000000004</v>
      </c>
      <c r="E277" s="32">
        <v>0.99600000000000011</v>
      </c>
      <c r="F277" s="32">
        <v>5.9760000000000009</v>
      </c>
      <c r="G277" s="32">
        <v>12.248910656708935</v>
      </c>
      <c r="H277" s="32">
        <v>1.5490429320007464</v>
      </c>
      <c r="I277" s="32">
        <v>16324.165161574691</v>
      </c>
      <c r="J277" s="32">
        <v>98.143427393369564</v>
      </c>
      <c r="K277" s="32">
        <v>280.8991642195852</v>
      </c>
      <c r="L277" s="742">
        <v>0.12646373015646983</v>
      </c>
      <c r="M277" s="32">
        <v>3.0465842380242986E-2</v>
      </c>
      <c r="N277" s="32">
        <v>8.5297623762452117E-6</v>
      </c>
      <c r="O277" s="32">
        <v>0</v>
      </c>
      <c r="P277" s="32">
        <v>1.1234313664612881E-4</v>
      </c>
      <c r="Q277" s="32">
        <v>6.1855171000780671E-3</v>
      </c>
      <c r="R277" s="32">
        <v>7.4507882614887458E-2</v>
      </c>
      <c r="S277" s="32">
        <v>0.29512214926384689</v>
      </c>
      <c r="T277" s="32">
        <v>0.39113424121494689</v>
      </c>
      <c r="U277" s="32">
        <v>0.37866627953732335</v>
      </c>
      <c r="V277" s="32">
        <v>0.38408495767651396</v>
      </c>
      <c r="W277" s="32">
        <v>0.18056283261861603</v>
      </c>
      <c r="X277" s="32">
        <v>0.10382862469065547</v>
      </c>
      <c r="Y277" s="32">
        <v>2.9345481289570895E-2</v>
      </c>
      <c r="Z277" s="32">
        <v>2.0108801076090525E-4</v>
      </c>
      <c r="AA277" s="32"/>
      <c r="AB277" s="32">
        <v>0</v>
      </c>
      <c r="AC277" s="32">
        <v>7.6829025451608478E-5</v>
      </c>
      <c r="AD277" s="32">
        <v>2.2807809091880777E-3</v>
      </c>
      <c r="AE277" s="32">
        <v>4.9104035463269045E-2</v>
      </c>
      <c r="AF277" s="32">
        <v>0.19136484739283047</v>
      </c>
      <c r="AG277" s="32">
        <v>0.28751311576951705</v>
      </c>
      <c r="AH277" s="32">
        <v>0.3261240349865363</v>
      </c>
      <c r="AI277" s="32">
        <v>0.27931510631683132</v>
      </c>
      <c r="AJ277" s="32">
        <v>0.14452285510480337</v>
      </c>
      <c r="AK277" s="32">
        <v>6.8206323778140995E-2</v>
      </c>
      <c r="AL277" s="32">
        <v>1.4479496957304732E-2</v>
      </c>
      <c r="AM277" s="26">
        <v>1.4860335049175097E-4</v>
      </c>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6"/>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row>
    <row r="278" spans="1:131">
      <c r="A278" s="7" t="s">
        <v>1341</v>
      </c>
      <c r="B278" s="7"/>
      <c r="C278" s="32">
        <v>10.308621518278239</v>
      </c>
      <c r="D278" s="32">
        <v>9.0666666666666664</v>
      </c>
      <c r="E278" s="32">
        <v>1.8133333333333335</v>
      </c>
      <c r="F278" s="32">
        <v>10.879999999999999</v>
      </c>
      <c r="G278" s="32">
        <v>40.583635961646671</v>
      </c>
      <c r="H278" s="32">
        <v>4.9794380591777374</v>
      </c>
      <c r="I278" s="32">
        <v>9245.5426587354832</v>
      </c>
      <c r="J278" s="32">
        <v>55.520160313623002</v>
      </c>
      <c r="K278" s="32">
        <v>289.53029339717068</v>
      </c>
      <c r="L278" s="742">
        <v>0.12269571075109008</v>
      </c>
      <c r="M278" s="32">
        <v>9.7933228265760314E-2</v>
      </c>
      <c r="N278" s="32">
        <v>2.7419138962894343E-5</v>
      </c>
      <c r="O278" s="32">
        <v>0</v>
      </c>
      <c r="P278" s="32">
        <v>3.6112988139109213E-4</v>
      </c>
      <c r="Q278" s="32">
        <v>1.9883502663184165E-2</v>
      </c>
      <c r="R278" s="32">
        <v>0.23950749119788714</v>
      </c>
      <c r="S278" s="32">
        <v>0.94867768464794533</v>
      </c>
      <c r="T278" s="32">
        <v>1.2573110058594388</v>
      </c>
      <c r="U278" s="32">
        <v>1.2172324246817428</v>
      </c>
      <c r="V278" s="32">
        <v>1.2346509039241937</v>
      </c>
      <c r="W278" s="32">
        <v>0.58042383606037018</v>
      </c>
      <c r="X278" s="32">
        <v>0.33375976529518309</v>
      </c>
      <c r="Y278" s="32">
        <v>9.4331798931772376E-2</v>
      </c>
      <c r="Z278" s="32">
        <v>6.4640254530189611E-4</v>
      </c>
      <c r="AA278" s="32"/>
      <c r="AB278" s="32">
        <v>0</v>
      </c>
      <c r="AC278" s="32">
        <v>2.4696886411608513E-4</v>
      </c>
      <c r="AD278" s="32">
        <v>7.3316284715158877E-3</v>
      </c>
      <c r="AE278" s="32">
        <v>0.15784617585079139</v>
      </c>
      <c r="AF278" s="32">
        <v>0.61514718837769489</v>
      </c>
      <c r="AG278" s="32">
        <v>0.92421825218645304</v>
      </c>
      <c r="AH278" s="32">
        <v>1.0483340379256765</v>
      </c>
      <c r="AI278" s="32">
        <v>0.89786554146753395</v>
      </c>
      <c r="AJ278" s="32">
        <v>0.46457240807418815</v>
      </c>
      <c r="AK278" s="32">
        <v>0.21925096940909786</v>
      </c>
      <c r="AL278" s="32">
        <v>4.6544712698070471E-2</v>
      </c>
      <c r="AM278" s="26">
        <v>4.7768926468953234E-4</v>
      </c>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26"/>
      <c r="CT278" s="26"/>
      <c r="CU278" s="26"/>
      <c r="CV278" s="26"/>
      <c r="CW278" s="26"/>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row>
    <row r="279" spans="1:131">
      <c r="A279" s="7" t="s">
        <v>1551</v>
      </c>
      <c r="B279" s="7"/>
      <c r="C279" s="32">
        <v>22.29338935784876</v>
      </c>
      <c r="D279" s="32">
        <v>24.253499999999999</v>
      </c>
      <c r="E279" s="32">
        <v>4.8506999999999998</v>
      </c>
      <c r="F279" s="32">
        <v>29.104199999999999</v>
      </c>
      <c r="G279" s="32">
        <v>88.968882169045301</v>
      </c>
      <c r="H279" s="32">
        <v>10.768515580837896</v>
      </c>
      <c r="I279" s="32">
        <v>11436.25080545411</v>
      </c>
      <c r="J279" s="32">
        <v>68.711305680382182</v>
      </c>
      <c r="K279" s="32">
        <v>293.50043344613579</v>
      </c>
      <c r="L279" s="742">
        <v>0.12103687624597981</v>
      </c>
      <c r="M279" s="32">
        <v>0.21179006183596191</v>
      </c>
      <c r="N279" s="32">
        <v>5.9296535397378663E-5</v>
      </c>
      <c r="O279" s="32">
        <v>0</v>
      </c>
      <c r="P279" s="32">
        <v>7.809782365499065E-4</v>
      </c>
      <c r="Q279" s="32">
        <v>4.2999994313713347E-2</v>
      </c>
      <c r="R279" s="32">
        <v>0.51795807479483758</v>
      </c>
      <c r="S279" s="32">
        <v>2.0516070903815162</v>
      </c>
      <c r="T279" s="32">
        <v>2.7190564468618201</v>
      </c>
      <c r="U279" s="32">
        <v>2.6323826453724282</v>
      </c>
      <c r="V279" s="32">
        <v>2.6700517885342987</v>
      </c>
      <c r="W279" s="32">
        <v>1.2552225869314098</v>
      </c>
      <c r="X279" s="32">
        <v>0.72178771783567042</v>
      </c>
      <c r="Y279" s="32">
        <v>0.20400162317372045</v>
      </c>
      <c r="Z279" s="32">
        <v>1.3979079160844488E-3</v>
      </c>
      <c r="AA279" s="32"/>
      <c r="AB279" s="32">
        <v>0</v>
      </c>
      <c r="AC279" s="32">
        <v>5.3409401414565756E-4</v>
      </c>
      <c r="AD279" s="32">
        <v>1.5855354457701771E-2</v>
      </c>
      <c r="AE279" s="32">
        <v>0.34135759574155872</v>
      </c>
      <c r="AF279" s="32">
        <v>1.330315188948791</v>
      </c>
      <c r="AG279" s="32">
        <v>1.9987112060608814</v>
      </c>
      <c r="AH279" s="32">
        <v>2.2671235764281255</v>
      </c>
      <c r="AI279" s="32">
        <v>1.9417209247075562</v>
      </c>
      <c r="AJ279" s="32">
        <v>1.0046826881506365</v>
      </c>
      <c r="AK279" s="32">
        <v>0.47415139060602368</v>
      </c>
      <c r="AL279" s="32">
        <v>0.10065743522423939</v>
      </c>
      <c r="AM279" s="26">
        <v>1.0330491570483889E-3</v>
      </c>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c r="CB279" s="26"/>
      <c r="CC279" s="26"/>
      <c r="CD279" s="26"/>
      <c r="CE279" s="26"/>
      <c r="CF279" s="26"/>
      <c r="CG279" s="26"/>
      <c r="CH279" s="26"/>
      <c r="CI279" s="26"/>
      <c r="CJ279" s="26"/>
      <c r="CK279" s="26"/>
      <c r="CL279" s="26"/>
      <c r="CM279" s="26"/>
      <c r="CN279" s="26"/>
      <c r="CO279" s="26"/>
      <c r="CP279" s="26"/>
      <c r="CQ279" s="26"/>
      <c r="CR279" s="26"/>
      <c r="CS279" s="26"/>
      <c r="CT279" s="26"/>
      <c r="CU279" s="26"/>
      <c r="CV279" s="26"/>
      <c r="CW279" s="26"/>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row>
    <row r="280" spans="1:131">
      <c r="A280" s="7" t="s">
        <v>1549</v>
      </c>
      <c r="B280" s="7"/>
      <c r="C280" s="32">
        <v>46.696102069221105</v>
      </c>
      <c r="D280" s="32">
        <v>160</v>
      </c>
      <c r="E280" s="32">
        <v>32</v>
      </c>
      <c r="F280" s="32">
        <v>192</v>
      </c>
      <c r="G280" s="32">
        <v>329.40609938121804</v>
      </c>
      <c r="H280" s="32">
        <v>22.555910840886511</v>
      </c>
      <c r="I280" s="32">
        <v>36018.423925550895</v>
      </c>
      <c r="J280" s="32">
        <v>216.73057494897145</v>
      </c>
      <c r="K280" s="32">
        <v>518.91323853032338</v>
      </c>
      <c r="L280" s="742">
        <v>6.8474478412079445E-2</v>
      </c>
      <c r="M280" s="32">
        <v>0.44361896641153331</v>
      </c>
      <c r="N280" s="32">
        <v>1.2420350377509255E-4</v>
      </c>
      <c r="O280" s="32">
        <v>0</v>
      </c>
      <c r="P280" s="32">
        <v>1.6358499312234614E-3</v>
      </c>
      <c r="Q280" s="32">
        <v>9.006849928551397E-2</v>
      </c>
      <c r="R280" s="32">
        <v>1.0849235502039842</v>
      </c>
      <c r="S280" s="32">
        <v>4.2973301439542793</v>
      </c>
      <c r="T280" s="32">
        <v>5.6953806052793663</v>
      </c>
      <c r="U280" s="32">
        <v>5.5138322271431752</v>
      </c>
      <c r="V280" s="32">
        <v>5.5927346374367239</v>
      </c>
      <c r="W280" s="32">
        <v>2.6292099912705664</v>
      </c>
      <c r="X280" s="32">
        <v>1.5118684917463365</v>
      </c>
      <c r="Y280" s="32">
        <v>0.42730517397315437</v>
      </c>
      <c r="Z280" s="32">
        <v>2.9280810416505731E-3</v>
      </c>
      <c r="AA280" s="32"/>
      <c r="AB280" s="32">
        <v>0</v>
      </c>
      <c r="AC280" s="32">
        <v>1.1187221556476818E-3</v>
      </c>
      <c r="AD280" s="32">
        <v>3.3210887685853722E-2</v>
      </c>
      <c r="AE280" s="32">
        <v>0.7150132659052032</v>
      </c>
      <c r="AF280" s="32">
        <v>2.7865001974460801</v>
      </c>
      <c r="AG280" s="32">
        <v>4.1865335497877467</v>
      </c>
      <c r="AH280" s="32">
        <v>4.7487545401504194</v>
      </c>
      <c r="AI280" s="32">
        <v>4.0671607638774887</v>
      </c>
      <c r="AJ280" s="32">
        <v>2.104424975493663</v>
      </c>
      <c r="AK280" s="32">
        <v>0.99316534496388242</v>
      </c>
      <c r="AL280" s="32">
        <v>0.21083872863873312</v>
      </c>
      <c r="AM280" s="26">
        <v>2.163841850412527E-3</v>
      </c>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c r="CB280" s="26"/>
      <c r="CC280" s="26"/>
      <c r="CD280" s="26"/>
      <c r="CE280" s="26"/>
      <c r="CF280" s="26"/>
      <c r="CG280" s="26"/>
      <c r="CH280" s="26"/>
      <c r="CI280" s="26"/>
      <c r="CJ280" s="26"/>
      <c r="CK280" s="26"/>
      <c r="CL280" s="26"/>
      <c r="CM280" s="26"/>
      <c r="CN280" s="26"/>
      <c r="CO280" s="26"/>
      <c r="CP280" s="26"/>
      <c r="CQ280" s="26"/>
      <c r="CR280" s="26"/>
      <c r="CS280" s="26"/>
      <c r="CT280" s="26"/>
      <c r="CU280" s="26"/>
      <c r="CV280" s="26"/>
      <c r="CW280" s="26"/>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row>
    <row r="281" spans="1:131">
      <c r="A281" s="7" t="s">
        <v>1553</v>
      </c>
      <c r="B281" s="7"/>
      <c r="C281" s="32">
        <v>1.7017687925467591</v>
      </c>
      <c r="D281" s="32">
        <v>6.1749999999999998</v>
      </c>
      <c r="E281" s="32">
        <v>1.2350000000000001</v>
      </c>
      <c r="F281" s="32">
        <v>7.41</v>
      </c>
      <c r="G281" s="32">
        <v>12.713016647993882</v>
      </c>
      <c r="H281" s="32">
        <v>0.82201604535613804</v>
      </c>
      <c r="I281" s="32">
        <v>38143.606983682796</v>
      </c>
      <c r="J281" s="32">
        <v>229.52716708872407</v>
      </c>
      <c r="K281" s="32">
        <v>549.53941361994794</v>
      </c>
      <c r="L281" s="742">
        <v>6.4659401314152487E-2</v>
      </c>
      <c r="M281" s="32">
        <v>1.6167022071818662E-2</v>
      </c>
      <c r="N281" s="32">
        <v>4.5264087853862627E-6</v>
      </c>
      <c r="O281" s="32">
        <v>0</v>
      </c>
      <c r="P281" s="32">
        <v>5.9616075836890153E-5</v>
      </c>
      <c r="Q281" s="32">
        <v>3.282410190220924E-3</v>
      </c>
      <c r="R281" s="32">
        <v>3.953839738698716E-2</v>
      </c>
      <c r="S281" s="32">
        <v>0.15660969558896304</v>
      </c>
      <c r="T281" s="32">
        <v>0.20755952951646792</v>
      </c>
      <c r="U281" s="32">
        <v>0.20094327354307501</v>
      </c>
      <c r="V281" s="32">
        <v>0.20381875251335901</v>
      </c>
      <c r="W281" s="32">
        <v>9.5817580353147844E-2</v>
      </c>
      <c r="X281" s="32">
        <v>5.5097759848878276E-2</v>
      </c>
      <c r="Y281" s="32">
        <v>1.5572490587829635E-2</v>
      </c>
      <c r="Z281" s="32">
        <v>1.0670948361690241E-4</v>
      </c>
      <c r="AA281" s="32"/>
      <c r="AB281" s="32">
        <v>0</v>
      </c>
      <c r="AC281" s="32">
        <v>4.0770136427869474E-5</v>
      </c>
      <c r="AD281" s="32">
        <v>1.2103205563663876E-3</v>
      </c>
      <c r="AE281" s="32">
        <v>2.6057576719587389E-2</v>
      </c>
      <c r="AF281" s="32">
        <v>0.10154978395005504</v>
      </c>
      <c r="AG281" s="32">
        <v>0.15257188134070795</v>
      </c>
      <c r="AH281" s="32">
        <v>0.17306117474030772</v>
      </c>
      <c r="AI281" s="32">
        <v>0.14822152075942635</v>
      </c>
      <c r="AJ281" s="32">
        <v>7.6692584409772543E-2</v>
      </c>
      <c r="AK281" s="32">
        <v>3.6194408419637565E-2</v>
      </c>
      <c r="AL281" s="32">
        <v>7.6836984835641419E-3</v>
      </c>
      <c r="AM281" s="26">
        <v>7.885794252334032E-5</v>
      </c>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c r="BZ281" s="26"/>
      <c r="CA281" s="26"/>
      <c r="CB281" s="26"/>
      <c r="CC281" s="26"/>
      <c r="CD281" s="26"/>
      <c r="CE281" s="26"/>
      <c r="CF281" s="26"/>
      <c r="CG281" s="26"/>
      <c r="CH281" s="26"/>
      <c r="CI281" s="26"/>
      <c r="CJ281" s="26"/>
      <c r="CK281" s="26"/>
      <c r="CL281" s="26"/>
      <c r="CM281" s="26"/>
      <c r="CN281" s="26"/>
      <c r="CO281" s="26"/>
      <c r="CP281" s="26"/>
      <c r="CQ281" s="26"/>
      <c r="CR281" s="26"/>
      <c r="CS281" s="26"/>
      <c r="CT281" s="26"/>
      <c r="CU281" s="26"/>
      <c r="CV281" s="26"/>
      <c r="CW281" s="26"/>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row>
    <row r="282" spans="1:131">
      <c r="A282" s="7" t="s">
        <v>1343</v>
      </c>
      <c r="B282" s="7"/>
      <c r="C282" s="32">
        <v>9.0622322821728929</v>
      </c>
      <c r="D282" s="32">
        <v>19.733333333333334</v>
      </c>
      <c r="E282" s="32">
        <v>3.9466666666666672</v>
      </c>
      <c r="F282" s="32">
        <v>23.68</v>
      </c>
      <c r="G282" s="32">
        <v>72.387598001765824</v>
      </c>
      <c r="H282" s="32">
        <v>4.3773868549689068</v>
      </c>
      <c r="I282" s="32">
        <v>22890.254138383432</v>
      </c>
      <c r="J282" s="32">
        <v>137.68052151240818</v>
      </c>
      <c r="K282" s="32">
        <v>587.60771790177819</v>
      </c>
      <c r="L282" s="742">
        <v>6.0471503072420288E-2</v>
      </c>
      <c r="M282" s="32">
        <v>8.6092370460372866E-2</v>
      </c>
      <c r="N282" s="32">
        <v>2.4103960536173311E-5</v>
      </c>
      <c r="O282" s="32">
        <v>0</v>
      </c>
      <c r="P282" s="32">
        <v>3.1746658497422696E-4</v>
      </c>
      <c r="Q282" s="32">
        <v>1.7479438875264253E-2</v>
      </c>
      <c r="R282" s="32">
        <v>0.21054924896672783</v>
      </c>
      <c r="S282" s="32">
        <v>0.83397547615362955</v>
      </c>
      <c r="T282" s="32">
        <v>1.1052927266587365</v>
      </c>
      <c r="U282" s="32">
        <v>1.0700599449014268</v>
      </c>
      <c r="V282" s="32">
        <v>1.0853724000747409</v>
      </c>
      <c r="W282" s="32">
        <v>0.51024626475639934</v>
      </c>
      <c r="X282" s="32">
        <v>0.2934057200747468</v>
      </c>
      <c r="Y282" s="32">
        <v>8.292638079681186E-2</v>
      </c>
      <c r="Z282" s="32">
        <v>5.6824765589919099E-4</v>
      </c>
      <c r="AA282" s="32"/>
      <c r="AB282" s="32">
        <v>0</v>
      </c>
      <c r="AC282" s="32">
        <v>2.1710848624289839E-4</v>
      </c>
      <c r="AD282" s="32">
        <v>6.4451799008880721E-3</v>
      </c>
      <c r="AE282" s="32">
        <v>0.13876139577694915</v>
      </c>
      <c r="AF282" s="32">
        <v>0.54077130476852697</v>
      </c>
      <c r="AG282" s="32">
        <v>0.81247337152565946</v>
      </c>
      <c r="AH282" s="32">
        <v>0.92158263295881215</v>
      </c>
      <c r="AI282" s="32">
        <v>0.78930690010401394</v>
      </c>
      <c r="AJ282" s="32">
        <v>0.40840213857806645</v>
      </c>
      <c r="AK282" s="32">
        <v>0.19274189176058562</v>
      </c>
      <c r="AL282" s="32">
        <v>4.091710974440415E-2</v>
      </c>
      <c r="AM282" s="26">
        <v>4.1993306938675312E-4</v>
      </c>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c r="CB282" s="26"/>
      <c r="CC282" s="26"/>
      <c r="CD282" s="26"/>
      <c r="CE282" s="26"/>
      <c r="CF282" s="26"/>
      <c r="CG282" s="26"/>
      <c r="CH282" s="26"/>
      <c r="CI282" s="26"/>
      <c r="CJ282" s="26"/>
      <c r="CK282" s="26"/>
      <c r="CL282" s="26"/>
      <c r="CM282" s="26"/>
      <c r="CN282" s="26"/>
      <c r="CO282" s="26"/>
      <c r="CP282" s="26"/>
      <c r="CQ282" s="26"/>
      <c r="CR282" s="26"/>
      <c r="CS282" s="26"/>
      <c r="CT282" s="26"/>
      <c r="CU282" s="26"/>
      <c r="CV282" s="26"/>
      <c r="CW282" s="26"/>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row>
    <row r="283" spans="1:131">
      <c r="A283" s="7" t="s">
        <v>1555</v>
      </c>
      <c r="B283" s="7"/>
      <c r="C283" s="32">
        <v>0.70800405905454133</v>
      </c>
      <c r="D283" s="32">
        <v>4.9800000000000004</v>
      </c>
      <c r="E283" s="32">
        <v>0.99600000000000011</v>
      </c>
      <c r="F283" s="32">
        <v>5.9760000000000009</v>
      </c>
      <c r="G283" s="32">
        <v>12.248910656708935</v>
      </c>
      <c r="H283" s="32">
        <v>0.34199163791759196</v>
      </c>
      <c r="I283" s="32">
        <v>73939.915076062054</v>
      </c>
      <c r="J283" s="32">
        <v>445.07130716377389</v>
      </c>
      <c r="K283" s="32">
        <v>1272.8590394517028</v>
      </c>
      <c r="L283" s="742">
        <v>2.7920167556310601E-2</v>
      </c>
      <c r="M283" s="32">
        <v>6.7261294835135391E-3</v>
      </c>
      <c r="N283" s="32">
        <v>1.8831675648474176E-6</v>
      </c>
      <c r="O283" s="32">
        <v>0</v>
      </c>
      <c r="P283" s="32">
        <v>2.4802678167728734E-5</v>
      </c>
      <c r="Q283" s="32">
        <v>1.3656142646031914E-3</v>
      </c>
      <c r="R283" s="32">
        <v>1.6449558812631247E-2</v>
      </c>
      <c r="S283" s="32">
        <v>6.5155913453052286E-2</v>
      </c>
      <c r="T283" s="32">
        <v>8.6353087468004186E-2</v>
      </c>
      <c r="U283" s="32">
        <v>8.3600459669550001E-2</v>
      </c>
      <c r="V283" s="32">
        <v>8.4796774228615535E-2</v>
      </c>
      <c r="W283" s="32">
        <v>3.9863955735896094E-2</v>
      </c>
      <c r="X283" s="32">
        <v>2.2922877531112267E-2</v>
      </c>
      <c r="Y283" s="32">
        <v>6.4787805453125798E-3</v>
      </c>
      <c r="Z283" s="32">
        <v>4.4395424261668668E-5</v>
      </c>
      <c r="AA283" s="32"/>
      <c r="AB283" s="32">
        <v>0</v>
      </c>
      <c r="AC283" s="32">
        <v>1.6962011646682538E-5</v>
      </c>
      <c r="AD283" s="32">
        <v>5.0354188560606595E-4</v>
      </c>
      <c r="AE283" s="32">
        <v>1.0840996830705531E-2</v>
      </c>
      <c r="AF283" s="32">
        <v>4.2248782295010369E-2</v>
      </c>
      <c r="AG283" s="32">
        <v>6.3476020808414843E-2</v>
      </c>
      <c r="AH283" s="32">
        <v>7.2000388488448822E-2</v>
      </c>
      <c r="AI283" s="32">
        <v>6.1666096356052066E-2</v>
      </c>
      <c r="AJ283" s="32">
        <v>3.190719050632141E-2</v>
      </c>
      <c r="AK283" s="32">
        <v>1.5058325307418135E-2</v>
      </c>
      <c r="AL283" s="32">
        <v>3.1967266873976128E-3</v>
      </c>
      <c r="AM283" s="26">
        <v>3.2808066312968654E-5</v>
      </c>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c r="BZ283" s="26"/>
      <c r="CA283" s="26"/>
      <c r="CB283" s="26"/>
      <c r="CC283" s="26"/>
      <c r="CD283" s="26"/>
      <c r="CE283" s="26"/>
      <c r="CF283" s="26"/>
      <c r="CG283" s="26"/>
      <c r="CH283" s="26"/>
      <c r="CI283" s="26"/>
      <c r="CJ283" s="26"/>
      <c r="CK283" s="26"/>
      <c r="CL283" s="26"/>
      <c r="CM283" s="26"/>
      <c r="CN283" s="26"/>
      <c r="CO283" s="26"/>
      <c r="CP283" s="26"/>
      <c r="CQ283" s="26"/>
      <c r="CR283" s="26"/>
      <c r="CS283" s="26"/>
      <c r="CT283" s="26"/>
      <c r="CU283" s="26"/>
      <c r="CV283" s="26"/>
      <c r="CW283" s="26"/>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row>
    <row r="284" spans="1:131">
      <c r="A284" s="7"/>
      <c r="B284" s="7"/>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c r="BZ284" s="26"/>
      <c r="CA284" s="26"/>
      <c r="CB284" s="26"/>
      <c r="CC284" s="26"/>
      <c r="CD284" s="26"/>
      <c r="CE284" s="26"/>
      <c r="CF284" s="26"/>
      <c r="CG284" s="26"/>
      <c r="CH284" s="26"/>
      <c r="CI284" s="26"/>
      <c r="CJ284" s="26"/>
      <c r="CK284" s="26"/>
      <c r="CL284" s="26"/>
      <c r="CM284" s="26"/>
      <c r="CN284" s="26"/>
      <c r="CO284" s="26"/>
      <c r="CP284" s="26"/>
      <c r="CQ284" s="26"/>
      <c r="CR284" s="26"/>
      <c r="CS284" s="26"/>
      <c r="CT284" s="26"/>
      <c r="CU284" s="26"/>
      <c r="CV284" s="26"/>
      <c r="CW284" s="26"/>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row>
  </sheetData>
  <mergeCells count="3">
    <mergeCell ref="I6:N6"/>
    <mergeCell ref="O6:P6"/>
    <mergeCell ref="R6:T6"/>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dimension ref="A3:DB57"/>
  <sheetViews>
    <sheetView workbookViewId="0">
      <selection activeCell="C24" sqref="C24"/>
    </sheetView>
  </sheetViews>
  <sheetFormatPr defaultRowHeight="12.75"/>
  <cols>
    <col min="2" max="2" width="61.85546875" customWidth="1"/>
    <col min="3" max="3" width="52.85546875" customWidth="1"/>
  </cols>
  <sheetData>
    <row r="3" spans="1:106">
      <c r="A3" t="s">
        <v>1603</v>
      </c>
    </row>
    <row r="4" spans="1:106" s="7" customFormat="1">
      <c r="B4" s="12" t="s">
        <v>3</v>
      </c>
      <c r="C4" s="13"/>
      <c r="D4" s="13"/>
      <c r="E4" s="13"/>
      <c r="F4" s="13"/>
      <c r="G4" s="13"/>
      <c r="H4" s="14"/>
      <c r="I4" s="72"/>
      <c r="J4" s="830" t="s">
        <v>4</v>
      </c>
      <c r="K4" s="831"/>
      <c r="L4" s="831"/>
      <c r="M4" s="831"/>
      <c r="N4" s="831"/>
      <c r="O4" s="832"/>
      <c r="P4" s="833" t="s">
        <v>5</v>
      </c>
      <c r="Q4" s="834"/>
      <c r="R4" s="16"/>
      <c r="S4" s="17"/>
      <c r="T4" s="17"/>
      <c r="U4" s="17"/>
      <c r="V4" s="17"/>
      <c r="W4" s="17"/>
      <c r="X4" s="17"/>
      <c r="Y4" s="18"/>
      <c r="Z4" s="19"/>
      <c r="AA4" s="17"/>
      <c r="AB4" s="17"/>
      <c r="AC4" s="17"/>
      <c r="AD4" s="17"/>
      <c r="AE4" s="17"/>
      <c r="AF4" s="20"/>
      <c r="AG4" s="20"/>
      <c r="AH4" s="20"/>
      <c r="AI4" s="20"/>
      <c r="AJ4" s="20"/>
      <c r="AK4" s="20"/>
      <c r="AL4" s="20"/>
      <c r="AM4" s="20"/>
      <c r="AN4" s="20"/>
      <c r="AO4" s="20"/>
      <c r="AP4" s="20"/>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row>
    <row r="5" spans="1:106" s="7" customFormat="1" ht="38.25">
      <c r="A5" s="7" t="s">
        <v>1286</v>
      </c>
      <c r="B5" s="73" t="s">
        <v>6</v>
      </c>
      <c r="C5" s="73" t="s">
        <v>7</v>
      </c>
      <c r="D5" s="73" t="s">
        <v>8</v>
      </c>
      <c r="E5" s="73" t="s">
        <v>9</v>
      </c>
      <c r="F5" s="73" t="s">
        <v>10</v>
      </c>
      <c r="G5" s="73" t="s">
        <v>11</v>
      </c>
      <c r="H5" s="74" t="s">
        <v>12</v>
      </c>
      <c r="I5" s="74" t="s">
        <v>13</v>
      </c>
      <c r="J5" s="74" t="s">
        <v>14</v>
      </c>
      <c r="K5" s="74" t="s">
        <v>15</v>
      </c>
      <c r="L5" s="74" t="s">
        <v>16</v>
      </c>
      <c r="M5" s="74" t="s">
        <v>17</v>
      </c>
      <c r="N5" s="74" t="s">
        <v>18</v>
      </c>
      <c r="O5" s="74" t="s">
        <v>19</v>
      </c>
      <c r="P5" s="75" t="s">
        <v>20</v>
      </c>
      <c r="Q5" s="74" t="s">
        <v>12</v>
      </c>
      <c r="R5" s="23"/>
      <c r="S5" s="23"/>
      <c r="T5" s="23"/>
      <c r="U5" s="23"/>
      <c r="V5" s="23"/>
      <c r="W5" s="23"/>
      <c r="X5" s="23"/>
      <c r="Y5" s="23"/>
      <c r="Z5" s="23"/>
      <c r="AA5" s="23"/>
      <c r="AB5" s="23"/>
      <c r="AC5" s="23"/>
      <c r="AD5" s="23"/>
      <c r="AE5" s="23"/>
      <c r="AF5" s="20"/>
      <c r="AG5" s="20"/>
      <c r="AH5" s="20"/>
      <c r="AI5" s="20"/>
      <c r="AJ5" s="20"/>
      <c r="AK5" s="20"/>
      <c r="AL5" s="20"/>
      <c r="AM5" s="20"/>
      <c r="AN5" s="20"/>
      <c r="AO5" s="20"/>
      <c r="AP5" s="20"/>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row>
    <row r="6" spans="1:106">
      <c r="A6" t="str">
        <f>Increment!A79</f>
        <v>Idaho</v>
      </c>
      <c r="B6" t="str">
        <f>Increment!B79</f>
        <v xml:space="preserve">Wheel/hand line systems: Replace worn nozzle with new flow controlling type nozzle for impact sprinklers </v>
      </c>
      <c r="C6" t="str">
        <f>Increment!C79</f>
        <v xml:space="preserve">Wheel/hand line systems: Replace worn nozzle with new flow controlling type nozzle for impact sprinklers </v>
      </c>
      <c r="D6" s="797">
        <f>Increment!D79*VLOOKUP($C6,Weighting!$B$38:$D$50,3,FALSE)</f>
        <v>63.857991001034001</v>
      </c>
      <c r="E6">
        <f>Increment!E79</f>
        <v>4</v>
      </c>
      <c r="F6" s="796">
        <f>Increment!F79*VLOOKUP($C6,Weighting!$B$38:$D$50,3,FALSE)</f>
        <v>9.0666666666666664</v>
      </c>
      <c r="G6">
        <f>Increment!G79*VLOOKUP($C6,Weighting!$B$38:$D$50,3,FALSE)</f>
        <v>0</v>
      </c>
      <c r="H6" t="str">
        <f>Increment!H79</f>
        <v>AgrIrrg</v>
      </c>
      <c r="I6">
        <f>Increment!I79*VLOOKUP($C6,Weighting!$B$38:$D$50,3,FALSE)</f>
        <v>0</v>
      </c>
      <c r="J6">
        <f>Increment!J79*VLOOKUP($C6,Weighting!$B$38:$D$50,3,FALSE)</f>
        <v>0</v>
      </c>
      <c r="K6">
        <f>Increment!K79</f>
        <v>0</v>
      </c>
      <c r="L6">
        <f>Increment!L79*VLOOKUP($C6,Weighting!$B$38:$D$50,3,FALSE)</f>
        <v>0</v>
      </c>
      <c r="M6">
        <f>Increment!M79</f>
        <v>0</v>
      </c>
      <c r="N6">
        <f>Increment!N79*VLOOKUP($C6,Weighting!$B$38:$D$50,3,FALSE)</f>
        <v>0</v>
      </c>
      <c r="O6">
        <f>Increment!O79</f>
        <v>0</v>
      </c>
      <c r="P6">
        <f>Increment!P79*VLOOKUP($C6,Weighting!$B$38:$D$50,3,FALSE)</f>
        <v>0</v>
      </c>
    </row>
    <row r="7" spans="1:106">
      <c r="A7" t="str">
        <f>Increment!A80</f>
        <v>Idaho</v>
      </c>
      <c r="B7" t="str">
        <f>Increment!B80</f>
        <v xml:space="preserve">Wheel/hand line systems: Replace worn nozzle with new nozzle </v>
      </c>
      <c r="C7" t="str">
        <f>Increment!C80</f>
        <v xml:space="preserve">Wheel/hand line systems: Replace worn nozzle with new nozzle </v>
      </c>
      <c r="D7" s="797">
        <f>Increment!D80*VLOOKUP($C7,Weighting!$B$38:$D$50,3,FALSE)</f>
        <v>63.857991001034001</v>
      </c>
      <c r="E7">
        <f>Increment!E80</f>
        <v>4</v>
      </c>
      <c r="F7" s="796">
        <f>Increment!F80*VLOOKUP($C7,Weighting!$B$38:$D$50,3,FALSE)</f>
        <v>3.3866666666666667</v>
      </c>
      <c r="G7">
        <f>Increment!G80*VLOOKUP($C7,Weighting!$B$38:$D$50,3,FALSE)</f>
        <v>0</v>
      </c>
      <c r="H7" t="str">
        <f>Increment!H80</f>
        <v>AgrIrrg</v>
      </c>
      <c r="I7">
        <f>Increment!I80*VLOOKUP($C7,Weighting!$B$38:$D$50,3,FALSE)</f>
        <v>0</v>
      </c>
      <c r="J7">
        <f>Increment!J80*VLOOKUP($C7,Weighting!$B$38:$D$50,3,FALSE)</f>
        <v>0</v>
      </c>
      <c r="K7">
        <f>Increment!K80</f>
        <v>0</v>
      </c>
      <c r="L7">
        <f>Increment!L80*VLOOKUP($C7,Weighting!$B$38:$D$50,3,FALSE)</f>
        <v>0</v>
      </c>
      <c r="M7">
        <f>Increment!M80</f>
        <v>0</v>
      </c>
      <c r="N7">
        <f>Increment!N80*VLOOKUP($C7,Weighting!$B$38:$D$50,3,FALSE)</f>
        <v>0</v>
      </c>
      <c r="O7">
        <f>Increment!O80</f>
        <v>0</v>
      </c>
      <c r="P7">
        <f>Increment!P80*VLOOKUP($C7,Weighting!$B$38:$D$50,3,FALSE)</f>
        <v>0</v>
      </c>
    </row>
    <row r="8" spans="1:106">
      <c r="A8" t="str">
        <f>Increment!A81</f>
        <v>Idaho</v>
      </c>
      <c r="B8" t="str">
        <f>Increment!B81</f>
        <v xml:space="preserve">Wheel/hand line systems: Rebuild or replace leaking impact sprinkler with new or rebuilt impact sprinkler </v>
      </c>
      <c r="C8" t="str">
        <f>Increment!C81</f>
        <v xml:space="preserve">Wheel/hand line systems: Rebuild or replace leaking impact sprinkler with new or rebuilt impact sprinkler </v>
      </c>
      <c r="D8" s="797">
        <f>Increment!D81*VLOOKUP($C8,Weighting!$B$38:$D$50,3,FALSE)</f>
        <v>45.363213635305854</v>
      </c>
      <c r="E8">
        <f>Increment!E81</f>
        <v>5</v>
      </c>
      <c r="F8" s="796">
        <f>Increment!F81*VLOOKUP($C8,Weighting!$B$38:$D$50,3,FALSE)</f>
        <v>19.733333333333334</v>
      </c>
      <c r="G8">
        <f>Increment!G81*VLOOKUP($C8,Weighting!$B$38:$D$50,3,FALSE)</f>
        <v>0</v>
      </c>
      <c r="H8" t="str">
        <f>Increment!H81</f>
        <v>AgrIrrg</v>
      </c>
      <c r="I8">
        <f>Increment!I81*VLOOKUP($C8,Weighting!$B$38:$D$50,3,FALSE)</f>
        <v>0</v>
      </c>
      <c r="J8">
        <f>Increment!J81*VLOOKUP($C8,Weighting!$B$38:$D$50,3,FALSE)</f>
        <v>0</v>
      </c>
      <c r="K8">
        <f>Increment!K81</f>
        <v>0</v>
      </c>
      <c r="L8">
        <f>Increment!L81*VLOOKUP($C8,Weighting!$B$38:$D$50,3,FALSE)</f>
        <v>0</v>
      </c>
      <c r="M8">
        <f>Increment!M81</f>
        <v>0</v>
      </c>
      <c r="N8">
        <f>Increment!N81*VLOOKUP($C8,Weighting!$B$38:$D$50,3,FALSE)</f>
        <v>0</v>
      </c>
      <c r="O8">
        <f>Increment!O81</f>
        <v>0</v>
      </c>
      <c r="P8">
        <f>Increment!P81*VLOOKUP($C8,Weighting!$B$38:$D$50,3,FALSE)</f>
        <v>0</v>
      </c>
    </row>
    <row r="9" spans="1:106">
      <c r="A9" t="str">
        <f>Increment!A82</f>
        <v>Idaho</v>
      </c>
      <c r="B9" t="str">
        <f>Increment!B82</f>
        <v xml:space="preserve">Wheel/hand line systems: Replace leaking gasket with new gasket </v>
      </c>
      <c r="C9" t="str">
        <f>Increment!C82</f>
        <v xml:space="preserve">Wheel/hand line systems: Replace leaking gasket with new gasket </v>
      </c>
      <c r="D9" s="797">
        <f>Increment!D82*VLOOKUP($C9,Weighting!$B$38:$D$50,3,FALSE)</f>
        <v>271.43251637852666</v>
      </c>
      <c r="E9">
        <f>Increment!E82</f>
        <v>5</v>
      </c>
      <c r="F9" s="796">
        <f>Increment!F82*VLOOKUP($C9,Weighting!$B$38:$D$50,3,FALSE)</f>
        <v>6.2666666666666666</v>
      </c>
      <c r="G9">
        <f>Increment!G82*VLOOKUP($C9,Weighting!$B$38:$D$50,3,FALSE)</f>
        <v>0</v>
      </c>
      <c r="H9" t="str">
        <f>Increment!H82</f>
        <v>AgrIrrg</v>
      </c>
      <c r="I9">
        <f>Increment!I82*VLOOKUP($C9,Weighting!$B$38:$D$50,3,FALSE)</f>
        <v>0</v>
      </c>
      <c r="J9">
        <f>Increment!J82*VLOOKUP($C9,Weighting!$B$38:$D$50,3,FALSE)</f>
        <v>0</v>
      </c>
      <c r="K9">
        <f>Increment!K82</f>
        <v>0</v>
      </c>
      <c r="L9">
        <f>Increment!L82*VLOOKUP($C9,Weighting!$B$38:$D$50,3,FALSE)</f>
        <v>0</v>
      </c>
      <c r="M9">
        <f>Increment!M82</f>
        <v>0</v>
      </c>
      <c r="N9">
        <f>Increment!N82*VLOOKUP($C9,Weighting!$B$38:$D$50,3,FALSE)</f>
        <v>0</v>
      </c>
      <c r="O9">
        <f>Increment!O82</f>
        <v>0</v>
      </c>
      <c r="P9">
        <f>Increment!P82*VLOOKUP($C9,Weighting!$B$38:$D$50,3,FALSE)</f>
        <v>0</v>
      </c>
    </row>
    <row r="10" spans="1:106">
      <c r="A10" t="str">
        <f>Increment!A83</f>
        <v>Idaho</v>
      </c>
      <c r="B10" t="str">
        <f>Increment!B83</f>
        <v xml:space="preserve">Wheel/hand line systems: Replace leaking drain with new drain </v>
      </c>
      <c r="C10" t="str">
        <f>Increment!C83</f>
        <v xml:space="preserve">Wheel/hand line systems: Replace leaking drain with new drain </v>
      </c>
      <c r="D10" s="797">
        <f>Increment!D83*VLOOKUP($C10,Weighting!$B$38:$D$50,3,FALSE)</f>
        <v>281.32055891100703</v>
      </c>
      <c r="E10">
        <f>Increment!E83</f>
        <v>5</v>
      </c>
      <c r="F10" s="796">
        <f>Increment!F83*VLOOKUP($C10,Weighting!$B$38:$D$50,3,FALSE)</f>
        <v>21.866666666666667</v>
      </c>
      <c r="G10">
        <f>Increment!G83*VLOOKUP($C10,Weighting!$B$38:$D$50,3,FALSE)</f>
        <v>0</v>
      </c>
      <c r="H10" t="str">
        <f>Increment!H83</f>
        <v>AgrIrrg</v>
      </c>
      <c r="I10">
        <f>Increment!I83*VLOOKUP($C10,Weighting!$B$38:$D$50,3,FALSE)</f>
        <v>0</v>
      </c>
      <c r="J10">
        <f>Increment!J83*VLOOKUP($C10,Weighting!$B$38:$D$50,3,FALSE)</f>
        <v>0</v>
      </c>
      <c r="K10">
        <f>Increment!K83</f>
        <v>0</v>
      </c>
      <c r="L10">
        <f>Increment!L83*VLOOKUP($C10,Weighting!$B$38:$D$50,3,FALSE)</f>
        <v>0</v>
      </c>
      <c r="M10">
        <f>Increment!M83</f>
        <v>0</v>
      </c>
      <c r="N10">
        <f>Increment!N83*VLOOKUP($C10,Weighting!$B$38:$D$50,3,FALSE)</f>
        <v>0</v>
      </c>
      <c r="O10">
        <f>Increment!O83</f>
        <v>0</v>
      </c>
      <c r="P10">
        <f>Increment!P83*VLOOKUP($C10,Weighting!$B$38:$D$50,3,FALSE)</f>
        <v>0</v>
      </c>
    </row>
    <row r="11" spans="1:106">
      <c r="A11" t="str">
        <f>Increment!A84</f>
        <v>Idaho</v>
      </c>
      <c r="B11" t="str">
        <f>Increment!B84</f>
        <v xml:space="preserve">Wheel/hand line systems: Cut and pipe press repair of leaking hand-lines, wheel-lines, and portable main-lines </v>
      </c>
      <c r="C11" t="str">
        <f>Increment!C84</f>
        <v xml:space="preserve">Wheel/hand line systems: Cut and pipe press repair of leaking hand-lines, wheel-lines, and portable main-lines </v>
      </c>
      <c r="D11" s="797">
        <f>Increment!D84*VLOOKUP($C11,Weighting!$B$38:$D$50,3,FALSE)</f>
        <v>135.05767532907163</v>
      </c>
      <c r="E11">
        <f>Increment!E84</f>
        <v>8</v>
      </c>
      <c r="F11" s="796">
        <f>Increment!F84*VLOOKUP($C11,Weighting!$B$38:$D$50,3,FALSE)</f>
        <v>28.8</v>
      </c>
      <c r="G11">
        <f>Increment!G84*VLOOKUP($C11,Weighting!$B$38:$D$50,3,FALSE)</f>
        <v>0</v>
      </c>
      <c r="H11" t="str">
        <f>Increment!H84</f>
        <v>AgrIrrg</v>
      </c>
      <c r="I11">
        <f>Increment!I84*VLOOKUP($C11,Weighting!$B$38:$D$50,3,FALSE)</f>
        <v>0</v>
      </c>
      <c r="J11">
        <f>Increment!J84*VLOOKUP($C11,Weighting!$B$38:$D$50,3,FALSE)</f>
        <v>0</v>
      </c>
      <c r="K11">
        <f>Increment!K84</f>
        <v>0</v>
      </c>
      <c r="L11">
        <f>Increment!L84*VLOOKUP($C11,Weighting!$B$38:$D$50,3,FALSE)</f>
        <v>0</v>
      </c>
      <c r="M11">
        <f>Increment!M84</f>
        <v>0</v>
      </c>
      <c r="N11">
        <f>Increment!N84*VLOOKUP($C11,Weighting!$B$38:$D$50,3,FALSE)</f>
        <v>0</v>
      </c>
      <c r="O11">
        <f>Increment!O84</f>
        <v>0</v>
      </c>
      <c r="P11">
        <f>Increment!P84*VLOOKUP($C11,Weighting!$B$38:$D$50,3,FALSE)</f>
        <v>0</v>
      </c>
    </row>
    <row r="12" spans="1:106">
      <c r="A12" t="str">
        <f>Increment!A85</f>
        <v>Idaho</v>
      </c>
      <c r="B12" t="str">
        <f>Increment!B85</f>
        <v xml:space="preserve">Thunderbird wheel line systems: Replace leaking hub with new hub </v>
      </c>
      <c r="C12" t="str">
        <f>Increment!C85</f>
        <v xml:space="preserve">Thunderbird wheel line systems: Replace leaking hub with new hub </v>
      </c>
      <c r="D12" s="797">
        <f>Increment!D85*VLOOKUP($C12,Weighting!$B$38:$D$50,3,FALSE)</f>
        <v>233.7487263782885</v>
      </c>
      <c r="E12">
        <f>Increment!E85</f>
        <v>10</v>
      </c>
      <c r="F12" s="796">
        <f>Increment!F85*VLOOKUP($C12,Weighting!$B$38:$D$50,3,FALSE)</f>
        <v>160</v>
      </c>
      <c r="G12">
        <f>Increment!G85*VLOOKUP($C12,Weighting!$B$38:$D$50,3,FALSE)</f>
        <v>0</v>
      </c>
      <c r="H12" t="str">
        <f>Increment!H85</f>
        <v>AgrIrrg</v>
      </c>
      <c r="I12">
        <f>Increment!I85*VLOOKUP($C12,Weighting!$B$38:$D$50,3,FALSE)</f>
        <v>0</v>
      </c>
      <c r="J12">
        <f>Increment!J85*VLOOKUP($C12,Weighting!$B$38:$D$50,3,FALSE)</f>
        <v>0</v>
      </c>
      <c r="K12">
        <f>Increment!K85</f>
        <v>0</v>
      </c>
      <c r="L12">
        <f>Increment!L85*VLOOKUP($C12,Weighting!$B$38:$D$50,3,FALSE)</f>
        <v>0</v>
      </c>
      <c r="M12">
        <f>Increment!M85</f>
        <v>0</v>
      </c>
      <c r="N12">
        <f>Increment!N85*VLOOKUP($C12,Weighting!$B$38:$D$50,3,FALSE)</f>
        <v>0</v>
      </c>
      <c r="O12">
        <f>Increment!O85</f>
        <v>0</v>
      </c>
      <c r="P12">
        <f>Increment!P85*VLOOKUP($C12,Weighting!$B$38:$D$50,3,FALSE)</f>
        <v>0</v>
      </c>
    </row>
    <row r="13" spans="1:106">
      <c r="A13" t="str">
        <f>Increment!A86</f>
        <v>Idaho</v>
      </c>
      <c r="B13" t="str">
        <f>Increment!B86</f>
        <v xml:space="preserve">Wheel line systems: Rebuild or replace leaking or malfunctioning leveler with new or rebuilt leveler. </v>
      </c>
      <c r="C13" t="str">
        <f>Increment!C86</f>
        <v xml:space="preserve">Wheel line systems: Rebuild or replace leaking or malfunctioning leveler with new or rebuilt leveler. </v>
      </c>
      <c r="D13" s="797">
        <f>Increment!D86*VLOOKUP($C13,Weighting!$B$38:$D$50,3,FALSE)</f>
        <v>67.30829706270498</v>
      </c>
      <c r="E13">
        <f>Increment!E86</f>
        <v>5</v>
      </c>
      <c r="F13" s="796">
        <f>Increment!F86*VLOOKUP($C13,Weighting!$B$38:$D$50,3,FALSE)</f>
        <v>5.2</v>
      </c>
      <c r="G13">
        <f>Increment!G86*VLOOKUP($C13,Weighting!$B$38:$D$50,3,FALSE)</f>
        <v>0</v>
      </c>
      <c r="H13" t="str">
        <f>Increment!H86</f>
        <v>AgrIrrg</v>
      </c>
      <c r="I13">
        <f>Increment!I86*VLOOKUP($C13,Weighting!$B$38:$D$50,3,FALSE)</f>
        <v>0</v>
      </c>
      <c r="J13">
        <f>Increment!J86*VLOOKUP($C13,Weighting!$B$38:$D$50,3,FALSE)</f>
        <v>0</v>
      </c>
      <c r="K13">
        <f>Increment!K86</f>
        <v>0</v>
      </c>
      <c r="L13">
        <f>Increment!L86*VLOOKUP($C13,Weighting!$B$38:$D$50,3,FALSE)</f>
        <v>0</v>
      </c>
      <c r="M13">
        <f>Increment!M86</f>
        <v>0</v>
      </c>
      <c r="N13">
        <f>Increment!N86*VLOOKUP($C13,Weighting!$B$38:$D$50,3,FALSE)</f>
        <v>0</v>
      </c>
      <c r="O13">
        <f>Increment!O86</f>
        <v>0</v>
      </c>
      <c r="P13">
        <f>Increment!P86*VLOOKUP($C13,Weighting!$B$38:$D$50,3,FALSE)</f>
        <v>0</v>
      </c>
    </row>
    <row r="14" spans="1:106">
      <c r="A14" t="str">
        <f>Increment!A87</f>
        <v>Idaho</v>
      </c>
      <c r="B14" t="str">
        <f>Increment!B87</f>
        <v xml:space="preserve">Center pivot/linear move systems: Install new sprinkler package on an existing system. </v>
      </c>
      <c r="C14" t="str">
        <f>Increment!C87</f>
        <v xml:space="preserve">Center pivot/linear move systems: Install new sprinkler package on an existing system. </v>
      </c>
      <c r="D14" s="797">
        <f>Increment!D87*VLOOKUP($C14,Weighting!$B$38:$D$50,3,FALSE)</f>
        <v>94.440570504341878</v>
      </c>
      <c r="E14">
        <f>Increment!E87</f>
        <v>5</v>
      </c>
      <c r="F14" s="796">
        <f>Increment!F87*VLOOKUP($C14,Weighting!$B$38:$D$50,3,FALSE)</f>
        <v>24.253499999999999</v>
      </c>
      <c r="G14">
        <f>Increment!G87*VLOOKUP($C14,Weighting!$B$38:$D$50,3,FALSE)</f>
        <v>0</v>
      </c>
      <c r="H14" t="str">
        <f>Increment!H87</f>
        <v>AgrIrrg</v>
      </c>
      <c r="I14">
        <f>Increment!I87*VLOOKUP($C14,Weighting!$B$38:$D$50,3,FALSE)</f>
        <v>0</v>
      </c>
      <c r="J14">
        <f>Increment!J87*VLOOKUP($C14,Weighting!$B$38:$D$50,3,FALSE)</f>
        <v>0</v>
      </c>
      <c r="K14">
        <f>Increment!K87</f>
        <v>0</v>
      </c>
      <c r="L14">
        <f>Increment!L87*VLOOKUP($C14,Weighting!$B$38:$D$50,3,FALSE)</f>
        <v>0</v>
      </c>
      <c r="M14">
        <f>Increment!M87</f>
        <v>0</v>
      </c>
      <c r="N14">
        <f>Increment!N87*VLOOKUP($C14,Weighting!$B$38:$D$50,3,FALSE)</f>
        <v>0</v>
      </c>
      <c r="O14">
        <f>Increment!O87</f>
        <v>0</v>
      </c>
      <c r="P14">
        <f>Increment!P87*VLOOKUP($C14,Weighting!$B$38:$D$50,3,FALSE)</f>
        <v>0</v>
      </c>
    </row>
    <row r="15" spans="1:106">
      <c r="A15" t="str">
        <f>Increment!A88</f>
        <v>Idaho</v>
      </c>
      <c r="B15" t="str">
        <f>Increment!B88</f>
        <v xml:space="preserve">Center pivot/linear move systems: New gooseneck elbows </v>
      </c>
      <c r="C15" t="str">
        <f>Increment!C88</f>
        <v xml:space="preserve">Center pivot/linear move systems: New gooseneck elbows </v>
      </c>
      <c r="D15" s="797">
        <f>Increment!D88*VLOOKUP($C15,Weighting!$B$38:$D$50,3,FALSE)</f>
        <v>7.2091333020215753</v>
      </c>
      <c r="E15">
        <f>Increment!E88</f>
        <v>15</v>
      </c>
      <c r="F15" s="796">
        <f>Increment!F88*VLOOKUP($C15,Weighting!$B$38:$D$50,3,FALSE)</f>
        <v>3.9583333333333335</v>
      </c>
      <c r="G15">
        <f>Increment!G88*VLOOKUP($C15,Weighting!$B$38:$D$50,3,FALSE)</f>
        <v>0</v>
      </c>
      <c r="H15" t="str">
        <f>Increment!H88</f>
        <v>AgrIrrg</v>
      </c>
      <c r="I15">
        <f>Increment!I88*VLOOKUP($C15,Weighting!$B$38:$D$50,3,FALSE)</f>
        <v>0</v>
      </c>
      <c r="J15">
        <f>Increment!J88*VLOOKUP($C15,Weighting!$B$38:$D$50,3,FALSE)</f>
        <v>0</v>
      </c>
      <c r="K15">
        <f>Increment!K88</f>
        <v>0</v>
      </c>
      <c r="L15">
        <f>Increment!L88*VLOOKUP($C15,Weighting!$B$38:$D$50,3,FALSE)</f>
        <v>0</v>
      </c>
      <c r="M15">
        <f>Increment!M88</f>
        <v>0</v>
      </c>
      <c r="N15">
        <f>Increment!N88*VLOOKUP($C15,Weighting!$B$38:$D$50,3,FALSE)</f>
        <v>0</v>
      </c>
      <c r="O15">
        <f>Increment!O88</f>
        <v>0</v>
      </c>
      <c r="P15">
        <f>Increment!P88*VLOOKUP($C15,Weighting!$B$38:$D$50,3,FALSE)</f>
        <v>0</v>
      </c>
    </row>
    <row r="16" spans="1:106">
      <c r="A16" t="str">
        <f>Increment!A89</f>
        <v>Idaho</v>
      </c>
      <c r="B16" t="str">
        <f>Increment!B89</f>
        <v xml:space="preserve">Center pivot/linear move systems: New drop tubes (3 feet minimum) </v>
      </c>
      <c r="C16" t="str">
        <f>Increment!C89</f>
        <v xml:space="preserve">Center pivot/linear move systems: New drop tubes (3 feet minimum) </v>
      </c>
      <c r="D16" s="797">
        <f>Increment!D89*VLOOKUP($C16,Weighting!$B$38:$D$50,3,FALSE)</f>
        <v>7.2091333020215753</v>
      </c>
      <c r="E16">
        <f>Increment!E89</f>
        <v>10</v>
      </c>
      <c r="F16" s="796">
        <f>Increment!F89*VLOOKUP($C16,Weighting!$B$38:$D$50,3,FALSE)</f>
        <v>6.1749999999999998</v>
      </c>
      <c r="G16">
        <f>Increment!G89*VLOOKUP($C16,Weighting!$B$38:$D$50,3,FALSE)</f>
        <v>0</v>
      </c>
      <c r="H16" t="str">
        <f>Increment!H89</f>
        <v>AgrIrrg</v>
      </c>
      <c r="I16">
        <f>Increment!I89*VLOOKUP($C16,Weighting!$B$38:$D$50,3,FALSE)</f>
        <v>0</v>
      </c>
      <c r="J16">
        <f>Increment!J89*VLOOKUP($C16,Weighting!$B$38:$D$50,3,FALSE)</f>
        <v>0</v>
      </c>
      <c r="K16">
        <f>Increment!K89</f>
        <v>0</v>
      </c>
      <c r="L16">
        <f>Increment!L89*VLOOKUP($C16,Weighting!$B$38:$D$50,3,FALSE)</f>
        <v>0</v>
      </c>
      <c r="M16">
        <f>Increment!M89</f>
        <v>0</v>
      </c>
      <c r="N16">
        <f>Increment!N89*VLOOKUP($C16,Weighting!$B$38:$D$50,3,FALSE)</f>
        <v>0</v>
      </c>
      <c r="O16">
        <f>Increment!O89</f>
        <v>0</v>
      </c>
      <c r="P16">
        <f>Increment!P89*VLOOKUP($C16,Weighting!$B$38:$D$50,3,FALSE)</f>
        <v>0</v>
      </c>
    </row>
    <row r="17" spans="1:16">
      <c r="A17" t="str">
        <f>Increment!A90</f>
        <v>Idaho</v>
      </c>
      <c r="B17" t="str">
        <f>Increment!B90</f>
        <v xml:space="preserve">Center pivot/linear move systems: Replace leaking pivot boot gasket with new pivot boot gasket </v>
      </c>
      <c r="C17" t="str">
        <f>Increment!C90</f>
        <v xml:space="preserve">Center pivot/linear move systems: Replace leaking pivot boot gasket with new pivot boot gasket </v>
      </c>
      <c r="D17" s="797">
        <f>Increment!D90*VLOOKUP($C17,Weighting!$B$38:$D$50,3,FALSE)</f>
        <v>11.997154166772754</v>
      </c>
      <c r="E17">
        <f>Increment!E90</f>
        <v>8</v>
      </c>
      <c r="F17" s="796">
        <f>Increment!F90*VLOOKUP($C17,Weighting!$B$38:$D$50,3,FALSE)</f>
        <v>2.0750000000000002</v>
      </c>
      <c r="G17">
        <f>Increment!G90*VLOOKUP($C17,Weighting!$B$38:$D$50,3,FALSE)</f>
        <v>0</v>
      </c>
      <c r="H17" t="str">
        <f>Increment!H90</f>
        <v>AgrIrrg</v>
      </c>
      <c r="I17">
        <f>Increment!I90*VLOOKUP($C17,Weighting!$B$38:$D$50,3,FALSE)</f>
        <v>0</v>
      </c>
      <c r="J17">
        <f>Increment!J90*VLOOKUP($C17,Weighting!$B$38:$D$50,3,FALSE)</f>
        <v>0</v>
      </c>
      <c r="K17">
        <f>Increment!K90</f>
        <v>0</v>
      </c>
      <c r="L17">
        <f>Increment!L90*VLOOKUP($C17,Weighting!$B$38:$D$50,3,FALSE)</f>
        <v>0</v>
      </c>
      <c r="M17">
        <f>Increment!M90</f>
        <v>0</v>
      </c>
      <c r="N17">
        <f>Increment!N90*VLOOKUP($C17,Weighting!$B$38:$D$50,3,FALSE)</f>
        <v>0</v>
      </c>
      <c r="O17">
        <f>Increment!O90</f>
        <v>0</v>
      </c>
      <c r="P17">
        <f>Increment!P90*VLOOKUP($C17,Weighting!$B$38:$D$50,3,FALSE)</f>
        <v>0</v>
      </c>
    </row>
    <row r="18" spans="1:16">
      <c r="A18" t="str">
        <f>Increment!A91</f>
        <v>Idaho</v>
      </c>
      <c r="B18" t="str">
        <f>Increment!B91</f>
        <v xml:space="preserve">Center pivot/linear move systems: Replace leaking tower gasket with new tower gasket </v>
      </c>
      <c r="C18" t="str">
        <f>Increment!C91</f>
        <v xml:space="preserve">Center pivot/linear move systems: Replace leaking tower gasket with new tower gasket </v>
      </c>
      <c r="D18" s="797">
        <f>Increment!D91*VLOOKUP($C18,Weighting!$B$38:$D$50,3,FALSE)</f>
        <v>2.999288541693188</v>
      </c>
      <c r="E18">
        <f>Increment!E91</f>
        <v>8</v>
      </c>
      <c r="F18" s="796">
        <f>Increment!F91*VLOOKUP($C18,Weighting!$B$38:$D$50,3,FALSE)</f>
        <v>4.9800000000000004</v>
      </c>
      <c r="G18">
        <f>Increment!G91*VLOOKUP($C18,Weighting!$B$38:$D$50,3,FALSE)</f>
        <v>0</v>
      </c>
      <c r="H18" t="str">
        <f>Increment!H91</f>
        <v>AgrIrrg</v>
      </c>
      <c r="I18">
        <f>Increment!I91*VLOOKUP($C18,Weighting!$B$38:$D$50,3,FALSE)</f>
        <v>0</v>
      </c>
      <c r="J18">
        <f>Increment!J91*VLOOKUP($C18,Weighting!$B$38:$D$50,3,FALSE)</f>
        <v>0</v>
      </c>
      <c r="K18">
        <f>Increment!K91</f>
        <v>0</v>
      </c>
      <c r="L18">
        <f>Increment!L91*VLOOKUP($C18,Weighting!$B$38:$D$50,3,FALSE)</f>
        <v>0</v>
      </c>
      <c r="M18">
        <f>Increment!M91</f>
        <v>0</v>
      </c>
      <c r="N18">
        <f>Increment!N91*VLOOKUP($C18,Weighting!$B$38:$D$50,3,FALSE)</f>
        <v>0</v>
      </c>
      <c r="O18">
        <f>Increment!O91</f>
        <v>0</v>
      </c>
      <c r="P18">
        <f>Increment!P91*VLOOKUP($C18,Weighting!$B$38:$D$50,3,FALSE)</f>
        <v>0</v>
      </c>
    </row>
    <row r="19" spans="1:16">
      <c r="A19" t="str">
        <f>Increment!A92</f>
        <v>Washington</v>
      </c>
      <c r="B19" t="str">
        <f>Increment!B92</f>
        <v xml:space="preserve">Wheel/hand line systems: Replace worn nozzle with new flow controlling type nozzle for impact sprinklers </v>
      </c>
      <c r="C19" t="str">
        <f>Increment!C92</f>
        <v xml:space="preserve">Wheel/hand line systems: Replace worn nozzle with new flow controlling type nozzle for impact sprinklers </v>
      </c>
      <c r="D19" s="797">
        <f>Increment!D92*VLOOKUP($C19,Weighting!$B$38:$D$50,3,FALSE)</f>
        <v>70.900188627558663</v>
      </c>
      <c r="E19">
        <f>Increment!E92</f>
        <v>4</v>
      </c>
      <c r="F19" s="796">
        <f>Increment!F92*VLOOKUP($C19,Weighting!$B$38:$D$50,3,FALSE)</f>
        <v>9.0666666666666664</v>
      </c>
      <c r="G19">
        <f>Increment!G92*VLOOKUP($C19,Weighting!$B$38:$D$50,3,FALSE)</f>
        <v>0</v>
      </c>
      <c r="H19" t="str">
        <f>Increment!H92</f>
        <v>AgrIrrg</v>
      </c>
      <c r="I19">
        <f>Increment!I92*VLOOKUP($C19,Weighting!$B$38:$D$50,3,FALSE)</f>
        <v>0</v>
      </c>
      <c r="J19">
        <f>Increment!J92*VLOOKUP($C19,Weighting!$B$38:$D$50,3,FALSE)</f>
        <v>0</v>
      </c>
      <c r="K19">
        <f>Increment!K92</f>
        <v>0</v>
      </c>
      <c r="L19">
        <f>Increment!L92*VLOOKUP($C19,Weighting!$B$38:$D$50,3,FALSE)</f>
        <v>0</v>
      </c>
      <c r="M19">
        <f>Increment!M92</f>
        <v>0</v>
      </c>
      <c r="N19">
        <f>Increment!N92*VLOOKUP($C19,Weighting!$B$38:$D$50,3,FALSE)</f>
        <v>0</v>
      </c>
      <c r="O19">
        <f>Increment!O92</f>
        <v>0</v>
      </c>
      <c r="P19">
        <f>Increment!P92*VLOOKUP($C19,Weighting!$B$38:$D$50,3,FALSE)</f>
        <v>0</v>
      </c>
    </row>
    <row r="20" spans="1:16">
      <c r="A20" t="str">
        <f>Increment!A93</f>
        <v>Washington</v>
      </c>
      <c r="B20" t="str">
        <f>Increment!B93</f>
        <v xml:space="preserve">Wheel/hand line systems: Replace worn nozzle with new nozzle </v>
      </c>
      <c r="C20" t="str">
        <f>Increment!C93</f>
        <v xml:space="preserve">Wheel/hand line systems: Replace worn nozzle with new nozzle </v>
      </c>
      <c r="D20" s="797">
        <f>Increment!D93*VLOOKUP($C20,Weighting!$B$38:$D$50,3,FALSE)</f>
        <v>70.900188627558663</v>
      </c>
      <c r="E20">
        <f>Increment!E93</f>
        <v>4</v>
      </c>
      <c r="F20" s="796">
        <f>Increment!F93*VLOOKUP($C20,Weighting!$B$38:$D$50,3,FALSE)</f>
        <v>3.3866666666666667</v>
      </c>
      <c r="G20">
        <f>Increment!G93*VLOOKUP($C20,Weighting!$B$38:$D$50,3,FALSE)</f>
        <v>0</v>
      </c>
      <c r="H20" t="str">
        <f>Increment!H93</f>
        <v>AgrIrrg</v>
      </c>
      <c r="I20">
        <f>Increment!I93*VLOOKUP($C20,Weighting!$B$38:$D$50,3,FALSE)</f>
        <v>0</v>
      </c>
      <c r="J20">
        <f>Increment!J93*VLOOKUP($C20,Weighting!$B$38:$D$50,3,FALSE)</f>
        <v>0</v>
      </c>
      <c r="K20">
        <f>Increment!K93</f>
        <v>0</v>
      </c>
      <c r="L20">
        <f>Increment!L93*VLOOKUP($C20,Weighting!$B$38:$D$50,3,FALSE)</f>
        <v>0</v>
      </c>
      <c r="M20">
        <f>Increment!M93</f>
        <v>0</v>
      </c>
      <c r="N20">
        <f>Increment!N93*VLOOKUP($C20,Weighting!$B$38:$D$50,3,FALSE)</f>
        <v>0</v>
      </c>
      <c r="O20">
        <f>Increment!O93</f>
        <v>0</v>
      </c>
      <c r="P20">
        <f>Increment!P93*VLOOKUP($C20,Weighting!$B$38:$D$50,3,FALSE)</f>
        <v>0</v>
      </c>
    </row>
    <row r="21" spans="1:16">
      <c r="A21" t="str">
        <f>Increment!A94</f>
        <v>Washington</v>
      </c>
      <c r="B21" t="str">
        <f>Increment!B94</f>
        <v xml:space="preserve">Wheel/hand line systems: Rebuild or replace leaking impact sprinkler with new or rebuilt impact sprinkler </v>
      </c>
      <c r="C21" t="str">
        <f>Increment!C94</f>
        <v xml:space="preserve">Wheel/hand line systems: Rebuild or replace leaking impact sprinkler with new or rebuilt impact sprinkler </v>
      </c>
      <c r="D21" s="797">
        <f>Increment!D94*VLOOKUP($C21,Weighting!$B$38:$D$50,3,FALSE)</f>
        <v>62.327826960526821</v>
      </c>
      <c r="E21">
        <f>Increment!E94</f>
        <v>5</v>
      </c>
      <c r="F21" s="796">
        <f>Increment!F94*VLOOKUP($C21,Weighting!$B$38:$D$50,3,FALSE)</f>
        <v>19.733333333333334</v>
      </c>
      <c r="G21">
        <f>Increment!G94*VLOOKUP($C21,Weighting!$B$38:$D$50,3,FALSE)</f>
        <v>0</v>
      </c>
      <c r="H21" t="str">
        <f>Increment!H94</f>
        <v>AgrIrrg</v>
      </c>
      <c r="I21">
        <f>Increment!I94*VLOOKUP($C21,Weighting!$B$38:$D$50,3,FALSE)</f>
        <v>0</v>
      </c>
      <c r="J21">
        <f>Increment!J94*VLOOKUP($C21,Weighting!$B$38:$D$50,3,FALSE)</f>
        <v>0</v>
      </c>
      <c r="K21">
        <f>Increment!K94</f>
        <v>0</v>
      </c>
      <c r="L21">
        <f>Increment!L94*VLOOKUP($C21,Weighting!$B$38:$D$50,3,FALSE)</f>
        <v>0</v>
      </c>
      <c r="M21">
        <f>Increment!M94</f>
        <v>0</v>
      </c>
      <c r="N21">
        <f>Increment!N94*VLOOKUP($C21,Weighting!$B$38:$D$50,3,FALSE)</f>
        <v>0</v>
      </c>
      <c r="O21">
        <f>Increment!O94</f>
        <v>0</v>
      </c>
      <c r="P21">
        <f>Increment!P94*VLOOKUP($C21,Weighting!$B$38:$D$50,3,FALSE)</f>
        <v>0</v>
      </c>
    </row>
    <row r="22" spans="1:16">
      <c r="A22" t="str">
        <f>Increment!A95</f>
        <v>Washington</v>
      </c>
      <c r="B22" t="str">
        <f>Increment!B95</f>
        <v xml:space="preserve">Wheel/hand line systems: Replace leaking gasket with new gasket </v>
      </c>
      <c r="C22" t="str">
        <f>Increment!C95</f>
        <v xml:space="preserve">Wheel/hand line systems: Replace leaking gasket with new gasket </v>
      </c>
      <c r="D22" s="797">
        <f>Increment!D95*VLOOKUP($C22,Weighting!$B$38:$D$50,3,FALSE)</f>
        <v>372.94092628248404</v>
      </c>
      <c r="E22">
        <f>Increment!E95</f>
        <v>5</v>
      </c>
      <c r="F22" s="796">
        <f>Increment!F95*VLOOKUP($C22,Weighting!$B$38:$D$50,3,FALSE)</f>
        <v>6.2666666666666666</v>
      </c>
      <c r="G22">
        <f>Increment!G95*VLOOKUP($C22,Weighting!$B$38:$D$50,3,FALSE)</f>
        <v>0</v>
      </c>
      <c r="H22" t="str">
        <f>Increment!H95</f>
        <v>AgrIrrg</v>
      </c>
      <c r="I22">
        <f>Increment!I95*VLOOKUP($C22,Weighting!$B$38:$D$50,3,FALSE)</f>
        <v>0</v>
      </c>
      <c r="J22">
        <f>Increment!J95*VLOOKUP($C22,Weighting!$B$38:$D$50,3,FALSE)</f>
        <v>0</v>
      </c>
      <c r="K22">
        <f>Increment!K95</f>
        <v>0</v>
      </c>
      <c r="L22">
        <f>Increment!L95*VLOOKUP($C22,Weighting!$B$38:$D$50,3,FALSE)</f>
        <v>0</v>
      </c>
      <c r="M22">
        <f>Increment!M95</f>
        <v>0</v>
      </c>
      <c r="N22">
        <f>Increment!N95*VLOOKUP($C22,Weighting!$B$38:$D$50,3,FALSE)</f>
        <v>0</v>
      </c>
      <c r="O22">
        <f>Increment!O95</f>
        <v>0</v>
      </c>
      <c r="P22">
        <f>Increment!P95*VLOOKUP($C22,Weighting!$B$38:$D$50,3,FALSE)</f>
        <v>0</v>
      </c>
    </row>
    <row r="23" spans="1:16">
      <c r="A23" t="str">
        <f>Increment!A96</f>
        <v>Washington</v>
      </c>
      <c r="B23" t="str">
        <f>Increment!B96</f>
        <v xml:space="preserve">Wheel/hand line systems: Replace leaking drain with new drain </v>
      </c>
      <c r="C23" t="str">
        <f>Increment!C96</f>
        <v xml:space="preserve">Wheel/hand line systems: Replace leaking drain with new drain </v>
      </c>
      <c r="D23" s="797">
        <f>Increment!D96*VLOOKUP($C23,Weighting!$B$38:$D$50,3,FALSE)</f>
        <v>386.52682892371809</v>
      </c>
      <c r="E23">
        <f>Increment!E96</f>
        <v>5</v>
      </c>
      <c r="F23" s="796">
        <f>Increment!F96*VLOOKUP($C23,Weighting!$B$38:$D$50,3,FALSE)</f>
        <v>21.866666666666667</v>
      </c>
      <c r="G23">
        <f>Increment!G96*VLOOKUP($C23,Weighting!$B$38:$D$50,3,FALSE)</f>
        <v>0</v>
      </c>
      <c r="H23" t="str">
        <f>Increment!H96</f>
        <v>AgrIrrg</v>
      </c>
      <c r="I23">
        <f>Increment!I96*VLOOKUP($C23,Weighting!$B$38:$D$50,3,FALSE)</f>
        <v>0</v>
      </c>
      <c r="J23">
        <f>Increment!J96*VLOOKUP($C23,Weighting!$B$38:$D$50,3,FALSE)</f>
        <v>0</v>
      </c>
      <c r="K23">
        <f>Increment!K96</f>
        <v>0</v>
      </c>
      <c r="L23">
        <f>Increment!L96*VLOOKUP($C23,Weighting!$B$38:$D$50,3,FALSE)</f>
        <v>0</v>
      </c>
      <c r="M23">
        <f>Increment!M96</f>
        <v>0</v>
      </c>
      <c r="N23">
        <f>Increment!N96*VLOOKUP($C23,Weighting!$B$38:$D$50,3,FALSE)</f>
        <v>0</v>
      </c>
      <c r="O23">
        <f>Increment!O96</f>
        <v>0</v>
      </c>
      <c r="P23">
        <f>Increment!P96*VLOOKUP($C23,Weighting!$B$38:$D$50,3,FALSE)</f>
        <v>0</v>
      </c>
    </row>
    <row r="24" spans="1:16">
      <c r="A24" t="str">
        <f>Increment!A97</f>
        <v>Washington</v>
      </c>
      <c r="B24" t="str">
        <f>Increment!B97</f>
        <v xml:space="preserve">Wheel/hand line systems: Cut and pipe press repair of leaking hand-lines, wheel-lines, and portable main-lines </v>
      </c>
      <c r="C24" t="str">
        <f>Increment!C97</f>
        <v xml:space="preserve">Wheel/hand line systems: Cut and pipe press repair of leaking hand-lines, wheel-lines, and portable main-lines </v>
      </c>
      <c r="D24" s="797">
        <f>Increment!D97*VLOOKUP($C24,Weighting!$B$38:$D$50,3,FALSE)</f>
        <v>185.56558812777402</v>
      </c>
      <c r="E24">
        <f>Increment!E97</f>
        <v>8</v>
      </c>
      <c r="F24" s="796">
        <f>Increment!F97*VLOOKUP($C24,Weighting!$B$38:$D$50,3,FALSE)</f>
        <v>28.8</v>
      </c>
      <c r="G24">
        <f>Increment!G97*VLOOKUP($C24,Weighting!$B$38:$D$50,3,FALSE)</f>
        <v>0</v>
      </c>
      <c r="H24" t="str">
        <f>Increment!H97</f>
        <v>AgrIrrg</v>
      </c>
      <c r="I24">
        <f>Increment!I97*VLOOKUP($C24,Weighting!$B$38:$D$50,3,FALSE)</f>
        <v>0</v>
      </c>
      <c r="J24">
        <f>Increment!J97*VLOOKUP($C24,Weighting!$B$38:$D$50,3,FALSE)</f>
        <v>0</v>
      </c>
      <c r="K24">
        <f>Increment!K97</f>
        <v>0</v>
      </c>
      <c r="L24">
        <f>Increment!L97*VLOOKUP($C24,Weighting!$B$38:$D$50,3,FALSE)</f>
        <v>0</v>
      </c>
      <c r="M24">
        <f>Increment!M97</f>
        <v>0</v>
      </c>
      <c r="N24">
        <f>Increment!N97*VLOOKUP($C24,Weighting!$B$38:$D$50,3,FALSE)</f>
        <v>0</v>
      </c>
      <c r="O24">
        <f>Increment!O97</f>
        <v>0</v>
      </c>
      <c r="P24">
        <f>Increment!P97*VLOOKUP($C24,Weighting!$B$38:$D$50,3,FALSE)</f>
        <v>0</v>
      </c>
    </row>
    <row r="25" spans="1:16">
      <c r="A25" t="str">
        <f>Increment!A98</f>
        <v>Washington</v>
      </c>
      <c r="B25" t="str">
        <f>Increment!B98</f>
        <v xml:space="preserve">Thunderbird wheel line systems: Replace leaking hub with new hub </v>
      </c>
      <c r="C25" t="str">
        <f>Increment!C98</f>
        <v xml:space="preserve">Thunderbird wheel line systems: Replace leaking hub with new hub </v>
      </c>
      <c r="D25" s="797">
        <f>Increment!D98*VLOOKUP($C25,Weighting!$B$38:$D$50,3,FALSE)</f>
        <v>321.16441941429207</v>
      </c>
      <c r="E25">
        <f>Increment!E98</f>
        <v>10</v>
      </c>
      <c r="F25" s="796">
        <f>Increment!F98*VLOOKUP($C25,Weighting!$B$38:$D$50,3,FALSE)</f>
        <v>160</v>
      </c>
      <c r="G25">
        <f>Increment!G98*VLOOKUP($C25,Weighting!$B$38:$D$50,3,FALSE)</f>
        <v>0</v>
      </c>
      <c r="H25" t="str">
        <f>Increment!H98</f>
        <v>AgrIrrg</v>
      </c>
      <c r="I25">
        <f>Increment!I98*VLOOKUP($C25,Weighting!$B$38:$D$50,3,FALSE)</f>
        <v>0</v>
      </c>
      <c r="J25">
        <f>Increment!J98*VLOOKUP($C25,Weighting!$B$38:$D$50,3,FALSE)</f>
        <v>0</v>
      </c>
      <c r="K25">
        <f>Increment!K98</f>
        <v>0</v>
      </c>
      <c r="L25">
        <f>Increment!L98*VLOOKUP($C25,Weighting!$B$38:$D$50,3,FALSE)</f>
        <v>0</v>
      </c>
      <c r="M25">
        <f>Increment!M98</f>
        <v>0</v>
      </c>
      <c r="N25">
        <f>Increment!N98*VLOOKUP($C25,Weighting!$B$38:$D$50,3,FALSE)</f>
        <v>0</v>
      </c>
      <c r="O25">
        <f>Increment!O98</f>
        <v>0</v>
      </c>
      <c r="P25">
        <f>Increment!P98*VLOOKUP($C25,Weighting!$B$38:$D$50,3,FALSE)</f>
        <v>0</v>
      </c>
    </row>
    <row r="26" spans="1:16">
      <c r="A26" t="str">
        <f>Increment!A99</f>
        <v>Washington</v>
      </c>
      <c r="B26" t="str">
        <f>Increment!B99</f>
        <v xml:space="preserve">Wheel line systems: Rebuild or replace leaking or malfunctioning leveler with new or rebuilt leveler. </v>
      </c>
      <c r="C26" t="str">
        <f>Increment!C99</f>
        <v xml:space="preserve">Wheel line systems: Rebuild or replace leaking or malfunctioning leveler with new or rebuilt leveler. </v>
      </c>
      <c r="D26" s="797">
        <f>Increment!D99*VLOOKUP($C26,Weighting!$B$38:$D$50,3,FALSE)</f>
        <v>92.479777249884535</v>
      </c>
      <c r="E26">
        <f>Increment!E99</f>
        <v>5</v>
      </c>
      <c r="F26" s="796">
        <f>Increment!F99*VLOOKUP($C26,Weighting!$B$38:$D$50,3,FALSE)</f>
        <v>5.2</v>
      </c>
      <c r="G26">
        <f>Increment!G99*VLOOKUP($C26,Weighting!$B$38:$D$50,3,FALSE)</f>
        <v>0</v>
      </c>
      <c r="H26" t="str">
        <f>Increment!H99</f>
        <v>AgrIrrg</v>
      </c>
      <c r="I26">
        <f>Increment!I99*VLOOKUP($C26,Weighting!$B$38:$D$50,3,FALSE)</f>
        <v>0</v>
      </c>
      <c r="J26">
        <f>Increment!J99*VLOOKUP($C26,Weighting!$B$38:$D$50,3,FALSE)</f>
        <v>0</v>
      </c>
      <c r="K26">
        <f>Increment!K99</f>
        <v>0</v>
      </c>
      <c r="L26">
        <f>Increment!L99*VLOOKUP($C26,Weighting!$B$38:$D$50,3,FALSE)</f>
        <v>0</v>
      </c>
      <c r="M26">
        <f>Increment!M99</f>
        <v>0</v>
      </c>
      <c r="N26">
        <f>Increment!N99*VLOOKUP($C26,Weighting!$B$38:$D$50,3,FALSE)</f>
        <v>0</v>
      </c>
      <c r="O26">
        <f>Increment!O99</f>
        <v>0</v>
      </c>
      <c r="P26">
        <f>Increment!P99*VLOOKUP($C26,Weighting!$B$38:$D$50,3,FALSE)</f>
        <v>0</v>
      </c>
    </row>
    <row r="27" spans="1:16">
      <c r="A27" t="str">
        <f>Increment!A100</f>
        <v>Washington</v>
      </c>
      <c r="B27" t="str">
        <f>Increment!B100</f>
        <v xml:space="preserve">Center pivot/linear move systems: Install new sprinkler package on an existing system. </v>
      </c>
      <c r="C27" t="str">
        <f>Increment!C100</f>
        <v xml:space="preserve">Center pivot/linear move systems: Install new sprinkler package on an existing system. </v>
      </c>
      <c r="D27" s="797">
        <f>Increment!D100*VLOOKUP($C27,Weighting!$B$38:$D$50,3,FALSE)</f>
        <v>122.56941681015363</v>
      </c>
      <c r="E27">
        <f>Increment!E100</f>
        <v>5</v>
      </c>
      <c r="F27" s="796">
        <f>Increment!F100*VLOOKUP($C27,Weighting!$B$38:$D$50,3,FALSE)</f>
        <v>24.253499999999999</v>
      </c>
      <c r="G27">
        <f>Increment!G100*VLOOKUP($C27,Weighting!$B$38:$D$50,3,FALSE)</f>
        <v>0</v>
      </c>
      <c r="H27" t="str">
        <f>Increment!H100</f>
        <v>AgrIrrg</v>
      </c>
      <c r="I27">
        <f>Increment!I100*VLOOKUP($C27,Weighting!$B$38:$D$50,3,FALSE)</f>
        <v>0</v>
      </c>
      <c r="J27">
        <f>Increment!J100*VLOOKUP($C27,Weighting!$B$38:$D$50,3,FALSE)</f>
        <v>0</v>
      </c>
      <c r="K27">
        <f>Increment!K100</f>
        <v>0</v>
      </c>
      <c r="L27">
        <f>Increment!L100*VLOOKUP($C27,Weighting!$B$38:$D$50,3,FALSE)</f>
        <v>0</v>
      </c>
      <c r="M27">
        <f>Increment!M100</f>
        <v>0</v>
      </c>
      <c r="N27">
        <f>Increment!N100*VLOOKUP($C27,Weighting!$B$38:$D$50,3,FALSE)</f>
        <v>0</v>
      </c>
      <c r="O27">
        <f>Increment!O100</f>
        <v>0</v>
      </c>
      <c r="P27">
        <f>Increment!P100*VLOOKUP($C27,Weighting!$B$38:$D$50,3,FALSE)</f>
        <v>0</v>
      </c>
    </row>
    <row r="28" spans="1:16">
      <c r="A28" t="str">
        <f>Increment!A101</f>
        <v>Washington</v>
      </c>
      <c r="B28" t="str">
        <f>Increment!B101</f>
        <v xml:space="preserve">Center pivot/linear move systems: New gooseneck elbows </v>
      </c>
      <c r="C28" t="str">
        <f>Increment!C101</f>
        <v xml:space="preserve">Center pivot/linear move systems: New gooseneck elbows </v>
      </c>
      <c r="D28" s="797">
        <f>Increment!D101*VLOOKUP($C28,Weighting!$B$38:$D$50,3,FALSE)</f>
        <v>9.3563524639531614</v>
      </c>
      <c r="E28">
        <f>Increment!E101</f>
        <v>15</v>
      </c>
      <c r="F28" s="796">
        <f>Increment!F101*VLOOKUP($C28,Weighting!$B$38:$D$50,3,FALSE)</f>
        <v>3.9583333333333335</v>
      </c>
      <c r="G28">
        <f>Increment!G101*VLOOKUP($C28,Weighting!$B$38:$D$50,3,FALSE)</f>
        <v>0</v>
      </c>
      <c r="H28" t="str">
        <f>Increment!H101</f>
        <v>AgrIrrg</v>
      </c>
      <c r="I28">
        <f>Increment!I101*VLOOKUP($C28,Weighting!$B$38:$D$50,3,FALSE)</f>
        <v>0</v>
      </c>
      <c r="J28">
        <f>Increment!J101*VLOOKUP($C28,Weighting!$B$38:$D$50,3,FALSE)</f>
        <v>0</v>
      </c>
      <c r="K28">
        <f>Increment!K101</f>
        <v>0</v>
      </c>
      <c r="L28">
        <f>Increment!L101*VLOOKUP($C28,Weighting!$B$38:$D$50,3,FALSE)</f>
        <v>0</v>
      </c>
      <c r="M28">
        <f>Increment!M101</f>
        <v>0</v>
      </c>
      <c r="N28">
        <f>Increment!N101*VLOOKUP($C28,Weighting!$B$38:$D$50,3,FALSE)</f>
        <v>0</v>
      </c>
      <c r="O28">
        <f>Increment!O101</f>
        <v>0</v>
      </c>
      <c r="P28">
        <f>Increment!P101*VLOOKUP($C28,Weighting!$B$38:$D$50,3,FALSE)</f>
        <v>0</v>
      </c>
    </row>
    <row r="29" spans="1:16">
      <c r="A29" t="str">
        <f>Increment!A102</f>
        <v>Washington</v>
      </c>
      <c r="B29" t="str">
        <f>Increment!B102</f>
        <v xml:space="preserve">Center pivot/linear move systems: New drop tubes (3 feet minimum) </v>
      </c>
      <c r="C29" t="str">
        <f>Increment!C102</f>
        <v xml:space="preserve">Center pivot/linear move systems: New drop tubes (3 feet minimum) </v>
      </c>
      <c r="D29" s="797">
        <f>Increment!D102*VLOOKUP($C29,Weighting!$B$38:$D$50,3,FALSE)</f>
        <v>9.3563524639531614</v>
      </c>
      <c r="E29">
        <f>Increment!E102</f>
        <v>10</v>
      </c>
      <c r="F29" s="796">
        <f>Increment!F102*VLOOKUP($C29,Weighting!$B$38:$D$50,3,FALSE)</f>
        <v>6.1749999999999998</v>
      </c>
      <c r="G29">
        <f>Increment!G102*VLOOKUP($C29,Weighting!$B$38:$D$50,3,FALSE)</f>
        <v>0</v>
      </c>
      <c r="H29" t="str">
        <f>Increment!H102</f>
        <v>AgrIrrg</v>
      </c>
      <c r="I29">
        <f>Increment!I102*VLOOKUP($C29,Weighting!$B$38:$D$50,3,FALSE)</f>
        <v>0</v>
      </c>
      <c r="J29">
        <f>Increment!J102*VLOOKUP($C29,Weighting!$B$38:$D$50,3,FALSE)</f>
        <v>0</v>
      </c>
      <c r="K29">
        <f>Increment!K102</f>
        <v>0</v>
      </c>
      <c r="L29">
        <f>Increment!L102*VLOOKUP($C29,Weighting!$B$38:$D$50,3,FALSE)</f>
        <v>0</v>
      </c>
      <c r="M29">
        <f>Increment!M102</f>
        <v>0</v>
      </c>
      <c r="N29">
        <f>Increment!N102*VLOOKUP($C29,Weighting!$B$38:$D$50,3,FALSE)</f>
        <v>0</v>
      </c>
      <c r="O29">
        <f>Increment!O102</f>
        <v>0</v>
      </c>
      <c r="P29">
        <f>Increment!P102*VLOOKUP($C29,Weighting!$B$38:$D$50,3,FALSE)</f>
        <v>0</v>
      </c>
    </row>
    <row r="30" spans="1:16">
      <c r="A30" t="str">
        <f>Increment!A103</f>
        <v>Washington</v>
      </c>
      <c r="B30" t="str">
        <f>Increment!B103</f>
        <v xml:space="preserve">Center pivot/linear move systems: Replace leaking pivot boot gasket with new pivot boot gasket </v>
      </c>
      <c r="C30" t="str">
        <f>Increment!C103</f>
        <v xml:space="preserve">Center pivot/linear move systems: Replace leaking pivot boot gasket with new pivot boot gasket </v>
      </c>
      <c r="D30" s="797">
        <f>Increment!D103*VLOOKUP($C30,Weighting!$B$38:$D$50,3,FALSE)</f>
        <v>15.570471268333081</v>
      </c>
      <c r="E30">
        <f>Increment!E103</f>
        <v>8</v>
      </c>
      <c r="F30" s="796">
        <f>Increment!F103*VLOOKUP($C30,Weighting!$B$38:$D$50,3,FALSE)</f>
        <v>2.0750000000000002</v>
      </c>
      <c r="G30">
        <f>Increment!G103*VLOOKUP($C30,Weighting!$B$38:$D$50,3,FALSE)</f>
        <v>0</v>
      </c>
      <c r="H30" t="str">
        <f>Increment!H103</f>
        <v>AgrIrrg</v>
      </c>
      <c r="I30">
        <f>Increment!I103*VLOOKUP($C30,Weighting!$B$38:$D$50,3,FALSE)</f>
        <v>0</v>
      </c>
      <c r="J30">
        <f>Increment!J103*VLOOKUP($C30,Weighting!$B$38:$D$50,3,FALSE)</f>
        <v>0</v>
      </c>
      <c r="K30">
        <f>Increment!K103</f>
        <v>0</v>
      </c>
      <c r="L30">
        <f>Increment!L103*VLOOKUP($C30,Weighting!$B$38:$D$50,3,FALSE)</f>
        <v>0</v>
      </c>
      <c r="M30">
        <f>Increment!M103</f>
        <v>0</v>
      </c>
      <c r="N30">
        <f>Increment!N103*VLOOKUP($C30,Weighting!$B$38:$D$50,3,FALSE)</f>
        <v>0</v>
      </c>
      <c r="O30">
        <f>Increment!O103</f>
        <v>0</v>
      </c>
      <c r="P30">
        <f>Increment!P103*VLOOKUP($C30,Weighting!$B$38:$D$50,3,FALSE)</f>
        <v>0</v>
      </c>
    </row>
    <row r="31" spans="1:16">
      <c r="A31" t="str">
        <f>Increment!A104</f>
        <v>Washington</v>
      </c>
      <c r="B31" t="str">
        <f>Increment!B104</f>
        <v xml:space="preserve">Center pivot/linear move systems: Replace leaking tower gasket with new tower gasket </v>
      </c>
      <c r="C31" t="str">
        <f>Increment!C104</f>
        <v xml:space="preserve">Center pivot/linear move systems: Replace leaking tower gasket with new tower gasket </v>
      </c>
      <c r="D31" s="797">
        <f>Increment!D104*VLOOKUP($C31,Weighting!$B$38:$D$50,3,FALSE)</f>
        <v>3.8926178170832704</v>
      </c>
      <c r="E31">
        <f>Increment!E104</f>
        <v>8</v>
      </c>
      <c r="F31" s="796">
        <f>Increment!F104*VLOOKUP($C31,Weighting!$B$38:$D$50,3,FALSE)</f>
        <v>4.9800000000000004</v>
      </c>
      <c r="G31">
        <f>Increment!G104*VLOOKUP($C31,Weighting!$B$38:$D$50,3,FALSE)</f>
        <v>0</v>
      </c>
      <c r="H31" t="str">
        <f>Increment!H104</f>
        <v>AgrIrrg</v>
      </c>
      <c r="I31">
        <f>Increment!I104*VLOOKUP($C31,Weighting!$B$38:$D$50,3,FALSE)</f>
        <v>0</v>
      </c>
      <c r="J31">
        <f>Increment!J104*VLOOKUP($C31,Weighting!$B$38:$D$50,3,FALSE)</f>
        <v>0</v>
      </c>
      <c r="K31">
        <f>Increment!K104</f>
        <v>0</v>
      </c>
      <c r="L31">
        <f>Increment!L104*VLOOKUP($C31,Weighting!$B$38:$D$50,3,FALSE)</f>
        <v>0</v>
      </c>
      <c r="M31">
        <f>Increment!M104</f>
        <v>0</v>
      </c>
      <c r="N31">
        <f>Increment!N104*VLOOKUP($C31,Weighting!$B$38:$D$50,3,FALSE)</f>
        <v>0</v>
      </c>
      <c r="O31">
        <f>Increment!O104</f>
        <v>0</v>
      </c>
      <c r="P31">
        <f>Increment!P104*VLOOKUP($C31,Weighting!$B$38:$D$50,3,FALSE)</f>
        <v>0</v>
      </c>
    </row>
    <row r="32" spans="1:16">
      <c r="A32" t="str">
        <f>Increment!A105</f>
        <v>Oregon</v>
      </c>
      <c r="B32" t="str">
        <f>Increment!B105</f>
        <v xml:space="preserve">Wheel/hand line systems: Replace worn nozzle with new flow controlling type nozzle for impact sprinklers </v>
      </c>
      <c r="C32" t="str">
        <f>Increment!C105</f>
        <v xml:space="preserve">Wheel/hand line systems: Replace worn nozzle with new flow controlling type nozzle for impact sprinklers </v>
      </c>
      <c r="D32" s="797">
        <f>Increment!D105*VLOOKUP($C32,Weighting!$B$38:$D$50,3,FALSE)</f>
        <v>70.900188627558663</v>
      </c>
      <c r="E32">
        <f>Increment!E105</f>
        <v>4</v>
      </c>
      <c r="F32" s="796">
        <f>Increment!F105*VLOOKUP($C32,Weighting!$B$38:$D$50,3,FALSE)</f>
        <v>9.0666666666666664</v>
      </c>
      <c r="G32">
        <f>Increment!G105*VLOOKUP($C32,Weighting!$B$38:$D$50,3,FALSE)</f>
        <v>0</v>
      </c>
      <c r="H32" t="str">
        <f>Increment!H105</f>
        <v>AgrIrrg</v>
      </c>
      <c r="I32">
        <f>Increment!I105*VLOOKUP($C32,Weighting!$B$38:$D$50,3,FALSE)</f>
        <v>0</v>
      </c>
      <c r="J32">
        <f>Increment!J105*VLOOKUP($C32,Weighting!$B$38:$D$50,3,FALSE)</f>
        <v>0</v>
      </c>
      <c r="K32">
        <f>Increment!K105</f>
        <v>0</v>
      </c>
      <c r="L32">
        <f>Increment!L105*VLOOKUP($C32,Weighting!$B$38:$D$50,3,FALSE)</f>
        <v>0</v>
      </c>
      <c r="M32">
        <f>Increment!M105</f>
        <v>0</v>
      </c>
      <c r="N32">
        <f>Increment!N105*VLOOKUP($C32,Weighting!$B$38:$D$50,3,FALSE)</f>
        <v>0</v>
      </c>
      <c r="O32">
        <f>Increment!O105</f>
        <v>0</v>
      </c>
      <c r="P32">
        <f>Increment!P105*VLOOKUP($C32,Weighting!$B$38:$D$50,3,FALSE)</f>
        <v>0</v>
      </c>
    </row>
    <row r="33" spans="1:16">
      <c r="A33" t="str">
        <f>Increment!A106</f>
        <v>Oregon</v>
      </c>
      <c r="B33" t="str">
        <f>Increment!B106</f>
        <v xml:space="preserve">Wheel/hand line systems: Replace worn nozzle with new nozzle </v>
      </c>
      <c r="C33" t="str">
        <f>Increment!C106</f>
        <v xml:space="preserve">Wheel/hand line systems: Replace worn nozzle with new nozzle </v>
      </c>
      <c r="D33" s="797">
        <f>Increment!D106*VLOOKUP($C33,Weighting!$B$38:$D$50,3,FALSE)</f>
        <v>70.900188627558663</v>
      </c>
      <c r="E33">
        <f>Increment!E106</f>
        <v>4</v>
      </c>
      <c r="F33" s="796">
        <f>Increment!F106*VLOOKUP($C33,Weighting!$B$38:$D$50,3,FALSE)</f>
        <v>3.3866666666666667</v>
      </c>
      <c r="G33">
        <f>Increment!G106*VLOOKUP($C33,Weighting!$B$38:$D$50,3,FALSE)</f>
        <v>0</v>
      </c>
      <c r="H33" t="str">
        <f>Increment!H106</f>
        <v>AgrIrrg</v>
      </c>
      <c r="I33">
        <f>Increment!I106*VLOOKUP($C33,Weighting!$B$38:$D$50,3,FALSE)</f>
        <v>0</v>
      </c>
      <c r="J33">
        <f>Increment!J106*VLOOKUP($C33,Weighting!$B$38:$D$50,3,FALSE)</f>
        <v>0</v>
      </c>
      <c r="K33">
        <f>Increment!K106</f>
        <v>0</v>
      </c>
      <c r="L33">
        <f>Increment!L106*VLOOKUP($C33,Weighting!$B$38:$D$50,3,FALSE)</f>
        <v>0</v>
      </c>
      <c r="M33">
        <f>Increment!M106</f>
        <v>0</v>
      </c>
      <c r="N33">
        <f>Increment!N106*VLOOKUP($C33,Weighting!$B$38:$D$50,3,FALSE)</f>
        <v>0</v>
      </c>
      <c r="O33">
        <f>Increment!O106</f>
        <v>0</v>
      </c>
      <c r="P33">
        <f>Increment!P106*VLOOKUP($C33,Weighting!$B$38:$D$50,3,FALSE)</f>
        <v>0</v>
      </c>
    </row>
    <row r="34" spans="1:16">
      <c r="A34" t="str">
        <f>Increment!A107</f>
        <v>Oregon</v>
      </c>
      <c r="B34" t="str">
        <f>Increment!B107</f>
        <v xml:space="preserve">Wheel/hand line systems: Rebuild or replace leaking impact sprinkler with new or rebuilt impact sprinkler </v>
      </c>
      <c r="C34" t="str">
        <f>Increment!C107</f>
        <v xml:space="preserve">Wheel/hand line systems: Rebuild or replace leaking impact sprinkler with new or rebuilt impact sprinkler </v>
      </c>
      <c r="D34" s="797">
        <f>Increment!D107*VLOOKUP($C34,Weighting!$B$38:$D$50,3,FALSE)</f>
        <v>62.327826960526821</v>
      </c>
      <c r="E34">
        <f>Increment!E107</f>
        <v>5</v>
      </c>
      <c r="F34" s="796">
        <f>Increment!F107*VLOOKUP($C34,Weighting!$B$38:$D$50,3,FALSE)</f>
        <v>19.733333333333334</v>
      </c>
      <c r="G34">
        <f>Increment!G107*VLOOKUP($C34,Weighting!$B$38:$D$50,3,FALSE)</f>
        <v>0</v>
      </c>
      <c r="H34" t="str">
        <f>Increment!H107</f>
        <v>AgrIrrg</v>
      </c>
      <c r="I34">
        <f>Increment!I107*VLOOKUP($C34,Weighting!$B$38:$D$50,3,FALSE)</f>
        <v>0</v>
      </c>
      <c r="J34">
        <f>Increment!J107*VLOOKUP($C34,Weighting!$B$38:$D$50,3,FALSE)</f>
        <v>0</v>
      </c>
      <c r="K34">
        <f>Increment!K107</f>
        <v>0</v>
      </c>
      <c r="L34">
        <f>Increment!L107*VLOOKUP($C34,Weighting!$B$38:$D$50,3,FALSE)</f>
        <v>0</v>
      </c>
      <c r="M34">
        <f>Increment!M107</f>
        <v>0</v>
      </c>
      <c r="N34">
        <f>Increment!N107*VLOOKUP($C34,Weighting!$B$38:$D$50,3,FALSE)</f>
        <v>0</v>
      </c>
      <c r="O34">
        <f>Increment!O107</f>
        <v>0</v>
      </c>
      <c r="P34">
        <f>Increment!P107*VLOOKUP($C34,Weighting!$B$38:$D$50,3,FALSE)</f>
        <v>0</v>
      </c>
    </row>
    <row r="35" spans="1:16">
      <c r="A35" t="str">
        <f>Increment!A108</f>
        <v>Oregon</v>
      </c>
      <c r="B35" t="str">
        <f>Increment!B108</f>
        <v xml:space="preserve">Wheel/hand line systems: Replace leaking gasket with new gasket </v>
      </c>
      <c r="C35" t="str">
        <f>Increment!C108</f>
        <v xml:space="preserve">Wheel/hand line systems: Replace leaking gasket with new gasket </v>
      </c>
      <c r="D35" s="797">
        <f>Increment!D108*VLOOKUP($C35,Weighting!$B$38:$D$50,3,FALSE)</f>
        <v>372.94092628248404</v>
      </c>
      <c r="E35">
        <f>Increment!E108</f>
        <v>5</v>
      </c>
      <c r="F35" s="796">
        <f>Increment!F108*VLOOKUP($C35,Weighting!$B$38:$D$50,3,FALSE)</f>
        <v>6.2666666666666666</v>
      </c>
      <c r="G35">
        <f>Increment!G108*VLOOKUP($C35,Weighting!$B$38:$D$50,3,FALSE)</f>
        <v>0</v>
      </c>
      <c r="H35" t="str">
        <f>Increment!H108</f>
        <v>AgrIrrg</v>
      </c>
      <c r="I35">
        <f>Increment!I108*VLOOKUP($C35,Weighting!$B$38:$D$50,3,FALSE)</f>
        <v>0</v>
      </c>
      <c r="J35">
        <f>Increment!J108*VLOOKUP($C35,Weighting!$B$38:$D$50,3,FALSE)</f>
        <v>0</v>
      </c>
      <c r="K35">
        <f>Increment!K108</f>
        <v>0</v>
      </c>
      <c r="L35">
        <f>Increment!L108*VLOOKUP($C35,Weighting!$B$38:$D$50,3,FALSE)</f>
        <v>0</v>
      </c>
      <c r="M35">
        <f>Increment!M108</f>
        <v>0</v>
      </c>
      <c r="N35">
        <f>Increment!N108*VLOOKUP($C35,Weighting!$B$38:$D$50,3,FALSE)</f>
        <v>0</v>
      </c>
      <c r="O35">
        <f>Increment!O108</f>
        <v>0</v>
      </c>
      <c r="P35">
        <f>Increment!P108*VLOOKUP($C35,Weighting!$B$38:$D$50,3,FALSE)</f>
        <v>0</v>
      </c>
    </row>
    <row r="36" spans="1:16">
      <c r="A36" t="str">
        <f>Increment!A109</f>
        <v>Oregon</v>
      </c>
      <c r="B36" t="str">
        <f>Increment!B109</f>
        <v xml:space="preserve">Wheel/hand line systems: Replace leaking drain with new drain </v>
      </c>
      <c r="C36" t="str">
        <f>Increment!C109</f>
        <v xml:space="preserve">Wheel/hand line systems: Replace leaking drain with new drain </v>
      </c>
      <c r="D36" s="797">
        <f>Increment!D109*VLOOKUP($C36,Weighting!$B$38:$D$50,3,FALSE)</f>
        <v>386.52682892371809</v>
      </c>
      <c r="E36">
        <f>Increment!E109</f>
        <v>5</v>
      </c>
      <c r="F36" s="796">
        <f>Increment!F109*VLOOKUP($C36,Weighting!$B$38:$D$50,3,FALSE)</f>
        <v>21.866666666666667</v>
      </c>
      <c r="G36">
        <f>Increment!G109*VLOOKUP($C36,Weighting!$B$38:$D$50,3,FALSE)</f>
        <v>0</v>
      </c>
      <c r="H36" t="str">
        <f>Increment!H109</f>
        <v>AgrIrrg</v>
      </c>
      <c r="I36">
        <f>Increment!I109*VLOOKUP($C36,Weighting!$B$38:$D$50,3,FALSE)</f>
        <v>0</v>
      </c>
      <c r="J36">
        <f>Increment!J109*VLOOKUP($C36,Weighting!$B$38:$D$50,3,FALSE)</f>
        <v>0</v>
      </c>
      <c r="K36">
        <f>Increment!K109</f>
        <v>0</v>
      </c>
      <c r="L36">
        <f>Increment!L109*VLOOKUP($C36,Weighting!$B$38:$D$50,3,FALSE)</f>
        <v>0</v>
      </c>
      <c r="M36">
        <f>Increment!M109</f>
        <v>0</v>
      </c>
      <c r="N36">
        <f>Increment!N109*VLOOKUP($C36,Weighting!$B$38:$D$50,3,FALSE)</f>
        <v>0</v>
      </c>
      <c r="O36">
        <f>Increment!O109</f>
        <v>0</v>
      </c>
      <c r="P36">
        <f>Increment!P109*VLOOKUP($C36,Weighting!$B$38:$D$50,3,FALSE)</f>
        <v>0</v>
      </c>
    </row>
    <row r="37" spans="1:16">
      <c r="A37" t="str">
        <f>Increment!A110</f>
        <v>Oregon</v>
      </c>
      <c r="B37" t="str">
        <f>Increment!B110</f>
        <v xml:space="preserve">Wheel/hand line systems: Cut and pipe press repair of leaking hand-lines, wheel-lines, and portable main-lines </v>
      </c>
      <c r="C37" t="str">
        <f>Increment!C110</f>
        <v xml:space="preserve">Wheel/hand line systems: Cut and pipe press repair of leaking hand-lines, wheel-lines, and portable main-lines </v>
      </c>
      <c r="D37" s="797">
        <f>Increment!D110*VLOOKUP($C37,Weighting!$B$38:$D$50,3,FALSE)</f>
        <v>185.56558812777402</v>
      </c>
      <c r="E37">
        <f>Increment!E110</f>
        <v>8</v>
      </c>
      <c r="F37" s="796">
        <f>Increment!F110*VLOOKUP($C37,Weighting!$B$38:$D$50,3,FALSE)</f>
        <v>28.8</v>
      </c>
      <c r="G37">
        <f>Increment!G110*VLOOKUP($C37,Weighting!$B$38:$D$50,3,FALSE)</f>
        <v>0</v>
      </c>
      <c r="H37" t="str">
        <f>Increment!H110</f>
        <v>AgrIrrg</v>
      </c>
      <c r="I37">
        <f>Increment!I110*VLOOKUP($C37,Weighting!$B$38:$D$50,3,FALSE)</f>
        <v>0</v>
      </c>
      <c r="J37">
        <f>Increment!J110*VLOOKUP($C37,Weighting!$B$38:$D$50,3,FALSE)</f>
        <v>0</v>
      </c>
      <c r="K37">
        <f>Increment!K110</f>
        <v>0</v>
      </c>
      <c r="L37">
        <f>Increment!L110*VLOOKUP($C37,Weighting!$B$38:$D$50,3,FALSE)</f>
        <v>0</v>
      </c>
      <c r="M37">
        <f>Increment!M110</f>
        <v>0</v>
      </c>
      <c r="N37">
        <f>Increment!N110*VLOOKUP($C37,Weighting!$B$38:$D$50,3,FALSE)</f>
        <v>0</v>
      </c>
      <c r="O37">
        <f>Increment!O110</f>
        <v>0</v>
      </c>
      <c r="P37">
        <f>Increment!P110*VLOOKUP($C37,Weighting!$B$38:$D$50,3,FALSE)</f>
        <v>0</v>
      </c>
    </row>
    <row r="38" spans="1:16">
      <c r="A38" t="str">
        <f>Increment!A111</f>
        <v>Oregon</v>
      </c>
      <c r="B38" t="str">
        <f>Increment!B111</f>
        <v xml:space="preserve">Thunderbird wheel line systems: Replace leaking hub with new hub </v>
      </c>
      <c r="C38" t="str">
        <f>Increment!C111</f>
        <v xml:space="preserve">Thunderbird wheel line systems: Replace leaking hub with new hub </v>
      </c>
      <c r="D38" s="797">
        <f>Increment!D111*VLOOKUP($C38,Weighting!$B$38:$D$50,3,FALSE)</f>
        <v>321.16441941429207</v>
      </c>
      <c r="E38">
        <f>Increment!E111</f>
        <v>10</v>
      </c>
      <c r="F38" s="796">
        <f>Increment!F111*VLOOKUP($C38,Weighting!$B$38:$D$50,3,FALSE)</f>
        <v>160</v>
      </c>
      <c r="G38">
        <f>Increment!G111*VLOOKUP($C38,Weighting!$B$38:$D$50,3,FALSE)</f>
        <v>0</v>
      </c>
      <c r="H38" t="str">
        <f>Increment!H111</f>
        <v>AgrIrrg</v>
      </c>
      <c r="I38">
        <f>Increment!I111*VLOOKUP($C38,Weighting!$B$38:$D$50,3,FALSE)</f>
        <v>0</v>
      </c>
      <c r="J38">
        <f>Increment!J111*VLOOKUP($C38,Weighting!$B$38:$D$50,3,FALSE)</f>
        <v>0</v>
      </c>
      <c r="K38">
        <f>Increment!K111</f>
        <v>0</v>
      </c>
      <c r="L38">
        <f>Increment!L111*VLOOKUP($C38,Weighting!$B$38:$D$50,3,FALSE)</f>
        <v>0</v>
      </c>
      <c r="M38">
        <f>Increment!M111</f>
        <v>0</v>
      </c>
      <c r="N38">
        <f>Increment!N111*VLOOKUP($C38,Weighting!$B$38:$D$50,3,FALSE)</f>
        <v>0</v>
      </c>
      <c r="O38">
        <f>Increment!O111</f>
        <v>0</v>
      </c>
      <c r="P38">
        <f>Increment!P111*VLOOKUP($C38,Weighting!$B$38:$D$50,3,FALSE)</f>
        <v>0</v>
      </c>
    </row>
    <row r="39" spans="1:16">
      <c r="A39" t="str">
        <f>Increment!A112</f>
        <v>Oregon</v>
      </c>
      <c r="B39" t="str">
        <f>Increment!B112</f>
        <v xml:space="preserve">Wheel line systems: Rebuild or replace leaking or malfunctioning leveler with new or rebuilt leveler. </v>
      </c>
      <c r="C39" t="str">
        <f>Increment!C112</f>
        <v xml:space="preserve">Wheel line systems: Rebuild or replace leaking or malfunctioning leveler with new or rebuilt leveler. </v>
      </c>
      <c r="D39" s="797">
        <f>Increment!D112*VLOOKUP($C39,Weighting!$B$38:$D$50,3,FALSE)</f>
        <v>92.479777249884535</v>
      </c>
      <c r="E39">
        <f>Increment!E112</f>
        <v>5</v>
      </c>
      <c r="F39" s="796">
        <f>Increment!F112*VLOOKUP($C39,Weighting!$B$38:$D$50,3,FALSE)</f>
        <v>5.2</v>
      </c>
      <c r="G39">
        <f>Increment!G112*VLOOKUP($C39,Weighting!$B$38:$D$50,3,FALSE)</f>
        <v>0</v>
      </c>
      <c r="H39" t="str">
        <f>Increment!H112</f>
        <v>AgrIrrg</v>
      </c>
      <c r="I39">
        <f>Increment!I112*VLOOKUP($C39,Weighting!$B$38:$D$50,3,FALSE)</f>
        <v>0</v>
      </c>
      <c r="J39">
        <f>Increment!J112*VLOOKUP($C39,Weighting!$B$38:$D$50,3,FALSE)</f>
        <v>0</v>
      </c>
      <c r="K39">
        <f>Increment!K112</f>
        <v>0</v>
      </c>
      <c r="L39">
        <f>Increment!L112*VLOOKUP($C39,Weighting!$B$38:$D$50,3,FALSE)</f>
        <v>0</v>
      </c>
      <c r="M39">
        <f>Increment!M112</f>
        <v>0</v>
      </c>
      <c r="N39">
        <f>Increment!N112*VLOOKUP($C39,Weighting!$B$38:$D$50,3,FALSE)</f>
        <v>0</v>
      </c>
      <c r="O39">
        <f>Increment!O112</f>
        <v>0</v>
      </c>
      <c r="P39">
        <f>Increment!P112*VLOOKUP($C39,Weighting!$B$38:$D$50,3,FALSE)</f>
        <v>0</v>
      </c>
    </row>
    <row r="40" spans="1:16">
      <c r="A40" t="str">
        <f>Increment!A113</f>
        <v>Oregon</v>
      </c>
      <c r="B40" t="str">
        <f>Increment!B113</f>
        <v xml:space="preserve">Center pivot/linear move systems: Install new sprinkler package on an existing system. </v>
      </c>
      <c r="C40" t="str">
        <f>Increment!C113</f>
        <v xml:space="preserve">Center pivot/linear move systems: Install new sprinkler package on an existing system. </v>
      </c>
      <c r="D40" s="797">
        <f>Increment!D113*VLOOKUP($C40,Weighting!$B$38:$D$50,3,FALSE)</f>
        <v>122.56941681015363</v>
      </c>
      <c r="E40">
        <f>Increment!E113</f>
        <v>5</v>
      </c>
      <c r="F40" s="796">
        <f>Increment!F113*VLOOKUP($C40,Weighting!$B$38:$D$50,3,FALSE)</f>
        <v>24.253499999999999</v>
      </c>
      <c r="G40">
        <f>Increment!G113*VLOOKUP($C40,Weighting!$B$38:$D$50,3,FALSE)</f>
        <v>0</v>
      </c>
      <c r="H40" t="str">
        <f>Increment!H113</f>
        <v>AgrIrrg</v>
      </c>
      <c r="I40">
        <f>Increment!I113*VLOOKUP($C40,Weighting!$B$38:$D$50,3,FALSE)</f>
        <v>0</v>
      </c>
      <c r="J40">
        <f>Increment!J113*VLOOKUP($C40,Weighting!$B$38:$D$50,3,FALSE)</f>
        <v>0</v>
      </c>
      <c r="K40">
        <f>Increment!K113</f>
        <v>0</v>
      </c>
      <c r="L40">
        <f>Increment!L113*VLOOKUP($C40,Weighting!$B$38:$D$50,3,FALSE)</f>
        <v>0</v>
      </c>
      <c r="M40">
        <f>Increment!M113</f>
        <v>0</v>
      </c>
      <c r="N40">
        <f>Increment!N113*VLOOKUP($C40,Weighting!$B$38:$D$50,3,FALSE)</f>
        <v>0</v>
      </c>
      <c r="O40">
        <f>Increment!O113</f>
        <v>0</v>
      </c>
      <c r="P40">
        <f>Increment!P113*VLOOKUP($C40,Weighting!$B$38:$D$50,3,FALSE)</f>
        <v>0</v>
      </c>
    </row>
    <row r="41" spans="1:16">
      <c r="A41" t="str">
        <f>Increment!A114</f>
        <v>Oregon</v>
      </c>
      <c r="B41" t="str">
        <f>Increment!B114</f>
        <v xml:space="preserve">Center pivot/linear move systems: New gooseneck elbows </v>
      </c>
      <c r="C41" t="str">
        <f>Increment!C114</f>
        <v xml:space="preserve">Center pivot/linear move systems: New gooseneck elbows </v>
      </c>
      <c r="D41" s="797">
        <f>Increment!D114*VLOOKUP($C41,Weighting!$B$38:$D$50,3,FALSE)</f>
        <v>9.3563524639531614</v>
      </c>
      <c r="E41">
        <f>Increment!E114</f>
        <v>15</v>
      </c>
      <c r="F41" s="796">
        <f>Increment!F114*VLOOKUP($C41,Weighting!$B$38:$D$50,3,FALSE)</f>
        <v>3.9583333333333335</v>
      </c>
      <c r="G41">
        <f>Increment!G114*VLOOKUP($C41,Weighting!$B$38:$D$50,3,FALSE)</f>
        <v>0</v>
      </c>
      <c r="H41" t="str">
        <f>Increment!H114</f>
        <v>AgrIrrg</v>
      </c>
      <c r="I41">
        <f>Increment!I114*VLOOKUP($C41,Weighting!$B$38:$D$50,3,FALSE)</f>
        <v>0</v>
      </c>
      <c r="J41">
        <f>Increment!J114*VLOOKUP($C41,Weighting!$B$38:$D$50,3,FALSE)</f>
        <v>0</v>
      </c>
      <c r="K41">
        <f>Increment!K114</f>
        <v>0</v>
      </c>
      <c r="L41">
        <f>Increment!L114*VLOOKUP($C41,Weighting!$B$38:$D$50,3,FALSE)</f>
        <v>0</v>
      </c>
      <c r="M41">
        <f>Increment!M114</f>
        <v>0</v>
      </c>
      <c r="N41">
        <f>Increment!N114*VLOOKUP($C41,Weighting!$B$38:$D$50,3,FALSE)</f>
        <v>0</v>
      </c>
      <c r="O41">
        <f>Increment!O114</f>
        <v>0</v>
      </c>
      <c r="P41">
        <f>Increment!P114*VLOOKUP($C41,Weighting!$B$38:$D$50,3,FALSE)</f>
        <v>0</v>
      </c>
    </row>
    <row r="42" spans="1:16">
      <c r="A42" t="str">
        <f>Increment!A115</f>
        <v>Oregon</v>
      </c>
      <c r="B42" t="str">
        <f>Increment!B115</f>
        <v xml:space="preserve">Center pivot/linear move systems: New drop tubes (3 feet minimum) </v>
      </c>
      <c r="C42" t="str">
        <f>Increment!C115</f>
        <v xml:space="preserve">Center pivot/linear move systems: New drop tubes (3 feet minimum) </v>
      </c>
      <c r="D42" s="797">
        <f>Increment!D115*VLOOKUP($C42,Weighting!$B$38:$D$50,3,FALSE)</f>
        <v>9.3563524639531614</v>
      </c>
      <c r="E42">
        <f>Increment!E115</f>
        <v>10</v>
      </c>
      <c r="F42" s="796">
        <f>Increment!F115*VLOOKUP($C42,Weighting!$B$38:$D$50,3,FALSE)</f>
        <v>6.1749999999999998</v>
      </c>
      <c r="G42">
        <f>Increment!G115*VLOOKUP($C42,Weighting!$B$38:$D$50,3,FALSE)</f>
        <v>0</v>
      </c>
      <c r="H42" t="str">
        <f>Increment!H115</f>
        <v>AgrIrrg</v>
      </c>
      <c r="I42">
        <f>Increment!I115*VLOOKUP($C42,Weighting!$B$38:$D$50,3,FALSE)</f>
        <v>0</v>
      </c>
      <c r="J42">
        <f>Increment!J115*VLOOKUP($C42,Weighting!$B$38:$D$50,3,FALSE)</f>
        <v>0</v>
      </c>
      <c r="K42">
        <f>Increment!K115</f>
        <v>0</v>
      </c>
      <c r="L42">
        <f>Increment!L115*VLOOKUP($C42,Weighting!$B$38:$D$50,3,FALSE)</f>
        <v>0</v>
      </c>
      <c r="M42">
        <f>Increment!M115</f>
        <v>0</v>
      </c>
      <c r="N42">
        <f>Increment!N115*VLOOKUP($C42,Weighting!$B$38:$D$50,3,FALSE)</f>
        <v>0</v>
      </c>
      <c r="O42">
        <f>Increment!O115</f>
        <v>0</v>
      </c>
      <c r="P42">
        <f>Increment!P115*VLOOKUP($C42,Weighting!$B$38:$D$50,3,FALSE)</f>
        <v>0</v>
      </c>
    </row>
    <row r="43" spans="1:16">
      <c r="A43" t="str">
        <f>Increment!A116</f>
        <v>Oregon</v>
      </c>
      <c r="B43" t="str">
        <f>Increment!B116</f>
        <v xml:space="preserve">Center pivot/linear move systems: Replace leaking pivot boot gasket with new pivot boot gasket </v>
      </c>
      <c r="C43" t="str">
        <f>Increment!C116</f>
        <v xml:space="preserve">Center pivot/linear move systems: Replace leaking pivot boot gasket with new pivot boot gasket </v>
      </c>
      <c r="D43" s="797">
        <f>Increment!D116*VLOOKUP($C43,Weighting!$B$38:$D$50,3,FALSE)</f>
        <v>15.570471268333081</v>
      </c>
      <c r="E43">
        <f>Increment!E116</f>
        <v>8</v>
      </c>
      <c r="F43" s="796">
        <f>Increment!F116*VLOOKUP($C43,Weighting!$B$38:$D$50,3,FALSE)</f>
        <v>2.0750000000000002</v>
      </c>
      <c r="G43">
        <f>Increment!G116*VLOOKUP($C43,Weighting!$B$38:$D$50,3,FALSE)</f>
        <v>0</v>
      </c>
      <c r="H43" t="str">
        <f>Increment!H116</f>
        <v>AgrIrrg</v>
      </c>
      <c r="I43">
        <f>Increment!I116*VLOOKUP($C43,Weighting!$B$38:$D$50,3,FALSE)</f>
        <v>0</v>
      </c>
      <c r="J43">
        <f>Increment!J116*VLOOKUP($C43,Weighting!$B$38:$D$50,3,FALSE)</f>
        <v>0</v>
      </c>
      <c r="K43">
        <f>Increment!K116</f>
        <v>0</v>
      </c>
      <c r="L43">
        <f>Increment!L116*VLOOKUP($C43,Weighting!$B$38:$D$50,3,FALSE)</f>
        <v>0</v>
      </c>
      <c r="M43">
        <f>Increment!M116</f>
        <v>0</v>
      </c>
      <c r="N43">
        <f>Increment!N116*VLOOKUP($C43,Weighting!$B$38:$D$50,3,FALSE)</f>
        <v>0</v>
      </c>
      <c r="O43">
        <f>Increment!O116</f>
        <v>0</v>
      </c>
      <c r="P43">
        <f>Increment!P116*VLOOKUP($C43,Weighting!$B$38:$D$50,3,FALSE)</f>
        <v>0</v>
      </c>
    </row>
    <row r="44" spans="1:16">
      <c r="A44" t="str">
        <f>Increment!A117</f>
        <v>Oregon</v>
      </c>
      <c r="B44" t="str">
        <f>Increment!B117</f>
        <v xml:space="preserve">Center pivot/linear move systems: Replace leaking tower gasket with new tower gasket </v>
      </c>
      <c r="C44" t="str">
        <f>Increment!C117</f>
        <v xml:space="preserve">Center pivot/linear move systems: Replace leaking tower gasket with new tower gasket </v>
      </c>
      <c r="D44" s="797">
        <f>Increment!D117*VLOOKUP($C44,Weighting!$B$38:$D$50,3,FALSE)</f>
        <v>3.8926178170832704</v>
      </c>
      <c r="E44">
        <f>Increment!E117</f>
        <v>8</v>
      </c>
      <c r="F44" s="796">
        <f>Increment!F117*VLOOKUP($C44,Weighting!$B$38:$D$50,3,FALSE)</f>
        <v>4.9800000000000004</v>
      </c>
      <c r="G44">
        <f>Increment!G117*VLOOKUP($C44,Weighting!$B$38:$D$50,3,FALSE)</f>
        <v>0</v>
      </c>
      <c r="H44" t="str">
        <f>Increment!H117</f>
        <v>AgrIrrg</v>
      </c>
      <c r="I44">
        <f>Increment!I117*VLOOKUP($C44,Weighting!$B$38:$D$50,3,FALSE)</f>
        <v>0</v>
      </c>
      <c r="J44">
        <f>Increment!J117*VLOOKUP($C44,Weighting!$B$38:$D$50,3,FALSE)</f>
        <v>0</v>
      </c>
      <c r="K44">
        <f>Increment!K117</f>
        <v>0</v>
      </c>
      <c r="L44">
        <f>Increment!L117*VLOOKUP($C44,Weighting!$B$38:$D$50,3,FALSE)</f>
        <v>0</v>
      </c>
      <c r="M44">
        <f>Increment!M117</f>
        <v>0</v>
      </c>
      <c r="N44">
        <f>Increment!N117*VLOOKUP($C44,Weighting!$B$38:$D$50,3,FALSE)</f>
        <v>0</v>
      </c>
      <c r="O44">
        <f>Increment!O117</f>
        <v>0</v>
      </c>
      <c r="P44">
        <f>Increment!P117*VLOOKUP($C44,Weighting!$B$38:$D$50,3,FALSE)</f>
        <v>0</v>
      </c>
    </row>
    <row r="45" spans="1:16">
      <c r="A45" t="str">
        <f>Increment!A118</f>
        <v>Montana</v>
      </c>
      <c r="B45" t="str">
        <f>Increment!B118</f>
        <v xml:space="preserve">Wheel/hand line systems: Replace worn nozzle with new flow controlling type nozzle for impact sprinklers </v>
      </c>
      <c r="C45" t="str">
        <f>Increment!C118</f>
        <v xml:space="preserve">Wheel/hand line systems: Replace worn nozzle with new flow controlling type nozzle for impact sprinklers </v>
      </c>
      <c r="D45" s="797">
        <f>Increment!D118*VLOOKUP($C45,Weighting!$B$38:$D$50,3,FALSE)</f>
        <v>9.6412896030408817</v>
      </c>
      <c r="E45">
        <f>Increment!E118</f>
        <v>4</v>
      </c>
      <c r="F45" s="796">
        <f>Increment!F118*VLOOKUP($C45,Weighting!$B$38:$D$50,3,FALSE)</f>
        <v>9.0666666666666664</v>
      </c>
      <c r="G45">
        <f>Increment!G118*VLOOKUP($C45,Weighting!$B$38:$D$50,3,FALSE)</f>
        <v>0</v>
      </c>
      <c r="H45" t="str">
        <f>Increment!H118</f>
        <v>AgrIrrg</v>
      </c>
      <c r="I45">
        <f>Increment!I118*VLOOKUP($C45,Weighting!$B$38:$D$50,3,FALSE)</f>
        <v>0</v>
      </c>
      <c r="J45">
        <f>Increment!J118*VLOOKUP($C45,Weighting!$B$38:$D$50,3,FALSE)</f>
        <v>0</v>
      </c>
      <c r="K45">
        <f>Increment!K118</f>
        <v>0</v>
      </c>
      <c r="L45">
        <f>Increment!L118*VLOOKUP($C45,Weighting!$B$38:$D$50,3,FALSE)</f>
        <v>0</v>
      </c>
      <c r="M45">
        <f>Increment!M118</f>
        <v>0</v>
      </c>
      <c r="N45">
        <f>Increment!N118*VLOOKUP($C45,Weighting!$B$38:$D$50,3,FALSE)</f>
        <v>0</v>
      </c>
      <c r="O45">
        <f>Increment!O118</f>
        <v>0</v>
      </c>
      <c r="P45">
        <f>Increment!P118*VLOOKUP($C45,Weighting!$B$38:$D$50,3,FALSE)</f>
        <v>0</v>
      </c>
    </row>
    <row r="46" spans="1:16">
      <c r="A46" t="str">
        <f>Increment!A119</f>
        <v>Montana</v>
      </c>
      <c r="B46" t="str">
        <f>Increment!B119</f>
        <v xml:space="preserve">Wheel/hand line systems: Replace worn nozzle with new nozzle </v>
      </c>
      <c r="C46" t="str">
        <f>Increment!C119</f>
        <v xml:space="preserve">Wheel/hand line systems: Replace worn nozzle with new nozzle </v>
      </c>
      <c r="D46" s="797">
        <f>Increment!D119*VLOOKUP($C46,Weighting!$B$38:$D$50,3,FALSE)</f>
        <v>9.6412896030408817</v>
      </c>
      <c r="E46">
        <f>Increment!E119</f>
        <v>4</v>
      </c>
      <c r="F46" s="796">
        <f>Increment!F119*VLOOKUP($C46,Weighting!$B$38:$D$50,3,FALSE)</f>
        <v>3.3866666666666667</v>
      </c>
      <c r="G46">
        <f>Increment!G119*VLOOKUP($C46,Weighting!$B$38:$D$50,3,FALSE)</f>
        <v>0</v>
      </c>
      <c r="H46" t="str">
        <f>Increment!H119</f>
        <v>AgrIrrg</v>
      </c>
      <c r="I46">
        <f>Increment!I119*VLOOKUP($C46,Weighting!$B$38:$D$50,3,FALSE)</f>
        <v>0</v>
      </c>
      <c r="J46">
        <f>Increment!J119*VLOOKUP($C46,Weighting!$B$38:$D$50,3,FALSE)</f>
        <v>0</v>
      </c>
      <c r="K46">
        <f>Increment!K119</f>
        <v>0</v>
      </c>
      <c r="L46">
        <f>Increment!L119*VLOOKUP($C46,Weighting!$B$38:$D$50,3,FALSE)</f>
        <v>0</v>
      </c>
      <c r="M46">
        <f>Increment!M119</f>
        <v>0</v>
      </c>
      <c r="N46">
        <f>Increment!N119*VLOOKUP($C46,Weighting!$B$38:$D$50,3,FALSE)</f>
        <v>0</v>
      </c>
      <c r="O46">
        <f>Increment!O119</f>
        <v>0</v>
      </c>
      <c r="P46">
        <f>Increment!P119*VLOOKUP($C46,Weighting!$B$38:$D$50,3,FALSE)</f>
        <v>0</v>
      </c>
    </row>
    <row r="47" spans="1:16">
      <c r="A47" t="str">
        <f>Increment!A120</f>
        <v>Montana</v>
      </c>
      <c r="B47" t="str">
        <f>Increment!B120</f>
        <v xml:space="preserve">Wheel/hand line systems: Rebuild or replace leaking impact sprinkler with new or rebuilt impact sprinkler </v>
      </c>
      <c r="C47" t="str">
        <f>Increment!C120</f>
        <v xml:space="preserve">Wheel/hand line systems: Rebuild or replace leaking impact sprinkler with new or rebuilt impact sprinkler </v>
      </c>
      <c r="D47" s="797">
        <f>Increment!D120*VLOOKUP($C47,Weighting!$B$38:$D$50,3,FALSE)</f>
        <v>8.4755857732807609</v>
      </c>
      <c r="E47">
        <f>Increment!E120</f>
        <v>5</v>
      </c>
      <c r="F47" s="796">
        <f>Increment!F120*VLOOKUP($C47,Weighting!$B$38:$D$50,3,FALSE)</f>
        <v>19.733333333333334</v>
      </c>
      <c r="G47">
        <f>Increment!G120*VLOOKUP($C47,Weighting!$B$38:$D$50,3,FALSE)</f>
        <v>0</v>
      </c>
      <c r="H47" t="str">
        <f>Increment!H120</f>
        <v>AgrIrrg</v>
      </c>
      <c r="I47">
        <f>Increment!I120*VLOOKUP($C47,Weighting!$B$38:$D$50,3,FALSE)</f>
        <v>0</v>
      </c>
      <c r="J47">
        <f>Increment!J120*VLOOKUP($C47,Weighting!$B$38:$D$50,3,FALSE)</f>
        <v>0</v>
      </c>
      <c r="K47">
        <f>Increment!K120</f>
        <v>0</v>
      </c>
      <c r="L47">
        <f>Increment!L120*VLOOKUP($C47,Weighting!$B$38:$D$50,3,FALSE)</f>
        <v>0</v>
      </c>
      <c r="M47">
        <f>Increment!M120</f>
        <v>0</v>
      </c>
      <c r="N47">
        <f>Increment!N120*VLOOKUP($C47,Weighting!$B$38:$D$50,3,FALSE)</f>
        <v>0</v>
      </c>
      <c r="O47">
        <f>Increment!O120</f>
        <v>0</v>
      </c>
      <c r="P47">
        <f>Increment!P120*VLOOKUP($C47,Weighting!$B$38:$D$50,3,FALSE)</f>
        <v>0</v>
      </c>
    </row>
    <row r="48" spans="1:16">
      <c r="A48" t="str">
        <f>Increment!A121</f>
        <v>Montana</v>
      </c>
      <c r="B48" t="str">
        <f>Increment!B121</f>
        <v xml:space="preserve">Wheel/hand line systems: Replace leaking gasket with new gasket </v>
      </c>
      <c r="C48" t="str">
        <f>Increment!C121</f>
        <v xml:space="preserve">Wheel/hand line systems: Replace leaking gasket with new gasket </v>
      </c>
      <c r="D48" s="797">
        <f>Increment!D121*VLOOKUP($C48,Weighting!$B$38:$D$50,3,FALSE)</f>
        <v>50.713990254719022</v>
      </c>
      <c r="E48">
        <f>Increment!E121</f>
        <v>5</v>
      </c>
      <c r="F48" s="796">
        <f>Increment!F121*VLOOKUP($C48,Weighting!$B$38:$D$50,3,FALSE)</f>
        <v>6.2666666666666666</v>
      </c>
      <c r="G48">
        <f>Increment!G121*VLOOKUP($C48,Weighting!$B$38:$D$50,3,FALSE)</f>
        <v>0</v>
      </c>
      <c r="H48" t="str">
        <f>Increment!H121</f>
        <v>AgrIrrg</v>
      </c>
      <c r="I48">
        <f>Increment!I121*VLOOKUP($C48,Weighting!$B$38:$D$50,3,FALSE)</f>
        <v>0</v>
      </c>
      <c r="J48">
        <f>Increment!J121*VLOOKUP($C48,Weighting!$B$38:$D$50,3,FALSE)</f>
        <v>0</v>
      </c>
      <c r="K48">
        <f>Increment!K121</f>
        <v>0</v>
      </c>
      <c r="L48">
        <f>Increment!L121*VLOOKUP($C48,Weighting!$B$38:$D$50,3,FALSE)</f>
        <v>0</v>
      </c>
      <c r="M48">
        <f>Increment!M121</f>
        <v>0</v>
      </c>
      <c r="N48">
        <f>Increment!N121*VLOOKUP($C48,Weighting!$B$38:$D$50,3,FALSE)</f>
        <v>0</v>
      </c>
      <c r="O48">
        <f>Increment!O121</f>
        <v>0</v>
      </c>
      <c r="P48">
        <f>Increment!P121*VLOOKUP($C48,Weighting!$B$38:$D$50,3,FALSE)</f>
        <v>0</v>
      </c>
    </row>
    <row r="49" spans="1:16">
      <c r="A49" t="str">
        <f>Increment!A122</f>
        <v>Montana</v>
      </c>
      <c r="B49" t="str">
        <f>Increment!B122</f>
        <v xml:space="preserve">Wheel/hand line systems: Replace leaking drain with new drain </v>
      </c>
      <c r="C49" t="str">
        <f>Increment!C122</f>
        <v xml:space="preserve">Wheel/hand line systems: Replace leaking drain with new drain </v>
      </c>
      <c r="D49" s="797">
        <f>Increment!D122*VLOOKUP($C49,Weighting!$B$38:$D$50,3,FALSE)</f>
        <v>52.561455323830856</v>
      </c>
      <c r="E49">
        <f>Increment!E122</f>
        <v>5</v>
      </c>
      <c r="F49" s="796">
        <f>Increment!F122*VLOOKUP($C49,Weighting!$B$38:$D$50,3,FALSE)</f>
        <v>21.866666666666667</v>
      </c>
      <c r="G49">
        <f>Increment!G122*VLOOKUP($C49,Weighting!$B$38:$D$50,3,FALSE)</f>
        <v>0</v>
      </c>
      <c r="H49" t="str">
        <f>Increment!H122</f>
        <v>AgrIrrg</v>
      </c>
      <c r="I49">
        <f>Increment!I122*VLOOKUP($C49,Weighting!$B$38:$D$50,3,FALSE)</f>
        <v>0</v>
      </c>
      <c r="J49">
        <f>Increment!J122*VLOOKUP($C49,Weighting!$B$38:$D$50,3,FALSE)</f>
        <v>0</v>
      </c>
      <c r="K49">
        <f>Increment!K122</f>
        <v>0</v>
      </c>
      <c r="L49">
        <f>Increment!L122*VLOOKUP($C49,Weighting!$B$38:$D$50,3,FALSE)</f>
        <v>0</v>
      </c>
      <c r="M49">
        <f>Increment!M122</f>
        <v>0</v>
      </c>
      <c r="N49">
        <f>Increment!N122*VLOOKUP($C49,Weighting!$B$38:$D$50,3,FALSE)</f>
        <v>0</v>
      </c>
      <c r="O49">
        <f>Increment!O122</f>
        <v>0</v>
      </c>
      <c r="P49">
        <f>Increment!P122*VLOOKUP($C49,Weighting!$B$38:$D$50,3,FALSE)</f>
        <v>0</v>
      </c>
    </row>
    <row r="50" spans="1:16">
      <c r="A50" t="str">
        <f>Increment!A123</f>
        <v>Montana</v>
      </c>
      <c r="B50" t="str">
        <f>Increment!B123</f>
        <v xml:space="preserve">Wheel/hand line systems: Cut and pipe press repair of leaking hand-lines, wheel-lines, and portable main-lines </v>
      </c>
      <c r="C50" t="str">
        <f>Increment!C123</f>
        <v xml:space="preserve">Wheel/hand line systems: Cut and pipe press repair of leaking hand-lines, wheel-lines, and portable main-lines </v>
      </c>
      <c r="D50" s="797">
        <f>Increment!D123*VLOOKUP($C50,Weighting!$B$38:$D$50,3,FALSE)</f>
        <v>25.233946624551866</v>
      </c>
      <c r="E50">
        <f>Increment!E123</f>
        <v>8</v>
      </c>
      <c r="F50" s="796">
        <f>Increment!F123*VLOOKUP($C50,Weighting!$B$38:$D$50,3,FALSE)</f>
        <v>28.8</v>
      </c>
      <c r="G50">
        <f>Increment!G123*VLOOKUP($C50,Weighting!$B$38:$D$50,3,FALSE)</f>
        <v>0</v>
      </c>
      <c r="H50" t="str">
        <f>Increment!H123</f>
        <v>AgrIrrg</v>
      </c>
      <c r="I50">
        <f>Increment!I123*VLOOKUP($C50,Weighting!$B$38:$D$50,3,FALSE)</f>
        <v>0</v>
      </c>
      <c r="J50">
        <f>Increment!J123*VLOOKUP($C50,Weighting!$B$38:$D$50,3,FALSE)</f>
        <v>0</v>
      </c>
      <c r="K50">
        <f>Increment!K123</f>
        <v>0</v>
      </c>
      <c r="L50">
        <f>Increment!L123*VLOOKUP($C50,Weighting!$B$38:$D$50,3,FALSE)</f>
        <v>0</v>
      </c>
      <c r="M50">
        <f>Increment!M123</f>
        <v>0</v>
      </c>
      <c r="N50">
        <f>Increment!N123*VLOOKUP($C50,Weighting!$B$38:$D$50,3,FALSE)</f>
        <v>0</v>
      </c>
      <c r="O50">
        <f>Increment!O123</f>
        <v>0</v>
      </c>
      <c r="P50">
        <f>Increment!P123*VLOOKUP($C50,Weighting!$B$38:$D$50,3,FALSE)</f>
        <v>0</v>
      </c>
    </row>
    <row r="51" spans="1:16">
      <c r="A51" t="str">
        <f>Increment!A124</f>
        <v>Montana</v>
      </c>
      <c r="B51" t="str">
        <f>Increment!B124</f>
        <v xml:space="preserve">Thunderbird wheel line systems: Replace leaking hub with new hub </v>
      </c>
      <c r="C51" t="str">
        <f>Increment!C124</f>
        <v xml:space="preserve">Thunderbird wheel line systems: Replace leaking hub with new hub </v>
      </c>
      <c r="D51" s="797">
        <f>Increment!D124*VLOOKUP($C51,Weighting!$B$38:$D$50,3,FALSE)</f>
        <v>43.673214947725825</v>
      </c>
      <c r="E51">
        <f>Increment!E124</f>
        <v>10</v>
      </c>
      <c r="F51" s="796">
        <f>Increment!F124*VLOOKUP($C51,Weighting!$B$38:$D$50,3,FALSE)</f>
        <v>160</v>
      </c>
      <c r="G51">
        <f>Increment!G124*VLOOKUP($C51,Weighting!$B$38:$D$50,3,FALSE)</f>
        <v>0</v>
      </c>
      <c r="H51" t="str">
        <f>Increment!H124</f>
        <v>AgrIrrg</v>
      </c>
      <c r="I51">
        <f>Increment!I124*VLOOKUP($C51,Weighting!$B$38:$D$50,3,FALSE)</f>
        <v>0</v>
      </c>
      <c r="J51">
        <f>Increment!J124*VLOOKUP($C51,Weighting!$B$38:$D$50,3,FALSE)</f>
        <v>0</v>
      </c>
      <c r="K51">
        <f>Increment!K124</f>
        <v>0</v>
      </c>
      <c r="L51">
        <f>Increment!L124*VLOOKUP($C51,Weighting!$B$38:$D$50,3,FALSE)</f>
        <v>0</v>
      </c>
      <c r="M51">
        <f>Increment!M124</f>
        <v>0</v>
      </c>
      <c r="N51">
        <f>Increment!N124*VLOOKUP($C51,Weighting!$B$38:$D$50,3,FALSE)</f>
        <v>0</v>
      </c>
      <c r="O51">
        <f>Increment!O124</f>
        <v>0</v>
      </c>
      <c r="P51">
        <f>Increment!P124*VLOOKUP($C51,Weighting!$B$38:$D$50,3,FALSE)</f>
        <v>0</v>
      </c>
    </row>
    <row r="52" spans="1:16">
      <c r="A52" t="str">
        <f>Increment!A125</f>
        <v>Montana</v>
      </c>
      <c r="B52" t="str">
        <f>Increment!B125</f>
        <v xml:space="preserve">Wheel line systems: Rebuild or replace leaking or malfunctioning leveler with new or rebuilt leveler. </v>
      </c>
      <c r="C52" t="str">
        <f>Increment!C125</f>
        <v xml:space="preserve">Wheel line systems: Rebuild or replace leaking or malfunctioning leveler with new or rebuilt leveler. </v>
      </c>
      <c r="D52" s="797">
        <f>Increment!D125*VLOOKUP($C52,Weighting!$B$38:$D$50,3,FALSE)</f>
        <v>12.575767880880889</v>
      </c>
      <c r="E52">
        <f>Increment!E125</f>
        <v>5</v>
      </c>
      <c r="F52" s="796">
        <f>Increment!F125*VLOOKUP($C52,Weighting!$B$38:$D$50,3,FALSE)</f>
        <v>5.2</v>
      </c>
      <c r="G52">
        <f>Increment!G125*VLOOKUP($C52,Weighting!$B$38:$D$50,3,FALSE)</f>
        <v>0</v>
      </c>
      <c r="H52" t="str">
        <f>Increment!H125</f>
        <v>AgrIrrg</v>
      </c>
      <c r="I52">
        <f>Increment!I125*VLOOKUP($C52,Weighting!$B$38:$D$50,3,FALSE)</f>
        <v>0</v>
      </c>
      <c r="J52">
        <f>Increment!J125*VLOOKUP($C52,Weighting!$B$38:$D$50,3,FALSE)</f>
        <v>0</v>
      </c>
      <c r="K52">
        <f>Increment!K125</f>
        <v>0</v>
      </c>
      <c r="L52">
        <f>Increment!L125*VLOOKUP($C52,Weighting!$B$38:$D$50,3,FALSE)</f>
        <v>0</v>
      </c>
      <c r="M52">
        <f>Increment!M125</f>
        <v>0</v>
      </c>
      <c r="N52">
        <f>Increment!N125*VLOOKUP($C52,Weighting!$B$38:$D$50,3,FALSE)</f>
        <v>0</v>
      </c>
      <c r="O52">
        <f>Increment!O125</f>
        <v>0</v>
      </c>
      <c r="P52">
        <f>Increment!P125*VLOOKUP($C52,Weighting!$B$38:$D$50,3,FALSE)</f>
        <v>0</v>
      </c>
    </row>
    <row r="53" spans="1:16">
      <c r="A53" t="str">
        <f>Increment!A126</f>
        <v>Montana</v>
      </c>
      <c r="B53" t="str">
        <f>Increment!B126</f>
        <v xml:space="preserve">Center pivot/linear move systems: Install new sprinkler package on an existing system. </v>
      </c>
      <c r="C53" t="str">
        <f>Increment!C126</f>
        <v xml:space="preserve">Center pivot/linear move systems: Install new sprinkler package on an existing system. </v>
      </c>
      <c r="D53" s="797">
        <f>Increment!D126*VLOOKUP($C53,Weighting!$B$38:$D$50,3,FALSE)</f>
        <v>20.850219658493057</v>
      </c>
      <c r="E53">
        <f>Increment!E126</f>
        <v>5</v>
      </c>
      <c r="F53" s="796">
        <f>Increment!F126*VLOOKUP($C53,Weighting!$B$38:$D$50,3,FALSE)</f>
        <v>24.253499999999999</v>
      </c>
      <c r="G53">
        <f>Increment!G126*VLOOKUP($C53,Weighting!$B$38:$D$50,3,FALSE)</f>
        <v>0</v>
      </c>
      <c r="H53" t="str">
        <f>Increment!H126</f>
        <v>AgrIrrg</v>
      </c>
      <c r="I53">
        <f>Increment!I126*VLOOKUP($C53,Weighting!$B$38:$D$50,3,FALSE)</f>
        <v>0</v>
      </c>
      <c r="J53">
        <f>Increment!J126*VLOOKUP($C53,Weighting!$B$38:$D$50,3,FALSE)</f>
        <v>0</v>
      </c>
      <c r="K53">
        <f>Increment!K126</f>
        <v>0</v>
      </c>
      <c r="L53">
        <f>Increment!L126*VLOOKUP($C53,Weighting!$B$38:$D$50,3,FALSE)</f>
        <v>0</v>
      </c>
      <c r="M53">
        <f>Increment!M126</f>
        <v>0</v>
      </c>
      <c r="N53">
        <f>Increment!N126*VLOOKUP($C53,Weighting!$B$38:$D$50,3,FALSE)</f>
        <v>0</v>
      </c>
      <c r="O53">
        <f>Increment!O126</f>
        <v>0</v>
      </c>
      <c r="P53">
        <f>Increment!P126*VLOOKUP($C53,Weighting!$B$38:$D$50,3,FALSE)</f>
        <v>0</v>
      </c>
    </row>
    <row r="54" spans="1:16">
      <c r="A54" t="str">
        <f>Increment!A127</f>
        <v>Montana</v>
      </c>
      <c r="B54" t="str">
        <f>Increment!B127</f>
        <v xml:space="preserve">Center pivot/linear move systems: New gooseneck elbows </v>
      </c>
      <c r="C54" t="str">
        <f>Increment!C127</f>
        <v xml:space="preserve">Center pivot/linear move systems: New gooseneck elbows </v>
      </c>
      <c r="D54" s="797">
        <f>Increment!D127*VLOOKUP($C54,Weighting!$B$38:$D$50,3,FALSE)</f>
        <v>1.591604244783726</v>
      </c>
      <c r="E54">
        <f>Increment!E127</f>
        <v>15</v>
      </c>
      <c r="F54" s="796">
        <f>Increment!F127*VLOOKUP($C54,Weighting!$B$38:$D$50,3,FALSE)</f>
        <v>3.9583333333333335</v>
      </c>
      <c r="G54">
        <f>Increment!G127*VLOOKUP($C54,Weighting!$B$38:$D$50,3,FALSE)</f>
        <v>0</v>
      </c>
      <c r="H54" t="str">
        <f>Increment!H127</f>
        <v>AgrIrrg</v>
      </c>
      <c r="I54">
        <f>Increment!I127*VLOOKUP($C54,Weighting!$B$38:$D$50,3,FALSE)</f>
        <v>0</v>
      </c>
      <c r="J54">
        <f>Increment!J127*VLOOKUP($C54,Weighting!$B$38:$D$50,3,FALSE)</f>
        <v>0</v>
      </c>
      <c r="K54">
        <f>Increment!K127</f>
        <v>0</v>
      </c>
      <c r="L54">
        <f>Increment!L127*VLOOKUP($C54,Weighting!$B$38:$D$50,3,FALSE)</f>
        <v>0</v>
      </c>
      <c r="M54">
        <f>Increment!M127</f>
        <v>0</v>
      </c>
      <c r="N54">
        <f>Increment!N127*VLOOKUP($C54,Weighting!$B$38:$D$50,3,FALSE)</f>
        <v>0</v>
      </c>
      <c r="O54">
        <f>Increment!O127</f>
        <v>0</v>
      </c>
      <c r="P54">
        <f>Increment!P127*VLOOKUP($C54,Weighting!$B$38:$D$50,3,FALSE)</f>
        <v>0</v>
      </c>
    </row>
    <row r="55" spans="1:16">
      <c r="A55" t="str">
        <f>Increment!A128</f>
        <v>Montana</v>
      </c>
      <c r="B55" t="str">
        <f>Increment!B128</f>
        <v xml:space="preserve">Center pivot/linear move systems: New drop tubes (3 feet minimum) </v>
      </c>
      <c r="C55" t="str">
        <f>Increment!C128</f>
        <v xml:space="preserve">Center pivot/linear move systems: New drop tubes (3 feet minimum) </v>
      </c>
      <c r="D55" s="797">
        <f>Increment!D128*VLOOKUP($C55,Weighting!$B$38:$D$50,3,FALSE)</f>
        <v>1.591604244783726</v>
      </c>
      <c r="E55">
        <f>Increment!E128</f>
        <v>10</v>
      </c>
      <c r="F55" s="796">
        <f>Increment!F128*VLOOKUP($C55,Weighting!$B$38:$D$50,3,FALSE)</f>
        <v>6.1749999999999998</v>
      </c>
      <c r="G55">
        <f>Increment!G128*VLOOKUP($C55,Weighting!$B$38:$D$50,3,FALSE)</f>
        <v>0</v>
      </c>
      <c r="H55" t="str">
        <f>Increment!H128</f>
        <v>AgrIrrg</v>
      </c>
      <c r="I55">
        <f>Increment!I128*VLOOKUP($C55,Weighting!$B$38:$D$50,3,FALSE)</f>
        <v>0</v>
      </c>
      <c r="J55">
        <f>Increment!J128*VLOOKUP($C55,Weighting!$B$38:$D$50,3,FALSE)</f>
        <v>0</v>
      </c>
      <c r="K55">
        <f>Increment!K128</f>
        <v>0</v>
      </c>
      <c r="L55">
        <f>Increment!L128*VLOOKUP($C55,Weighting!$B$38:$D$50,3,FALSE)</f>
        <v>0</v>
      </c>
      <c r="M55">
        <f>Increment!M128</f>
        <v>0</v>
      </c>
      <c r="N55">
        <f>Increment!N128*VLOOKUP($C55,Weighting!$B$38:$D$50,3,FALSE)</f>
        <v>0</v>
      </c>
      <c r="O55">
        <f>Increment!O128</f>
        <v>0</v>
      </c>
      <c r="P55">
        <f>Increment!P128*VLOOKUP($C55,Weighting!$B$38:$D$50,3,FALSE)</f>
        <v>0</v>
      </c>
    </row>
    <row r="56" spans="1:16">
      <c r="A56" t="str">
        <f>Increment!A129</f>
        <v>Montana</v>
      </c>
      <c r="B56" t="str">
        <f>Increment!B129</f>
        <v xml:space="preserve">Center pivot/linear move systems: Replace leaking pivot boot gasket with new pivot boot gasket </v>
      </c>
      <c r="C56" t="str">
        <f>Increment!C129</f>
        <v xml:space="preserve">Center pivot/linear move systems: Replace leaking pivot boot gasket with new pivot boot gasket </v>
      </c>
      <c r="D56" s="797">
        <f>Increment!D129*VLOOKUP($C56,Weighting!$B$38:$D$50,3,FALSE)</f>
        <v>2.6486847582365765</v>
      </c>
      <c r="E56">
        <f>Increment!E129</f>
        <v>8</v>
      </c>
      <c r="F56" s="796">
        <f>Increment!F129*VLOOKUP($C56,Weighting!$B$38:$D$50,3,FALSE)</f>
        <v>2.0750000000000002</v>
      </c>
      <c r="G56">
        <f>Increment!G129*VLOOKUP($C56,Weighting!$B$38:$D$50,3,FALSE)</f>
        <v>0</v>
      </c>
      <c r="H56" t="str">
        <f>Increment!H129</f>
        <v>AgrIrrg</v>
      </c>
      <c r="I56">
        <f>Increment!I129*VLOOKUP($C56,Weighting!$B$38:$D$50,3,FALSE)</f>
        <v>0</v>
      </c>
      <c r="J56">
        <f>Increment!J129*VLOOKUP($C56,Weighting!$B$38:$D$50,3,FALSE)</f>
        <v>0</v>
      </c>
      <c r="K56">
        <f>Increment!K129</f>
        <v>0</v>
      </c>
      <c r="L56">
        <f>Increment!L129*VLOOKUP($C56,Weighting!$B$38:$D$50,3,FALSE)</f>
        <v>0</v>
      </c>
      <c r="M56">
        <f>Increment!M129</f>
        <v>0</v>
      </c>
      <c r="N56">
        <f>Increment!N129*VLOOKUP($C56,Weighting!$B$38:$D$50,3,FALSE)</f>
        <v>0</v>
      </c>
      <c r="O56">
        <f>Increment!O129</f>
        <v>0</v>
      </c>
      <c r="P56">
        <f>Increment!P129*VLOOKUP($C56,Weighting!$B$38:$D$50,3,FALSE)</f>
        <v>0</v>
      </c>
    </row>
    <row r="57" spans="1:16">
      <c r="A57" t="str">
        <f>Increment!A130</f>
        <v>Montana</v>
      </c>
      <c r="B57" t="str">
        <f>Increment!B130</f>
        <v xml:space="preserve">Center pivot/linear move systems: Replace leaking tower gasket with new tower gasket </v>
      </c>
      <c r="C57" t="str">
        <f>Increment!C130</f>
        <v xml:space="preserve">Center pivot/linear move systems: Replace leaking tower gasket with new tower gasket </v>
      </c>
      <c r="D57" s="797">
        <f>Increment!D130*VLOOKUP($C57,Weighting!$B$38:$D$50,3,FALSE)</f>
        <v>0.66217118955914411</v>
      </c>
      <c r="E57">
        <f>Increment!E130</f>
        <v>8</v>
      </c>
      <c r="F57" s="796">
        <f>Increment!F130*VLOOKUP($C57,Weighting!$B$38:$D$50,3,FALSE)</f>
        <v>4.9800000000000004</v>
      </c>
      <c r="G57">
        <f>Increment!G130*VLOOKUP($C57,Weighting!$B$38:$D$50,3,FALSE)</f>
        <v>0</v>
      </c>
      <c r="H57" t="str">
        <f>Increment!H130</f>
        <v>AgrIrrg</v>
      </c>
      <c r="I57">
        <f>Increment!I130*VLOOKUP($C57,Weighting!$B$38:$D$50,3,FALSE)</f>
        <v>0</v>
      </c>
      <c r="J57">
        <f>Increment!J130*VLOOKUP($C57,Weighting!$B$38:$D$50,3,FALSE)</f>
        <v>0</v>
      </c>
      <c r="K57">
        <f>Increment!K130</f>
        <v>0</v>
      </c>
      <c r="L57">
        <f>Increment!L130*VLOOKUP($C57,Weighting!$B$38:$D$50,3,FALSE)</f>
        <v>0</v>
      </c>
      <c r="M57">
        <f>Increment!M130</f>
        <v>0</v>
      </c>
      <c r="N57">
        <f>Increment!N130*VLOOKUP($C57,Weighting!$B$38:$D$50,3,FALSE)</f>
        <v>0</v>
      </c>
      <c r="O57">
        <f>Increment!O130</f>
        <v>0</v>
      </c>
      <c r="P57">
        <f>Increment!P130*VLOOKUP($C57,Weighting!$B$38:$D$50,3,FALSE)</f>
        <v>0</v>
      </c>
    </row>
  </sheetData>
  <mergeCells count="2">
    <mergeCell ref="J4:O4"/>
    <mergeCell ref="P4:Q4"/>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sheetPr codeName="Sheet8"/>
  <dimension ref="A2:DB130"/>
  <sheetViews>
    <sheetView topLeftCell="C90" workbookViewId="0">
      <selection activeCell="D109" sqref="D109"/>
    </sheetView>
  </sheetViews>
  <sheetFormatPr defaultRowHeight="12.75"/>
  <cols>
    <col min="1" max="1" width="39.28515625" customWidth="1"/>
    <col min="2" max="2" width="114.7109375" bestFit="1" customWidth="1"/>
    <col min="3" max="3" width="92.28515625" customWidth="1"/>
  </cols>
  <sheetData>
    <row r="2" spans="1:106">
      <c r="A2" t="s">
        <v>1276</v>
      </c>
    </row>
    <row r="4" spans="1:106" s="7" customFormat="1">
      <c r="B4" s="11">
        <v>1</v>
      </c>
      <c r="C4" s="11">
        <v>2</v>
      </c>
      <c r="D4" s="11">
        <v>3</v>
      </c>
      <c r="E4" s="11">
        <v>4</v>
      </c>
      <c r="F4" s="11">
        <v>5</v>
      </c>
      <c r="G4" s="11">
        <v>6</v>
      </c>
      <c r="H4" s="11">
        <v>7</v>
      </c>
      <c r="I4" s="11">
        <v>8</v>
      </c>
      <c r="J4" s="11">
        <v>9</v>
      </c>
      <c r="K4" s="11">
        <v>10</v>
      </c>
      <c r="L4" s="11">
        <v>11</v>
      </c>
      <c r="M4" s="11">
        <v>12</v>
      </c>
      <c r="N4" s="11">
        <v>13</v>
      </c>
      <c r="O4" s="11">
        <v>14</v>
      </c>
      <c r="P4" s="11">
        <v>15</v>
      </c>
      <c r="Q4" s="11">
        <v>16</v>
      </c>
      <c r="R4" s="11">
        <v>17</v>
      </c>
      <c r="S4" s="11">
        <v>18</v>
      </c>
      <c r="T4" s="11">
        <v>19</v>
      </c>
      <c r="U4" s="11">
        <v>20</v>
      </c>
      <c r="V4" s="11">
        <v>21</v>
      </c>
      <c r="W4" s="11">
        <v>22</v>
      </c>
      <c r="X4" s="11">
        <v>23</v>
      </c>
      <c r="Y4" s="11">
        <v>24</v>
      </c>
      <c r="Z4" s="11">
        <v>25</v>
      </c>
      <c r="AA4" s="11">
        <v>26</v>
      </c>
      <c r="AB4" s="11">
        <v>27</v>
      </c>
      <c r="AC4" s="11">
        <v>28</v>
      </c>
      <c r="AD4" s="11">
        <v>29</v>
      </c>
      <c r="AE4" s="11">
        <v>30</v>
      </c>
      <c r="AF4" s="11">
        <v>31</v>
      </c>
      <c r="AG4" s="11">
        <v>32</v>
      </c>
      <c r="AH4" s="11">
        <v>33</v>
      </c>
      <c r="AI4" s="11">
        <v>34</v>
      </c>
      <c r="AJ4" s="11">
        <v>35</v>
      </c>
      <c r="AK4" s="11">
        <v>36</v>
      </c>
      <c r="AL4" s="11">
        <v>37</v>
      </c>
      <c r="AM4" s="11">
        <v>38</v>
      </c>
      <c r="AN4" s="11">
        <v>39</v>
      </c>
      <c r="AO4" s="11">
        <v>40</v>
      </c>
      <c r="AP4" s="11">
        <v>41</v>
      </c>
      <c r="AQ4" s="11">
        <v>42</v>
      </c>
      <c r="AR4" s="11">
        <v>43</v>
      </c>
      <c r="AS4" s="11">
        <v>44</v>
      </c>
      <c r="AT4" s="11">
        <v>45</v>
      </c>
      <c r="AU4" s="11">
        <v>46</v>
      </c>
      <c r="AV4" s="11">
        <v>47</v>
      </c>
      <c r="AW4" s="11">
        <v>48</v>
      </c>
      <c r="AX4" s="11">
        <v>49</v>
      </c>
      <c r="AY4" s="11">
        <v>50</v>
      </c>
      <c r="AZ4" s="11">
        <v>51</v>
      </c>
      <c r="BA4" s="11">
        <v>52</v>
      </c>
      <c r="BB4" s="11">
        <v>53</v>
      </c>
      <c r="BC4" s="11">
        <v>54</v>
      </c>
      <c r="BD4" s="11">
        <v>55</v>
      </c>
      <c r="BE4" s="11">
        <v>56</v>
      </c>
      <c r="BF4" s="11">
        <v>57</v>
      </c>
      <c r="BG4" s="11">
        <v>58</v>
      </c>
      <c r="BH4" s="11">
        <v>59</v>
      </c>
      <c r="BI4" s="11">
        <v>60</v>
      </c>
      <c r="BJ4" s="11">
        <v>61</v>
      </c>
      <c r="BK4" s="11">
        <v>62</v>
      </c>
      <c r="BL4" s="11">
        <v>63</v>
      </c>
      <c r="BM4" s="11">
        <v>64</v>
      </c>
      <c r="BN4" s="11">
        <v>65</v>
      </c>
      <c r="BO4" s="11">
        <v>66</v>
      </c>
      <c r="BP4" s="11">
        <v>67</v>
      </c>
      <c r="BQ4" s="11">
        <v>68</v>
      </c>
      <c r="BR4" s="11">
        <v>69</v>
      </c>
      <c r="BS4" s="11">
        <v>70</v>
      </c>
      <c r="BT4" s="11">
        <v>71</v>
      </c>
      <c r="BU4" s="11">
        <v>72</v>
      </c>
      <c r="BV4" s="11">
        <v>73</v>
      </c>
      <c r="BW4" s="11">
        <v>74</v>
      </c>
      <c r="BX4" s="11">
        <v>75</v>
      </c>
      <c r="BY4" s="11">
        <v>76</v>
      </c>
      <c r="BZ4" s="11">
        <v>77</v>
      </c>
      <c r="CA4" s="11">
        <v>78</v>
      </c>
      <c r="CB4" s="11">
        <v>79</v>
      </c>
      <c r="CC4" s="11">
        <v>80</v>
      </c>
      <c r="CD4" s="11">
        <v>81</v>
      </c>
      <c r="CE4" s="11">
        <v>82</v>
      </c>
      <c r="CF4" s="11">
        <v>83</v>
      </c>
      <c r="CG4" s="11">
        <v>84</v>
      </c>
      <c r="CH4" s="11">
        <v>85</v>
      </c>
      <c r="CI4" s="11">
        <v>86</v>
      </c>
      <c r="CJ4" s="11">
        <v>87</v>
      </c>
      <c r="CK4" s="11">
        <v>88</v>
      </c>
      <c r="CL4" s="11">
        <v>89</v>
      </c>
      <c r="CM4" s="11">
        <v>90</v>
      </c>
      <c r="CN4" s="11">
        <v>91</v>
      </c>
      <c r="CO4" s="11">
        <v>92</v>
      </c>
      <c r="CP4" s="11">
        <v>93</v>
      </c>
      <c r="CQ4" s="11">
        <v>94</v>
      </c>
      <c r="CR4" s="11">
        <v>95</v>
      </c>
      <c r="CS4" s="11">
        <v>96</v>
      </c>
      <c r="CT4" s="11">
        <v>97</v>
      </c>
      <c r="CU4" s="11">
        <v>98</v>
      </c>
      <c r="CV4" s="11">
        <v>99</v>
      </c>
      <c r="CW4" s="11">
        <v>100</v>
      </c>
      <c r="CX4" s="11">
        <v>101</v>
      </c>
      <c r="CY4" s="11">
        <v>102</v>
      </c>
      <c r="CZ4" s="11">
        <v>103</v>
      </c>
      <c r="DA4" s="11">
        <v>104</v>
      </c>
      <c r="DB4" s="11">
        <v>105</v>
      </c>
    </row>
    <row r="5" spans="1:106" s="7" customFormat="1">
      <c r="B5" s="12" t="s">
        <v>3</v>
      </c>
      <c r="C5" s="13"/>
      <c r="D5" s="13"/>
      <c r="E5" s="13"/>
      <c r="F5" s="13"/>
      <c r="G5" s="13"/>
      <c r="H5" s="14"/>
      <c r="I5" s="72"/>
      <c r="J5" s="830" t="s">
        <v>4</v>
      </c>
      <c r="K5" s="831"/>
      <c r="L5" s="831"/>
      <c r="M5" s="831"/>
      <c r="N5" s="831"/>
      <c r="O5" s="832"/>
      <c r="P5" s="833" t="s">
        <v>5</v>
      </c>
      <c r="Q5" s="834"/>
      <c r="R5" s="16"/>
      <c r="S5" s="17"/>
      <c r="T5" s="17"/>
      <c r="U5" s="17"/>
      <c r="V5" s="17"/>
      <c r="W5" s="17"/>
      <c r="X5" s="17"/>
      <c r="Y5" s="18"/>
      <c r="Z5" s="19"/>
      <c r="AA5" s="17"/>
      <c r="AB5" s="17"/>
      <c r="AC5" s="17"/>
      <c r="AD5" s="17"/>
      <c r="AE5" s="17"/>
      <c r="AF5" s="20"/>
      <c r="AG5" s="20"/>
      <c r="AH5" s="20"/>
      <c r="AI5" s="20"/>
      <c r="AJ5" s="20"/>
      <c r="AK5" s="20"/>
      <c r="AL5" s="20"/>
      <c r="AM5" s="20"/>
      <c r="AN5" s="20"/>
      <c r="AO5" s="20"/>
      <c r="AP5" s="20"/>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row>
    <row r="6" spans="1:106" s="7" customFormat="1" ht="38.25">
      <c r="A6" s="7" t="s">
        <v>1285</v>
      </c>
      <c r="B6" s="73" t="s">
        <v>6</v>
      </c>
      <c r="C6" s="73" t="s">
        <v>7</v>
      </c>
      <c r="D6" s="73" t="s">
        <v>8</v>
      </c>
      <c r="E6" s="73" t="s">
        <v>9</v>
      </c>
      <c r="F6" s="73" t="s">
        <v>10</v>
      </c>
      <c r="G6" s="73" t="s">
        <v>11</v>
      </c>
      <c r="H6" s="74" t="s">
        <v>12</v>
      </c>
      <c r="I6" s="74" t="s">
        <v>13</v>
      </c>
      <c r="J6" s="74" t="s">
        <v>14</v>
      </c>
      <c r="K6" s="74" t="s">
        <v>15</v>
      </c>
      <c r="L6" s="74" t="s">
        <v>16</v>
      </c>
      <c r="M6" s="74" t="s">
        <v>17</v>
      </c>
      <c r="N6" s="74" t="s">
        <v>18</v>
      </c>
      <c r="O6" s="74" t="s">
        <v>19</v>
      </c>
      <c r="P6" s="75" t="s">
        <v>20</v>
      </c>
      <c r="Q6" s="74" t="s">
        <v>12</v>
      </c>
      <c r="R6" s="23"/>
      <c r="S6" s="23"/>
      <c r="T6" s="23"/>
      <c r="U6" s="23"/>
      <c r="V6" s="23"/>
      <c r="W6" s="23"/>
      <c r="X6" s="23"/>
      <c r="Y6" s="23"/>
      <c r="Z6" s="23"/>
      <c r="AA6" s="23"/>
      <c r="AB6" s="23"/>
      <c r="AC6" s="23"/>
      <c r="AD6" s="23"/>
      <c r="AE6" s="23"/>
      <c r="AF6" s="20"/>
      <c r="AG6" s="20"/>
      <c r="AH6" s="20"/>
      <c r="AI6" s="20"/>
      <c r="AJ6" s="20"/>
      <c r="AK6" s="20"/>
      <c r="AL6" s="20"/>
      <c r="AM6" s="20"/>
      <c r="AN6" s="20"/>
      <c r="AO6" s="20"/>
      <c r="AP6" s="20"/>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row>
    <row r="7" spans="1:106">
      <c r="A7" s="722">
        <f>VLOOKUP(Raw!$A8,Weighting!$A$3:$B$15,2,FALSE)</f>
        <v>0.8</v>
      </c>
      <c r="B7" t="str">
        <f>Raw!B8</f>
        <v>Wheel/hand line systems: Replace worn nozzle with new flow controlling type nozzle for impact sprinklers - Eastern &amp; Southern Idaho</v>
      </c>
      <c r="C7" t="str">
        <f>Raw!C8</f>
        <v>Wheel/hand line systems: Replace worn nozzle with new flow controlling type nozzle for impact sprinklers - Eastern &amp; Southern Idaho</v>
      </c>
      <c r="D7">
        <f>Raw!D8</f>
        <v>40.619300602780903</v>
      </c>
      <c r="E7">
        <f>Raw!E8</f>
        <v>4</v>
      </c>
      <c r="F7">
        <f>Raw!F8</f>
        <v>5.6666666666666661</v>
      </c>
      <c r="G7">
        <f>Raw!G8</f>
        <v>0</v>
      </c>
      <c r="H7" t="str">
        <f>Raw!H8</f>
        <v>AgrIrrg</v>
      </c>
      <c r="I7">
        <f>Raw!I8</f>
        <v>0</v>
      </c>
      <c r="J7">
        <f>Raw!J8</f>
        <v>0</v>
      </c>
      <c r="K7">
        <f>Raw!K8</f>
        <v>0</v>
      </c>
      <c r="L7">
        <f>Raw!L8</f>
        <v>0</v>
      </c>
      <c r="M7">
        <f>Raw!M8</f>
        <v>0</v>
      </c>
      <c r="N7">
        <f>Raw!N8</f>
        <v>0</v>
      </c>
      <c r="O7">
        <f>Raw!O8</f>
        <v>0</v>
      </c>
      <c r="P7">
        <f>Raw!P8</f>
        <v>0</v>
      </c>
      <c r="Q7">
        <f>Raw!Q8</f>
        <v>0</v>
      </c>
    </row>
    <row r="8" spans="1:106">
      <c r="A8" s="722">
        <f>VLOOKUP(Raw!$A9,Weighting!$A$3:$B$15,2,FALSE)</f>
        <v>0.8</v>
      </c>
      <c r="B8" t="str">
        <f>Raw!B9</f>
        <v>Wheel/hand line systems: Replace worn nozzle with new nozzle - Eastern &amp; Southern Idaho</v>
      </c>
      <c r="C8" t="str">
        <f>Raw!C9</f>
        <v>Wheel/hand line systems: Replace worn nozzle with new nozzle - Eastern &amp; Southern Idaho</v>
      </c>
      <c r="D8">
        <f>Raw!D9</f>
        <v>40.619300602780903</v>
      </c>
      <c r="E8">
        <f>Raw!E9</f>
        <v>4</v>
      </c>
      <c r="F8">
        <f>Raw!F9</f>
        <v>2.1166666666666667</v>
      </c>
      <c r="G8">
        <f>Raw!G9</f>
        <v>0</v>
      </c>
      <c r="H8" t="str">
        <f>Raw!H9</f>
        <v>AgrIrrg</v>
      </c>
      <c r="I8">
        <f>Raw!I9</f>
        <v>0</v>
      </c>
      <c r="J8">
        <f>Raw!J9</f>
        <v>0</v>
      </c>
      <c r="K8">
        <f>Raw!K9</f>
        <v>0</v>
      </c>
      <c r="L8">
        <f>Raw!L9</f>
        <v>0</v>
      </c>
      <c r="M8">
        <f>Raw!M9</f>
        <v>0</v>
      </c>
      <c r="N8">
        <f>Raw!N9</f>
        <v>0</v>
      </c>
      <c r="O8">
        <f>Raw!O9</f>
        <v>0</v>
      </c>
      <c r="P8">
        <f>Raw!P9</f>
        <v>0</v>
      </c>
      <c r="Q8">
        <f>Raw!Q9</f>
        <v>0</v>
      </c>
    </row>
    <row r="9" spans="1:106">
      <c r="A9" s="722">
        <f>VLOOKUP(Raw!$A10,Weighting!$A$3:$B$15,2,FALSE)</f>
        <v>0.8</v>
      </c>
      <c r="B9" t="str">
        <f>Raw!B10</f>
        <v>Wheel/hand line systems: Rebuild or replace leaking impact sprinkler with new or rebuilt impact sprinkler - Eastern &amp; Southern Idaho</v>
      </c>
      <c r="C9" t="str">
        <f>Raw!C10</f>
        <v>Wheel/hand line systems: Rebuild or replace leaking impact sprinkler with new or rebuilt impact sprinkler - Eastern &amp; Southern Idaho</v>
      </c>
      <c r="D9">
        <f>Raw!D10</f>
        <v>27.291038294582535</v>
      </c>
      <c r="E9">
        <f>Raw!E10</f>
        <v>5</v>
      </c>
      <c r="F9">
        <f>Raw!F10</f>
        <v>12.333333333333332</v>
      </c>
      <c r="G9">
        <f>Raw!G10</f>
        <v>0</v>
      </c>
      <c r="H9" t="str">
        <f>Raw!H10</f>
        <v>AgrIrrg</v>
      </c>
      <c r="I9">
        <f>Raw!I10</f>
        <v>0</v>
      </c>
      <c r="J9">
        <f>Raw!J10</f>
        <v>0</v>
      </c>
      <c r="K9">
        <f>Raw!K10</f>
        <v>0</v>
      </c>
      <c r="L9">
        <f>Raw!L10</f>
        <v>0</v>
      </c>
      <c r="M9">
        <f>Raw!M10</f>
        <v>0</v>
      </c>
      <c r="N9">
        <f>Raw!N10</f>
        <v>0</v>
      </c>
      <c r="O9">
        <f>Raw!O10</f>
        <v>0</v>
      </c>
      <c r="P9">
        <f>Raw!P10</f>
        <v>0</v>
      </c>
      <c r="Q9">
        <f>Raw!Q10</f>
        <v>0</v>
      </c>
    </row>
    <row r="10" spans="1:106">
      <c r="A10" s="722">
        <f>VLOOKUP(Raw!$A11,Weighting!$A$3:$B$15,2,FALSE)</f>
        <v>0.8</v>
      </c>
      <c r="B10" t="str">
        <f>Raw!B11</f>
        <v>Wheel/hand line systems: Replace leaking gasket with new gasket - Eastern &amp; Southern Idaho</v>
      </c>
      <c r="C10" t="str">
        <f>Raw!C11</f>
        <v>Wheel/hand line systems: Replace leaking gasket with new gasket - Eastern &amp; Southern Idaho</v>
      </c>
      <c r="D10">
        <f>Raw!D11</f>
        <v>163.29696697493083</v>
      </c>
      <c r="E10">
        <f>Raw!E11</f>
        <v>5</v>
      </c>
      <c r="F10">
        <f>Raw!F11</f>
        <v>3.9166666666666665</v>
      </c>
      <c r="G10">
        <f>Raw!G11</f>
        <v>0</v>
      </c>
      <c r="H10" t="str">
        <f>Raw!H11</f>
        <v>AgrIrrg</v>
      </c>
      <c r="I10">
        <f>Raw!I11</f>
        <v>0</v>
      </c>
      <c r="J10">
        <f>Raw!J11</f>
        <v>0</v>
      </c>
      <c r="K10">
        <f>Raw!K11</f>
        <v>0</v>
      </c>
      <c r="L10">
        <f>Raw!L11</f>
        <v>0</v>
      </c>
      <c r="M10">
        <f>Raw!M11</f>
        <v>0</v>
      </c>
      <c r="N10">
        <f>Raw!N11</f>
        <v>0</v>
      </c>
      <c r="O10">
        <f>Raw!O11</f>
        <v>0</v>
      </c>
      <c r="P10">
        <f>Raw!P11</f>
        <v>0</v>
      </c>
      <c r="Q10">
        <f>Raw!Q11</f>
        <v>0</v>
      </c>
    </row>
    <row r="11" spans="1:106">
      <c r="A11" s="722">
        <f>VLOOKUP(Raw!$A12,Weighting!$A$3:$B$15,2,FALSE)</f>
        <v>0.8</v>
      </c>
      <c r="B11" t="str">
        <f>Raw!B12</f>
        <v>Wheel/hand line systems: Replace leaking drain with new drain - Eastern &amp; Southern Idaho</v>
      </c>
      <c r="C11" t="str">
        <f>Raw!C12</f>
        <v>Wheel/hand line systems: Replace leaking drain with new drain - Eastern &amp; Southern Idaho</v>
      </c>
      <c r="D11">
        <f>Raw!D12</f>
        <v>169.24572866500557</v>
      </c>
      <c r="E11">
        <f>Raw!E12</f>
        <v>5</v>
      </c>
      <c r="F11">
        <f>Raw!F12</f>
        <v>13.666666666666666</v>
      </c>
      <c r="G11">
        <f>Raw!G12</f>
        <v>0</v>
      </c>
      <c r="H11" t="str">
        <f>Raw!H12</f>
        <v>AgrIrrg</v>
      </c>
      <c r="I11">
        <f>Raw!I12</f>
        <v>0</v>
      </c>
      <c r="J11">
        <f>Raw!J12</f>
        <v>0</v>
      </c>
      <c r="K11">
        <f>Raw!K12</f>
        <v>0</v>
      </c>
      <c r="L11">
        <f>Raw!L12</f>
        <v>0</v>
      </c>
      <c r="M11">
        <f>Raw!M12</f>
        <v>0</v>
      </c>
      <c r="N11">
        <f>Raw!N12</f>
        <v>0</v>
      </c>
      <c r="O11">
        <f>Raw!O12</f>
        <v>0</v>
      </c>
      <c r="P11">
        <f>Raw!P12</f>
        <v>0</v>
      </c>
      <c r="Q11">
        <f>Raw!Q12</f>
        <v>0</v>
      </c>
    </row>
    <row r="12" spans="1:106">
      <c r="A12" s="722">
        <f>VLOOKUP(Raw!$A13,Weighting!$A$3:$B$15,2,FALSE)</f>
        <v>0.8</v>
      </c>
      <c r="B12" t="str">
        <f>Raw!B13</f>
        <v>Wheel/hand line systems: Cut and pipe press repair of leaking hand-lines, wheel-lines, and portable main-lines - Eastern &amp; Southern Idaho</v>
      </c>
      <c r="C12" t="str">
        <f>Raw!C13</f>
        <v>Wheel/hand line systems: Cut and pipe press repair of leaking hand-lines, wheel-lines, and portable main-lines - Eastern &amp; Southern Idaho</v>
      </c>
      <c r="D12">
        <f>Raw!D13</f>
        <v>81.252272359167861</v>
      </c>
      <c r="E12">
        <f>Raw!E13</f>
        <v>8</v>
      </c>
      <c r="F12">
        <f>Raw!F13</f>
        <v>18</v>
      </c>
      <c r="G12">
        <f>Raw!G13</f>
        <v>0</v>
      </c>
      <c r="H12" t="str">
        <f>Raw!H13</f>
        <v>AgrIrrg</v>
      </c>
      <c r="I12">
        <f>Raw!I13</f>
        <v>0</v>
      </c>
      <c r="J12">
        <f>Raw!J13</f>
        <v>0</v>
      </c>
      <c r="K12">
        <f>Raw!K13</f>
        <v>0</v>
      </c>
      <c r="L12">
        <f>Raw!L13</f>
        <v>0</v>
      </c>
      <c r="M12">
        <f>Raw!M13</f>
        <v>0</v>
      </c>
      <c r="N12">
        <f>Raw!N13</f>
        <v>0</v>
      </c>
      <c r="O12">
        <f>Raw!O13</f>
        <v>0</v>
      </c>
      <c r="P12">
        <f>Raw!P13</f>
        <v>0</v>
      </c>
      <c r="Q12">
        <f>Raw!Q13</f>
        <v>0</v>
      </c>
    </row>
    <row r="13" spans="1:106">
      <c r="A13" s="722">
        <f>VLOOKUP(Raw!$A14,Weighting!$A$3:$B$15,2,FALSE)</f>
        <v>0.8</v>
      </c>
      <c r="B13" t="str">
        <f>Raw!B14</f>
        <v>Thunderbird wheel line systems: Replace leaking hub with new hub - Eastern &amp; Southern Idaho</v>
      </c>
      <c r="C13" t="str">
        <f>Raw!C14</f>
        <v>Thunderbird wheel line systems: Replace leaking hub with new hub - Eastern &amp; Southern Idaho</v>
      </c>
      <c r="D13">
        <f>Raw!D14</f>
        <v>70.312979743732768</v>
      </c>
      <c r="E13">
        <f>Raw!E14</f>
        <v>10</v>
      </c>
      <c r="F13">
        <f>Raw!F14</f>
        <v>50</v>
      </c>
      <c r="G13">
        <f>Raw!G14</f>
        <v>0</v>
      </c>
      <c r="H13" t="str">
        <f>Raw!H14</f>
        <v>AgrIrrg</v>
      </c>
      <c r="I13">
        <f>Raw!I14</f>
        <v>0</v>
      </c>
      <c r="J13">
        <f>Raw!J14</f>
        <v>0</v>
      </c>
      <c r="K13">
        <f>Raw!K14</f>
        <v>0</v>
      </c>
      <c r="L13">
        <f>Raw!L14</f>
        <v>0</v>
      </c>
      <c r="M13">
        <f>Raw!M14</f>
        <v>0</v>
      </c>
      <c r="N13">
        <f>Raw!N14</f>
        <v>0</v>
      </c>
      <c r="O13">
        <f>Raw!O14</f>
        <v>0</v>
      </c>
      <c r="P13">
        <f>Raw!P14</f>
        <v>0</v>
      </c>
      <c r="Q13">
        <f>Raw!Q14</f>
        <v>0</v>
      </c>
    </row>
    <row r="14" spans="1:106">
      <c r="A14" s="722">
        <f>VLOOKUP(Raw!$A15,Weighting!$A$3:$B$15,2,FALSE)</f>
        <v>0.8</v>
      </c>
      <c r="B14" t="str">
        <f>Raw!B15</f>
        <v>Wheel line systems: Rebuild or replace leaking or malfunctioning leveler with new or rebuilt leveler. - Eastern &amp; Southern Idaho</v>
      </c>
      <c r="C14" t="str">
        <f>Raw!C15</f>
        <v>Wheel line systems: Rebuild or replace leaking or malfunctioning leveler with new or rebuilt leveler. - Eastern &amp; Southern Idaho</v>
      </c>
      <c r="D14">
        <f>Raw!D15</f>
        <v>40.493456381841582</v>
      </c>
      <c r="E14">
        <f>Raw!E15</f>
        <v>5</v>
      </c>
      <c r="F14">
        <f>Raw!F15</f>
        <v>3.25</v>
      </c>
      <c r="G14">
        <f>Raw!G15</f>
        <v>0</v>
      </c>
      <c r="H14" t="str">
        <f>Raw!H15</f>
        <v>AgrIrrg</v>
      </c>
      <c r="I14">
        <f>Raw!I15</f>
        <v>0</v>
      </c>
      <c r="J14">
        <f>Raw!J15</f>
        <v>0</v>
      </c>
      <c r="K14">
        <f>Raw!K15</f>
        <v>0</v>
      </c>
      <c r="L14">
        <f>Raw!L15</f>
        <v>0</v>
      </c>
      <c r="M14">
        <f>Raw!M15</f>
        <v>0</v>
      </c>
      <c r="N14">
        <f>Raw!N15</f>
        <v>0</v>
      </c>
      <c r="O14">
        <f>Raw!O15</f>
        <v>0</v>
      </c>
      <c r="P14">
        <f>Raw!P15</f>
        <v>0</v>
      </c>
      <c r="Q14">
        <f>Raw!Q15</f>
        <v>0</v>
      </c>
    </row>
    <row r="15" spans="1:106">
      <c r="A15" s="722">
        <f>VLOOKUP(Raw!$A16,Weighting!$A$3:$B$15,2,FALSE)</f>
        <v>0.8</v>
      </c>
      <c r="B15" t="str">
        <f>Raw!B16</f>
        <v>Center pivot/linear move systems: Install new sprinkler package on an existing system. - Eastern &amp; Southern Idaho</v>
      </c>
      <c r="C15" t="str">
        <f>Raw!C16</f>
        <v>Center pivot/linear move systems: Install new sprinkler package on an existing system. - Eastern &amp; Southern Idaho</v>
      </c>
      <c r="D15">
        <f>Raw!D16</f>
        <v>97.919768640211146</v>
      </c>
      <c r="E15">
        <f>Raw!E16</f>
        <v>5</v>
      </c>
      <c r="F15">
        <f>Raw!F16</f>
        <v>25.53</v>
      </c>
      <c r="G15">
        <f>Raw!G16</f>
        <v>0</v>
      </c>
      <c r="H15" t="str">
        <f>Raw!H16</f>
        <v>AgrIrrg</v>
      </c>
      <c r="I15">
        <f>Raw!I16</f>
        <v>0</v>
      </c>
      <c r="J15">
        <f>Raw!J16</f>
        <v>0</v>
      </c>
      <c r="K15">
        <f>Raw!K16</f>
        <v>0</v>
      </c>
      <c r="L15">
        <f>Raw!L16</f>
        <v>0</v>
      </c>
      <c r="M15">
        <f>Raw!M16</f>
        <v>0</v>
      </c>
      <c r="N15">
        <f>Raw!N16</f>
        <v>0</v>
      </c>
      <c r="O15">
        <f>Raw!O16</f>
        <v>0</v>
      </c>
      <c r="P15">
        <f>Raw!P16</f>
        <v>0</v>
      </c>
      <c r="Q15">
        <f>Raw!Q16</f>
        <v>0</v>
      </c>
    </row>
    <row r="16" spans="1:106">
      <c r="A16" s="722">
        <f>VLOOKUP(Raw!$A17,Weighting!$A$3:$B$15,2,FALSE)</f>
        <v>0.8</v>
      </c>
      <c r="B16" t="str">
        <f>Raw!B17</f>
        <v>Center pivot/linear move systems: New gooseneck elbows - Eastern &amp; Southern Idaho</v>
      </c>
      <c r="C16" t="str">
        <f>Raw!C17</f>
        <v>Center pivot/linear move systems: New gooseneck elbows - Eastern &amp; Southern Idaho</v>
      </c>
      <c r="D16">
        <f>Raw!D17</f>
        <v>7.4747183467929155</v>
      </c>
      <c r="E16">
        <f>Raw!E17</f>
        <v>15</v>
      </c>
      <c r="F16">
        <f>Raw!F17</f>
        <v>4.166666666666667</v>
      </c>
      <c r="G16">
        <f>Raw!G17</f>
        <v>0</v>
      </c>
      <c r="H16" t="str">
        <f>Raw!H17</f>
        <v>AgrIrrg</v>
      </c>
      <c r="I16">
        <f>Raw!I17</f>
        <v>0</v>
      </c>
      <c r="J16">
        <f>Raw!J17</f>
        <v>0</v>
      </c>
      <c r="K16">
        <f>Raw!K17</f>
        <v>0</v>
      </c>
      <c r="L16">
        <f>Raw!L17</f>
        <v>0</v>
      </c>
      <c r="M16">
        <f>Raw!M17</f>
        <v>0</v>
      </c>
      <c r="N16">
        <f>Raw!N17</f>
        <v>0</v>
      </c>
      <c r="O16">
        <f>Raw!O17</f>
        <v>0</v>
      </c>
      <c r="P16">
        <f>Raw!P17</f>
        <v>0</v>
      </c>
      <c r="Q16">
        <f>Raw!Q17</f>
        <v>0</v>
      </c>
    </row>
    <row r="17" spans="1:17">
      <c r="A17" s="722">
        <f>VLOOKUP(Raw!$A18,Weighting!$A$3:$B$15,2,FALSE)</f>
        <v>0.8</v>
      </c>
      <c r="B17" t="str">
        <f>Raw!B18</f>
        <v>Center pivot/linear move systems: New drop tubes (3 feet minimum) - Eastern &amp; Southern Idaho</v>
      </c>
      <c r="C17" t="str">
        <f>Raw!C18</f>
        <v>Center pivot/linear move systems: New drop tubes (3 feet minimum) - Eastern &amp; Southern Idaho</v>
      </c>
      <c r="D17">
        <f>Raw!D18</f>
        <v>7.4747183467929155</v>
      </c>
      <c r="E17">
        <f>Raw!E18</f>
        <v>10</v>
      </c>
      <c r="F17">
        <f>Raw!F18</f>
        <v>6.5</v>
      </c>
      <c r="G17">
        <f>Raw!G18</f>
        <v>0</v>
      </c>
      <c r="H17" t="str">
        <f>Raw!H18</f>
        <v>AgrIrrg</v>
      </c>
      <c r="I17">
        <f>Raw!I18</f>
        <v>0</v>
      </c>
      <c r="J17">
        <f>Raw!J18</f>
        <v>0</v>
      </c>
      <c r="K17">
        <f>Raw!K18</f>
        <v>0</v>
      </c>
      <c r="L17">
        <f>Raw!L18</f>
        <v>0</v>
      </c>
      <c r="M17">
        <f>Raw!M18</f>
        <v>0</v>
      </c>
      <c r="N17">
        <f>Raw!N18</f>
        <v>0</v>
      </c>
      <c r="O17">
        <f>Raw!O18</f>
        <v>0</v>
      </c>
      <c r="P17">
        <f>Raw!P18</f>
        <v>0</v>
      </c>
      <c r="Q17">
        <f>Raw!Q18</f>
        <v>0</v>
      </c>
    </row>
    <row r="18" spans="1:17">
      <c r="A18" s="722">
        <f>VLOOKUP(Raw!$A19,Weighting!$A$3:$B$15,2,FALSE)</f>
        <v>0.8</v>
      </c>
      <c r="B18" t="str">
        <f>Raw!B19</f>
        <v>Center pivot/linear move systems: Replace leaking pivot boot gasket with new pivot boot gasket - Eastern &amp; Southern Idaho</v>
      </c>
      <c r="C18" t="str">
        <f>Raw!C19</f>
        <v>Center pivot/linear move systems: Replace leaking pivot boot gasket with new pivot boot gasket - Eastern &amp; Southern Idaho</v>
      </c>
      <c r="D18">
        <f>Raw!D19</f>
        <v>1423.7558755796035</v>
      </c>
      <c r="E18">
        <f>Raw!E19</f>
        <v>8</v>
      </c>
      <c r="F18">
        <f>Raw!F19</f>
        <v>250</v>
      </c>
      <c r="G18">
        <f>Raw!G19</f>
        <v>0</v>
      </c>
      <c r="H18" t="str">
        <f>Raw!H19</f>
        <v>AgrIrrg</v>
      </c>
      <c r="I18">
        <f>Raw!I19</f>
        <v>0</v>
      </c>
      <c r="J18">
        <f>Raw!J19</f>
        <v>0</v>
      </c>
      <c r="K18">
        <f>Raw!K19</f>
        <v>0</v>
      </c>
      <c r="L18">
        <f>Raw!L19</f>
        <v>0</v>
      </c>
      <c r="M18">
        <f>Raw!M19</f>
        <v>0</v>
      </c>
      <c r="N18">
        <f>Raw!N19</f>
        <v>0</v>
      </c>
      <c r="O18">
        <f>Raw!O19</f>
        <v>0</v>
      </c>
      <c r="P18">
        <f>Raw!P19</f>
        <v>0</v>
      </c>
      <c r="Q18">
        <f>Raw!Q19</f>
        <v>0</v>
      </c>
    </row>
    <row r="19" spans="1:17">
      <c r="A19" s="722">
        <f>VLOOKUP(Raw!$A20,Weighting!$A$3:$B$15,2,FALSE)</f>
        <v>0.8</v>
      </c>
      <c r="B19" t="str">
        <f>Raw!B20</f>
        <v>Center pivot/linear move systems: Replace leaking tower gasket with new tower gasket - Eastern &amp; Southern Idaho</v>
      </c>
      <c r="C19" t="str">
        <f>Raw!C20</f>
        <v>Center pivot/linear move systems: Replace leaking tower gasket with new tower gasket - Eastern &amp; Southern Idaho</v>
      </c>
      <c r="D19">
        <f>Raw!D20</f>
        <v>35.593896889490082</v>
      </c>
      <c r="E19">
        <f>Raw!E20</f>
        <v>8</v>
      </c>
      <c r="F19">
        <f>Raw!F20</f>
        <v>60</v>
      </c>
      <c r="G19">
        <f>Raw!G20</f>
        <v>0</v>
      </c>
      <c r="H19" t="str">
        <f>Raw!H20</f>
        <v>AgrIrrg</v>
      </c>
      <c r="I19">
        <f>Raw!I20</f>
        <v>0</v>
      </c>
      <c r="J19">
        <f>Raw!J20</f>
        <v>0</v>
      </c>
      <c r="K19">
        <f>Raw!K20</f>
        <v>0</v>
      </c>
      <c r="L19">
        <f>Raw!L20</f>
        <v>0</v>
      </c>
      <c r="M19">
        <f>Raw!M20</f>
        <v>0</v>
      </c>
      <c r="N19">
        <f>Raw!N20</f>
        <v>0</v>
      </c>
      <c r="O19">
        <f>Raw!O20</f>
        <v>0</v>
      </c>
      <c r="P19">
        <f>Raw!P20</f>
        <v>0</v>
      </c>
      <c r="Q19">
        <f>Raw!Q20</f>
        <v>0</v>
      </c>
    </row>
    <row r="20" spans="1:17">
      <c r="A20" s="722">
        <f>VLOOKUP(Raw!$A21,Weighting!$A$3:$B$15,2,FALSE)</f>
        <v>0.2</v>
      </c>
      <c r="B20" t="str">
        <f>Raw!B21</f>
        <v>Wheel/hand line systems: Replace worn nozzle with new flow controlling type nozzle for impact sprinklers - Western Idaho</v>
      </c>
      <c r="C20" t="str">
        <f>Raw!C21</f>
        <v>Wheel/hand line systems: Replace worn nozzle with new flow controlling type nozzle for impact sprinklers - Western Idaho</v>
      </c>
      <c r="D20">
        <f>Raw!D21</f>
        <v>37.079019467107642</v>
      </c>
      <c r="E20">
        <f>Raw!E21</f>
        <v>4</v>
      </c>
      <c r="F20">
        <f>Raw!F21</f>
        <v>5.6666666666666661</v>
      </c>
      <c r="G20">
        <f>Raw!G21</f>
        <v>0</v>
      </c>
      <c r="H20" t="str">
        <f>Raw!H21</f>
        <v>AgrIrrg</v>
      </c>
      <c r="I20">
        <f>Raw!I21</f>
        <v>0</v>
      </c>
      <c r="J20">
        <f>Raw!J21</f>
        <v>0</v>
      </c>
      <c r="K20">
        <f>Raw!K21</f>
        <v>0</v>
      </c>
      <c r="L20">
        <f>Raw!L21</f>
        <v>0</v>
      </c>
      <c r="M20">
        <f>Raw!M21</f>
        <v>0</v>
      </c>
      <c r="N20">
        <f>Raw!N21</f>
        <v>0</v>
      </c>
      <c r="O20">
        <f>Raw!O21</f>
        <v>0</v>
      </c>
      <c r="P20">
        <f>Raw!P21</f>
        <v>0</v>
      </c>
      <c r="Q20">
        <f>Raw!Q21</f>
        <v>0</v>
      </c>
    </row>
    <row r="21" spans="1:17">
      <c r="A21" s="722">
        <f>VLOOKUP(Raw!$A22,Weighting!$A$3:$B$15,2,FALSE)</f>
        <v>0.2</v>
      </c>
      <c r="B21" t="str">
        <f>Raw!B22</f>
        <v>Wheel/hand line systems: Replace worn nozzle with new nozzle - Western Idaho</v>
      </c>
      <c r="C21" t="str">
        <f>Raw!C22</f>
        <v>Wheel/hand line systems: Replace worn nozzle with new nozzle - Western Idaho</v>
      </c>
      <c r="D21">
        <f>Raw!D22</f>
        <v>37.079019467107642</v>
      </c>
      <c r="E21">
        <f>Raw!E22</f>
        <v>4</v>
      </c>
      <c r="F21">
        <f>Raw!F22</f>
        <v>2.1166666666666667</v>
      </c>
      <c r="G21">
        <f>Raw!G22</f>
        <v>0</v>
      </c>
      <c r="H21" t="str">
        <f>Raw!H22</f>
        <v>AgrIrrg</v>
      </c>
      <c r="I21">
        <f>Raw!I22</f>
        <v>0</v>
      </c>
      <c r="J21">
        <f>Raw!J22</f>
        <v>0</v>
      </c>
      <c r="K21">
        <f>Raw!K22</f>
        <v>0</v>
      </c>
      <c r="L21">
        <f>Raw!L22</f>
        <v>0</v>
      </c>
      <c r="M21">
        <f>Raw!M22</f>
        <v>0</v>
      </c>
      <c r="N21">
        <f>Raw!N22</f>
        <v>0</v>
      </c>
      <c r="O21">
        <f>Raw!O22</f>
        <v>0</v>
      </c>
      <c r="P21">
        <f>Raw!P22</f>
        <v>0</v>
      </c>
      <c r="Q21">
        <f>Raw!Q22</f>
        <v>0</v>
      </c>
    </row>
    <row r="22" spans="1:17">
      <c r="A22" s="722">
        <f>VLOOKUP(Raw!$A23,Weighting!$A$3:$B$15,2,FALSE)</f>
        <v>0.2</v>
      </c>
      <c r="B22" t="str">
        <f>Raw!B23</f>
        <v>Wheel/hand line systems: Rebuild or replace leaking impact sprinkler with new or rebuilt impact sprinkler - Western Idaho</v>
      </c>
      <c r="C22" t="str">
        <f>Raw!C23</f>
        <v>Wheel/hand line systems: Rebuild or replace leaking impact sprinkler with new or rebuilt impact sprinkler - Western Idaho</v>
      </c>
      <c r="D22">
        <f>Raw!D23</f>
        <v>32.595889432000646</v>
      </c>
      <c r="E22">
        <f>Raw!E23</f>
        <v>5</v>
      </c>
      <c r="F22">
        <f>Raw!F23</f>
        <v>12.333333333333332</v>
      </c>
      <c r="G22">
        <f>Raw!G23</f>
        <v>0</v>
      </c>
      <c r="H22" t="str">
        <f>Raw!H23</f>
        <v>AgrIrrg</v>
      </c>
      <c r="I22">
        <f>Raw!I23</f>
        <v>0</v>
      </c>
      <c r="J22">
        <f>Raw!J23</f>
        <v>0</v>
      </c>
      <c r="K22">
        <f>Raw!K23</f>
        <v>0</v>
      </c>
      <c r="L22">
        <f>Raw!L23</f>
        <v>0</v>
      </c>
      <c r="M22">
        <f>Raw!M23</f>
        <v>0</v>
      </c>
      <c r="N22">
        <f>Raw!N23</f>
        <v>0</v>
      </c>
      <c r="O22">
        <f>Raw!O23</f>
        <v>0</v>
      </c>
      <c r="P22">
        <f>Raw!P23</f>
        <v>0</v>
      </c>
      <c r="Q22">
        <f>Raw!Q23</f>
        <v>0</v>
      </c>
    </row>
    <row r="23" spans="1:17">
      <c r="A23" s="722">
        <f>VLOOKUP(Raw!$A24,Weighting!$A$3:$B$15,2,FALSE)</f>
        <v>0.2</v>
      </c>
      <c r="B23" t="str">
        <f>Raw!B24</f>
        <v>Wheel/hand line systems: Replace leaking gasket with new gasket - Western Idaho</v>
      </c>
      <c r="C23" t="str">
        <f>Raw!C24</f>
        <v>Wheel/hand line systems: Replace leaking gasket with new gasket - Western Idaho</v>
      </c>
      <c r="D23">
        <f>Raw!D24</f>
        <v>195.03874578317237</v>
      </c>
      <c r="E23">
        <f>Raw!E24</f>
        <v>5</v>
      </c>
      <c r="F23">
        <f>Raw!F24</f>
        <v>3.9166666666666665</v>
      </c>
      <c r="G23">
        <f>Raw!G24</f>
        <v>0</v>
      </c>
      <c r="H23" t="str">
        <f>Raw!H24</f>
        <v>AgrIrrg</v>
      </c>
      <c r="I23">
        <f>Raw!I24</f>
        <v>0</v>
      </c>
      <c r="J23">
        <f>Raw!J24</f>
        <v>0</v>
      </c>
      <c r="K23">
        <f>Raw!K24</f>
        <v>0</v>
      </c>
      <c r="L23">
        <f>Raw!L24</f>
        <v>0</v>
      </c>
      <c r="M23">
        <f>Raw!M24</f>
        <v>0</v>
      </c>
      <c r="N23">
        <f>Raw!N24</f>
        <v>0</v>
      </c>
      <c r="O23">
        <f>Raw!O24</f>
        <v>0</v>
      </c>
      <c r="P23">
        <f>Raw!P24</f>
        <v>0</v>
      </c>
      <c r="Q23">
        <f>Raw!Q24</f>
        <v>0</v>
      </c>
    </row>
    <row r="24" spans="1:17">
      <c r="A24" s="722">
        <f>VLOOKUP(Raw!$A25,Weighting!$A$3:$B$15,2,FALSE)</f>
        <v>0.2</v>
      </c>
      <c r="B24" t="str">
        <f>Raw!B25</f>
        <v>Wheel/hand line systems: Replace leaking drain with new drain - Western Idaho</v>
      </c>
      <c r="C24" t="str">
        <f>Raw!C25</f>
        <v>Wheel/hand line systems: Replace leaking drain with new drain - Western Idaho</v>
      </c>
      <c r="D24">
        <f>Raw!D25</f>
        <v>202.14383193687468</v>
      </c>
      <c r="E24">
        <f>Raw!E25</f>
        <v>5</v>
      </c>
      <c r="F24">
        <f>Raw!F25</f>
        <v>13.666666666666666</v>
      </c>
      <c r="G24">
        <f>Raw!G25</f>
        <v>0</v>
      </c>
      <c r="H24" t="str">
        <f>Raw!H25</f>
        <v>AgrIrrg</v>
      </c>
      <c r="I24">
        <f>Raw!I25</f>
        <v>0</v>
      </c>
      <c r="J24">
        <f>Raw!J25</f>
        <v>0</v>
      </c>
      <c r="K24">
        <f>Raw!K25</f>
        <v>0</v>
      </c>
      <c r="L24">
        <f>Raw!L25</f>
        <v>0</v>
      </c>
      <c r="M24">
        <f>Raw!M25</f>
        <v>0</v>
      </c>
      <c r="N24">
        <f>Raw!N25</f>
        <v>0</v>
      </c>
      <c r="O24">
        <f>Raw!O25</f>
        <v>0</v>
      </c>
      <c r="P24">
        <f>Raw!P25</f>
        <v>0</v>
      </c>
      <c r="Q24">
        <f>Raw!Q25</f>
        <v>0</v>
      </c>
    </row>
    <row r="25" spans="1:17">
      <c r="A25" s="722">
        <f>VLOOKUP(Raw!$A26,Weighting!$A$3:$B$15,2,FALSE)</f>
        <v>0.2</v>
      </c>
      <c r="B25" t="str">
        <f>Raw!B26</f>
        <v>Wheel/hand line systems: Cut and pipe press repair of leaking hand-lines, wheel-lines, and portable main-lines - Western Idaho</v>
      </c>
      <c r="C25" t="str">
        <f>Raw!C26</f>
        <v>Wheel/hand line systems: Cut and pipe press repair of leaking hand-lines, wheel-lines, and portable main-lines - Western Idaho</v>
      </c>
      <c r="D25">
        <f>Raw!D26</f>
        <v>97.046145966677315</v>
      </c>
      <c r="E25">
        <f>Raw!E26</f>
        <v>8</v>
      </c>
      <c r="F25">
        <f>Raw!F26</f>
        <v>18</v>
      </c>
      <c r="G25">
        <f>Raw!G26</f>
        <v>0</v>
      </c>
      <c r="H25" t="str">
        <f>Raw!H26</f>
        <v>AgrIrrg</v>
      </c>
      <c r="I25">
        <f>Raw!I26</f>
        <v>0</v>
      </c>
      <c r="J25">
        <f>Raw!J26</f>
        <v>0</v>
      </c>
      <c r="K25">
        <f>Raw!K26</f>
        <v>0</v>
      </c>
      <c r="L25">
        <f>Raw!L26</f>
        <v>0</v>
      </c>
      <c r="M25">
        <f>Raw!M26</f>
        <v>0</v>
      </c>
      <c r="N25">
        <f>Raw!N26</f>
        <v>0</v>
      </c>
      <c r="O25">
        <f>Raw!O26</f>
        <v>0</v>
      </c>
      <c r="P25">
        <f>Raw!P26</f>
        <v>0</v>
      </c>
      <c r="Q25">
        <f>Raw!Q26</f>
        <v>0</v>
      </c>
    </row>
    <row r="26" spans="1:17">
      <c r="A26" s="722">
        <f>VLOOKUP(Raw!$A27,Weighting!$A$3:$B$15,2,FALSE)</f>
        <v>0.2</v>
      </c>
      <c r="B26" t="str">
        <f>Raw!B27</f>
        <v>Thunderbird wheel line systems: Replace leaking hub with new hub - Western Idaho</v>
      </c>
      <c r="C26" t="str">
        <f>Raw!C27</f>
        <v>Thunderbird wheel line systems: Replace leaking hub with new hub - Western Idaho</v>
      </c>
      <c r="D26">
        <f>Raw!D27</f>
        <v>83.980465991144641</v>
      </c>
      <c r="E26">
        <f>Raw!E27</f>
        <v>10</v>
      </c>
      <c r="F26">
        <f>Raw!F27</f>
        <v>50</v>
      </c>
      <c r="G26">
        <f>Raw!G27</f>
        <v>0</v>
      </c>
      <c r="H26" t="str">
        <f>Raw!H27</f>
        <v>AgrIrrg</v>
      </c>
      <c r="I26">
        <f>Raw!I27</f>
        <v>0</v>
      </c>
      <c r="J26">
        <f>Raw!J27</f>
        <v>0</v>
      </c>
      <c r="K26">
        <f>Raw!K27</f>
        <v>0</v>
      </c>
      <c r="L26">
        <f>Raw!L27</f>
        <v>0</v>
      </c>
      <c r="M26">
        <f>Raw!M27</f>
        <v>0</v>
      </c>
      <c r="N26">
        <f>Raw!N27</f>
        <v>0</v>
      </c>
      <c r="O26">
        <f>Raw!O27</f>
        <v>0</v>
      </c>
      <c r="P26">
        <f>Raw!P27</f>
        <v>0</v>
      </c>
      <c r="Q26">
        <f>Raw!Q27</f>
        <v>0</v>
      </c>
    </row>
    <row r="27" spans="1:17">
      <c r="A27" s="722">
        <f>VLOOKUP(Raw!$A28,Weighting!$A$3:$B$15,2,FALSE)</f>
        <v>0.2</v>
      </c>
      <c r="B27" t="str">
        <f>Raw!B28</f>
        <v>Wheel line systems: Rebuild or replace leaking or malfunctioning leveler with new or rebuilt leveler. - Western Idaho</v>
      </c>
      <c r="C27" t="str">
        <f>Raw!C28</f>
        <v>Wheel line systems: Rebuild or replace leaking or malfunctioning leveler with new or rebuilt leveler. - Western Idaho</v>
      </c>
      <c r="D27">
        <f>Raw!D28</f>
        <v>48.364602793586712</v>
      </c>
      <c r="E27">
        <f>Raw!E28</f>
        <v>5</v>
      </c>
      <c r="F27">
        <f>Raw!F28</f>
        <v>3.25</v>
      </c>
      <c r="G27">
        <f>Raw!G28</f>
        <v>0</v>
      </c>
      <c r="H27" t="str">
        <f>Raw!H28</f>
        <v>AgrIrrg</v>
      </c>
      <c r="I27">
        <f>Raw!I28</f>
        <v>0</v>
      </c>
      <c r="J27">
        <f>Raw!J28</f>
        <v>0</v>
      </c>
      <c r="K27">
        <f>Raw!K28</f>
        <v>0</v>
      </c>
      <c r="L27">
        <f>Raw!L28</f>
        <v>0</v>
      </c>
      <c r="M27">
        <f>Raw!M28</f>
        <v>0</v>
      </c>
      <c r="N27">
        <f>Raw!N28</f>
        <v>0</v>
      </c>
      <c r="O27">
        <f>Raw!O28</f>
        <v>0</v>
      </c>
      <c r="P27">
        <f>Raw!P28</f>
        <v>0</v>
      </c>
      <c r="Q27">
        <f>Raw!Q28</f>
        <v>0</v>
      </c>
    </row>
    <row r="28" spans="1:17">
      <c r="A28" s="722">
        <f>VLOOKUP(Raw!$A29,Weighting!$A$3:$B$15,2,FALSE)</f>
        <v>0.2</v>
      </c>
      <c r="B28" t="str">
        <f>Raw!B29</f>
        <v>Center pivot/linear move systems: Install new sprinkler package on an existing system. - Western Idaho</v>
      </c>
      <c r="C28" t="str">
        <f>Raw!C29</f>
        <v>Center pivot/linear move systems: Install new sprinkler package on an existing system. - Western Idaho</v>
      </c>
      <c r="D28">
        <f>Raw!D29</f>
        <v>105.37655967253369</v>
      </c>
      <c r="E28">
        <f>Raw!E29</f>
        <v>5</v>
      </c>
      <c r="F28">
        <f>Raw!F29</f>
        <v>25.53</v>
      </c>
      <c r="G28">
        <f>Raw!G29</f>
        <v>0</v>
      </c>
      <c r="H28" t="str">
        <f>Raw!H29</f>
        <v>AgrIrrg</v>
      </c>
      <c r="I28">
        <f>Raw!I29</f>
        <v>0</v>
      </c>
      <c r="J28">
        <f>Raw!J29</f>
        <v>0</v>
      </c>
      <c r="K28">
        <f>Raw!K29</f>
        <v>0</v>
      </c>
      <c r="L28">
        <f>Raw!L29</f>
        <v>0</v>
      </c>
      <c r="M28">
        <f>Raw!M29</f>
        <v>0</v>
      </c>
      <c r="N28">
        <f>Raw!N29</f>
        <v>0</v>
      </c>
      <c r="O28">
        <f>Raw!O29</f>
        <v>0</v>
      </c>
      <c r="P28">
        <f>Raw!P29</f>
        <v>0</v>
      </c>
      <c r="Q28">
        <f>Raw!Q29</f>
        <v>0</v>
      </c>
    </row>
    <row r="29" spans="1:17">
      <c r="A29" s="722">
        <f>VLOOKUP(Raw!$A30,Weighting!$A$3:$B$15,2,FALSE)</f>
        <v>0.2</v>
      </c>
      <c r="B29" t="str">
        <f>Raw!B30</f>
        <v>Center pivot/linear move systems: New gooseneck elbows - Western Idaho</v>
      </c>
      <c r="C29" t="str">
        <f>Raw!C30</f>
        <v>Center pivot/linear move systems: New gooseneck elbows - Western Idaho</v>
      </c>
      <c r="D29">
        <f>Raw!D30</f>
        <v>8.043933465573474</v>
      </c>
      <c r="E29">
        <f>Raw!E30</f>
        <v>15</v>
      </c>
      <c r="F29">
        <f>Raw!F30</f>
        <v>4.166666666666667</v>
      </c>
      <c r="G29">
        <f>Raw!G30</f>
        <v>0</v>
      </c>
      <c r="H29" t="str">
        <f>Raw!H30</f>
        <v>AgrIrrg</v>
      </c>
      <c r="I29">
        <f>Raw!I30</f>
        <v>0</v>
      </c>
      <c r="J29">
        <f>Raw!J30</f>
        <v>0</v>
      </c>
      <c r="K29">
        <f>Raw!K30</f>
        <v>0</v>
      </c>
      <c r="L29">
        <f>Raw!L30</f>
        <v>0</v>
      </c>
      <c r="M29">
        <f>Raw!M30</f>
        <v>0</v>
      </c>
      <c r="N29">
        <f>Raw!N30</f>
        <v>0</v>
      </c>
      <c r="O29">
        <f>Raw!O30</f>
        <v>0</v>
      </c>
      <c r="P29">
        <f>Raw!P30</f>
        <v>0</v>
      </c>
      <c r="Q29">
        <f>Raw!Q30</f>
        <v>0</v>
      </c>
    </row>
    <row r="30" spans="1:17">
      <c r="A30" s="722">
        <f>VLOOKUP(Raw!$A31,Weighting!$A$3:$B$15,2,FALSE)</f>
        <v>0.2</v>
      </c>
      <c r="B30" t="str">
        <f>Raw!B31</f>
        <v>Center pivot/linear move systems: New drop tubes (3 feet minimum) - Western Idaho</v>
      </c>
      <c r="C30" t="str">
        <f>Raw!C31</f>
        <v>Center pivot/linear move systems: New drop tubes (3 feet minimum) - Western Idaho</v>
      </c>
      <c r="D30">
        <f>Raw!D31</f>
        <v>8.043933465573474</v>
      </c>
      <c r="E30">
        <f>Raw!E31</f>
        <v>10</v>
      </c>
      <c r="F30">
        <f>Raw!F31</f>
        <v>6.5</v>
      </c>
      <c r="G30">
        <f>Raw!G31</f>
        <v>0</v>
      </c>
      <c r="H30" t="str">
        <f>Raw!H31</f>
        <v>AgrIrrg</v>
      </c>
      <c r="I30">
        <f>Raw!I31</f>
        <v>0</v>
      </c>
      <c r="J30">
        <f>Raw!J31</f>
        <v>0</v>
      </c>
      <c r="K30">
        <f>Raw!K31</f>
        <v>0</v>
      </c>
      <c r="L30">
        <f>Raw!L31</f>
        <v>0</v>
      </c>
      <c r="M30">
        <f>Raw!M31</f>
        <v>0</v>
      </c>
      <c r="N30">
        <f>Raw!N31</f>
        <v>0</v>
      </c>
      <c r="O30">
        <f>Raw!O31</f>
        <v>0</v>
      </c>
      <c r="P30">
        <f>Raw!P31</f>
        <v>0</v>
      </c>
      <c r="Q30">
        <f>Raw!Q31</f>
        <v>0</v>
      </c>
    </row>
    <row r="31" spans="1:17">
      <c r="A31" s="722">
        <f>VLOOKUP(Raw!$A32,Weighting!$A$3:$B$15,2,FALSE)</f>
        <v>0.2</v>
      </c>
      <c r="B31" t="str">
        <f>Raw!B32</f>
        <v>Center pivot/linear move systems: Replace leaking pivot boot gasket with new pivot boot gasket - Western Idaho</v>
      </c>
      <c r="C31" t="str">
        <f>Raw!C32</f>
        <v>Center pivot/linear move systems: Replace leaking pivot boot gasket with new pivot boot gasket - Western Idaho</v>
      </c>
      <c r="D31">
        <f>Raw!D32</f>
        <v>1532.177802966376</v>
      </c>
      <c r="E31">
        <f>Raw!E32</f>
        <v>8</v>
      </c>
      <c r="F31">
        <f>Raw!F32</f>
        <v>250</v>
      </c>
      <c r="G31">
        <f>Raw!G32</f>
        <v>0</v>
      </c>
      <c r="H31" t="str">
        <f>Raw!H32</f>
        <v>AgrIrrg</v>
      </c>
      <c r="I31">
        <f>Raw!I32</f>
        <v>0</v>
      </c>
      <c r="J31">
        <f>Raw!J32</f>
        <v>0</v>
      </c>
      <c r="K31">
        <f>Raw!K32</f>
        <v>0</v>
      </c>
      <c r="L31">
        <f>Raw!L32</f>
        <v>0</v>
      </c>
      <c r="M31">
        <f>Raw!M32</f>
        <v>0</v>
      </c>
      <c r="N31">
        <f>Raw!N32</f>
        <v>0</v>
      </c>
      <c r="O31">
        <f>Raw!O32</f>
        <v>0</v>
      </c>
      <c r="P31">
        <f>Raw!P32</f>
        <v>0</v>
      </c>
      <c r="Q31">
        <f>Raw!Q32</f>
        <v>0</v>
      </c>
    </row>
    <row r="32" spans="1:17">
      <c r="A32" s="722">
        <f>VLOOKUP(Raw!$A33,Weighting!$A$3:$B$15,2,FALSE)</f>
        <v>0.2</v>
      </c>
      <c r="B32" t="str">
        <f>Raw!B33</f>
        <v>Center pivot/linear move systems: Replace leaking tower gasket with new tower gasket - Western Idaho</v>
      </c>
      <c r="C32" t="str">
        <f>Raw!C33</f>
        <v>Center pivot/linear move systems: Replace leaking tower gasket with new tower gasket - Western Idaho</v>
      </c>
      <c r="D32">
        <f>Raw!D33</f>
        <v>38.304445074159389</v>
      </c>
      <c r="E32">
        <f>Raw!E33</f>
        <v>8</v>
      </c>
      <c r="F32">
        <f>Raw!F33</f>
        <v>60</v>
      </c>
      <c r="G32">
        <f>Raw!G33</f>
        <v>0</v>
      </c>
      <c r="H32" t="str">
        <f>Raw!H33</f>
        <v>AgrIrrg</v>
      </c>
      <c r="I32">
        <f>Raw!I33</f>
        <v>0</v>
      </c>
      <c r="J32">
        <f>Raw!J33</f>
        <v>0</v>
      </c>
      <c r="K32">
        <f>Raw!K33</f>
        <v>0</v>
      </c>
      <c r="L32">
        <f>Raw!L33</f>
        <v>0</v>
      </c>
      <c r="M32">
        <f>Raw!M33</f>
        <v>0</v>
      </c>
      <c r="N32">
        <f>Raw!N33</f>
        <v>0</v>
      </c>
      <c r="O32">
        <f>Raw!O33</f>
        <v>0</v>
      </c>
      <c r="P32">
        <f>Raw!P33</f>
        <v>0</v>
      </c>
      <c r="Q32">
        <f>Raw!Q33</f>
        <v>0</v>
      </c>
    </row>
    <row r="33" spans="1:17">
      <c r="A33" s="722">
        <f>VLOOKUP(Raw!$A34,Weighting!$A$3:$B$15,2,FALSE)</f>
        <v>0.1</v>
      </c>
      <c r="B33" t="str">
        <f>Raw!B34</f>
        <v>Wheel/hand line systems: Replace worn nozzle with new flow controlling type nozzle for impact sprinklers - Western Washington and Oregon</v>
      </c>
      <c r="C33" t="str">
        <f>Raw!C34</f>
        <v>Wheel/hand line systems: Replace worn nozzle with new flow controlling type nozzle for impact sprinklers - Western Washington and Oregon</v>
      </c>
      <c r="D33">
        <f>Raw!D34</f>
        <v>21.304143217415458</v>
      </c>
      <c r="E33">
        <f>Raw!E34</f>
        <v>4</v>
      </c>
      <c r="F33">
        <f>Raw!F34</f>
        <v>5.6666666666666661</v>
      </c>
      <c r="G33">
        <f>Raw!G34</f>
        <v>0</v>
      </c>
      <c r="H33" t="str">
        <f>Raw!H34</f>
        <v>AgrIrrg</v>
      </c>
      <c r="I33">
        <f>Raw!I34</f>
        <v>0</v>
      </c>
      <c r="J33">
        <f>Raw!J34</f>
        <v>0</v>
      </c>
      <c r="K33">
        <f>Raw!K34</f>
        <v>0</v>
      </c>
      <c r="L33">
        <f>Raw!L34</f>
        <v>0</v>
      </c>
      <c r="M33">
        <f>Raw!M34</f>
        <v>0</v>
      </c>
      <c r="N33">
        <f>Raw!N34</f>
        <v>0</v>
      </c>
      <c r="O33">
        <f>Raw!O34</f>
        <v>0</v>
      </c>
      <c r="P33">
        <f>Raw!P34</f>
        <v>0</v>
      </c>
      <c r="Q33">
        <f>Raw!Q34</f>
        <v>0</v>
      </c>
    </row>
    <row r="34" spans="1:17">
      <c r="A34" s="722">
        <f>VLOOKUP(Raw!$A35,Weighting!$A$3:$B$15,2,FALSE)</f>
        <v>0.1</v>
      </c>
      <c r="B34" t="str">
        <f>Raw!B35</f>
        <v>Wheel/hand line systems: Replace worn nozzle with new nozzle - Western Washington and Oregon</v>
      </c>
      <c r="C34" t="str">
        <f>Raw!C35</f>
        <v>Wheel/hand line systems: Replace worn nozzle with new nozzle - Western Washington and Oregon</v>
      </c>
      <c r="D34">
        <f>Raw!D35</f>
        <v>21.304143217415458</v>
      </c>
      <c r="E34">
        <f>Raw!E35</f>
        <v>4</v>
      </c>
      <c r="F34">
        <f>Raw!F35</f>
        <v>2.1166666666666667</v>
      </c>
      <c r="G34">
        <f>Raw!G35</f>
        <v>0</v>
      </c>
      <c r="H34" t="str">
        <f>Raw!H35</f>
        <v>AgrIrrg</v>
      </c>
      <c r="I34">
        <f>Raw!I35</f>
        <v>0</v>
      </c>
      <c r="J34">
        <f>Raw!J35</f>
        <v>0</v>
      </c>
      <c r="K34">
        <f>Raw!K35</f>
        <v>0</v>
      </c>
      <c r="L34">
        <f>Raw!L35</f>
        <v>0</v>
      </c>
      <c r="M34">
        <f>Raw!M35</f>
        <v>0</v>
      </c>
      <c r="N34">
        <f>Raw!N35</f>
        <v>0</v>
      </c>
      <c r="O34">
        <f>Raw!O35</f>
        <v>0</v>
      </c>
      <c r="P34">
        <f>Raw!P35</f>
        <v>0</v>
      </c>
      <c r="Q34">
        <f>Raw!Q35</f>
        <v>0</v>
      </c>
    </row>
    <row r="35" spans="1:17">
      <c r="A35" s="722">
        <f>VLOOKUP(Raw!$A36,Weighting!$A$3:$B$15,2,FALSE)</f>
        <v>0.1</v>
      </c>
      <c r="B35" t="str">
        <f>Raw!B36</f>
        <v>Wheel/hand line systems: Rebuild or replace leaking impact sprinkler with new or rebuilt impact sprinkler - Western Washington and Oregon</v>
      </c>
      <c r="C35" t="str">
        <f>Raw!C36</f>
        <v>Wheel/hand line systems: Rebuild or replace leaking impact sprinkler with new or rebuilt impact sprinkler - Western Washington and Oregon</v>
      </c>
      <c r="D35">
        <f>Raw!D36</f>
        <v>18.728313389581377</v>
      </c>
      <c r="E35">
        <f>Raw!E36</f>
        <v>5</v>
      </c>
      <c r="F35">
        <f>Raw!F36</f>
        <v>12.333333333333332</v>
      </c>
      <c r="G35">
        <f>Raw!G36</f>
        <v>0</v>
      </c>
      <c r="H35" t="str">
        <f>Raw!H36</f>
        <v>AgrIrrg</v>
      </c>
      <c r="I35">
        <f>Raw!I36</f>
        <v>0</v>
      </c>
      <c r="J35">
        <f>Raw!J36</f>
        <v>0</v>
      </c>
      <c r="K35">
        <f>Raw!K36</f>
        <v>0</v>
      </c>
      <c r="L35">
        <f>Raw!L36</f>
        <v>0</v>
      </c>
      <c r="M35">
        <f>Raw!M36</f>
        <v>0</v>
      </c>
      <c r="N35">
        <f>Raw!N36</f>
        <v>0</v>
      </c>
      <c r="O35">
        <f>Raw!O36</f>
        <v>0</v>
      </c>
      <c r="P35">
        <f>Raw!P36</f>
        <v>0</v>
      </c>
      <c r="Q35">
        <f>Raw!Q36</f>
        <v>0</v>
      </c>
    </row>
    <row r="36" spans="1:17">
      <c r="A36" s="722">
        <f>VLOOKUP(Raw!$A37,Weighting!$A$3:$B$15,2,FALSE)</f>
        <v>0.1</v>
      </c>
      <c r="B36" t="str">
        <f>Raw!B37</f>
        <v>Wheel/hand line systems: Replace leaking gasket with new gasket - Western Washington and Oregon</v>
      </c>
      <c r="C36" t="str">
        <f>Raw!C37</f>
        <v>Wheel/hand line systems: Replace leaking gasket with new gasket - Western Washington and Oregon</v>
      </c>
      <c r="D36">
        <f>Raw!D37</f>
        <v>112.06157640699638</v>
      </c>
      <c r="E36">
        <f>Raw!E37</f>
        <v>5</v>
      </c>
      <c r="F36">
        <f>Raw!F37</f>
        <v>3.9166666666666665</v>
      </c>
      <c r="G36">
        <f>Raw!G37</f>
        <v>0</v>
      </c>
      <c r="H36" t="str">
        <f>Raw!H37</f>
        <v>AgrIrrg</v>
      </c>
      <c r="I36">
        <f>Raw!I37</f>
        <v>0</v>
      </c>
      <c r="J36">
        <f>Raw!J37</f>
        <v>0</v>
      </c>
      <c r="K36">
        <f>Raw!K37</f>
        <v>0</v>
      </c>
      <c r="L36">
        <f>Raw!L37</f>
        <v>0</v>
      </c>
      <c r="M36">
        <f>Raw!M37</f>
        <v>0</v>
      </c>
      <c r="N36">
        <f>Raw!N37</f>
        <v>0</v>
      </c>
      <c r="O36">
        <f>Raw!O37</f>
        <v>0</v>
      </c>
      <c r="P36">
        <f>Raw!P37</f>
        <v>0</v>
      </c>
      <c r="Q36">
        <f>Raw!Q37</f>
        <v>0</v>
      </c>
    </row>
    <row r="37" spans="1:17">
      <c r="A37" s="722">
        <f>VLOOKUP(Raw!$A38,Weighting!$A$3:$B$15,2,FALSE)</f>
        <v>0.1</v>
      </c>
      <c r="B37" t="str">
        <f>Raw!B38</f>
        <v>Wheel/hand line systems: Replace leaking drain with new drain - Western Washington and Oregon</v>
      </c>
      <c r="C37" t="str">
        <f>Raw!C38</f>
        <v>Wheel/hand line systems: Replace leaking drain with new drain - Western Washington and Oregon</v>
      </c>
      <c r="D37">
        <f>Raw!D38</f>
        <v>116.14387888332874</v>
      </c>
      <c r="E37">
        <f>Raw!E38</f>
        <v>5</v>
      </c>
      <c r="F37">
        <f>Raw!F38</f>
        <v>13.666666666666666</v>
      </c>
      <c r="G37">
        <f>Raw!G38</f>
        <v>0</v>
      </c>
      <c r="H37" t="str">
        <f>Raw!H38</f>
        <v>AgrIrrg</v>
      </c>
      <c r="I37">
        <f>Raw!I38</f>
        <v>0</v>
      </c>
      <c r="J37">
        <f>Raw!J38</f>
        <v>0</v>
      </c>
      <c r="K37">
        <f>Raw!K38</f>
        <v>0</v>
      </c>
      <c r="L37">
        <f>Raw!L38</f>
        <v>0</v>
      </c>
      <c r="M37">
        <f>Raw!M38</f>
        <v>0</v>
      </c>
      <c r="N37">
        <f>Raw!N38</f>
        <v>0</v>
      </c>
      <c r="O37">
        <f>Raw!O38</f>
        <v>0</v>
      </c>
      <c r="P37">
        <f>Raw!P38</f>
        <v>0</v>
      </c>
      <c r="Q37">
        <f>Raw!Q38</f>
        <v>0</v>
      </c>
    </row>
    <row r="38" spans="1:17">
      <c r="A38" s="722">
        <f>VLOOKUP(Raw!$A39,Weighting!$A$3:$B$15,2,FALSE)</f>
        <v>0.1</v>
      </c>
      <c r="B38" t="str">
        <f>Raw!B39</f>
        <v>Wheel/hand line systems: Cut and pipe press repair of leaking hand-lines, wheel-lines, and portable main-lines - Western Washington and Oregon</v>
      </c>
      <c r="C38" t="str">
        <f>Raw!C39</f>
        <v>Wheel/hand line systems: Cut and pipe press repair of leaking hand-lines, wheel-lines, and portable main-lines - Western Washington and Oregon</v>
      </c>
      <c r="D38">
        <f>Raw!D39</f>
        <v>55.758890663393629</v>
      </c>
      <c r="E38">
        <f>Raw!E39</f>
        <v>8</v>
      </c>
      <c r="F38">
        <f>Raw!F39</f>
        <v>18</v>
      </c>
      <c r="G38">
        <f>Raw!G39</f>
        <v>0</v>
      </c>
      <c r="H38" t="str">
        <f>Raw!H39</f>
        <v>AgrIrrg</v>
      </c>
      <c r="I38">
        <f>Raw!I39</f>
        <v>0</v>
      </c>
      <c r="J38">
        <f>Raw!J39</f>
        <v>0</v>
      </c>
      <c r="K38">
        <f>Raw!K39</f>
        <v>0</v>
      </c>
      <c r="L38">
        <f>Raw!L39</f>
        <v>0</v>
      </c>
      <c r="M38">
        <f>Raw!M39</f>
        <v>0</v>
      </c>
      <c r="N38">
        <f>Raw!N39</f>
        <v>0</v>
      </c>
      <c r="O38">
        <f>Raw!O39</f>
        <v>0</v>
      </c>
      <c r="P38">
        <f>Raw!P39</f>
        <v>0</v>
      </c>
      <c r="Q38">
        <f>Raw!Q39</f>
        <v>0</v>
      </c>
    </row>
    <row r="39" spans="1:17">
      <c r="A39" s="722">
        <f>VLOOKUP(Raw!$A40,Weighting!$A$3:$B$15,2,FALSE)</f>
        <v>0.1</v>
      </c>
      <c r="B39" t="str">
        <f>Raw!B40</f>
        <v>Thunderbird wheel line systems: Replace leaking hub with new hub - Western Washington and Oregon</v>
      </c>
      <c r="C39" t="str">
        <f>Raw!C40</f>
        <v>Thunderbird wheel line systems: Replace leaking hub with new hub - Western Washington and Oregon</v>
      </c>
      <c r="D39">
        <f>Raw!D40</f>
        <v>48.251865897579933</v>
      </c>
      <c r="E39">
        <f>Raw!E40</f>
        <v>10</v>
      </c>
      <c r="F39">
        <f>Raw!F40</f>
        <v>50</v>
      </c>
      <c r="G39">
        <f>Raw!G40</f>
        <v>0</v>
      </c>
      <c r="H39" t="str">
        <f>Raw!H40</f>
        <v>AgrIrrg</v>
      </c>
      <c r="I39">
        <f>Raw!I40</f>
        <v>0</v>
      </c>
      <c r="J39">
        <f>Raw!J40</f>
        <v>0</v>
      </c>
      <c r="K39">
        <f>Raw!K40</f>
        <v>0</v>
      </c>
      <c r="L39">
        <f>Raw!L40</f>
        <v>0</v>
      </c>
      <c r="M39">
        <f>Raw!M40</f>
        <v>0</v>
      </c>
      <c r="N39">
        <f>Raw!N40</f>
        <v>0</v>
      </c>
      <c r="O39">
        <f>Raw!O40</f>
        <v>0</v>
      </c>
      <c r="P39">
        <f>Raw!P40</f>
        <v>0</v>
      </c>
      <c r="Q39">
        <f>Raw!Q40</f>
        <v>0</v>
      </c>
    </row>
    <row r="40" spans="1:17">
      <c r="A40" s="722">
        <f>VLOOKUP(Raw!$A41,Weighting!$A$3:$B$15,2,FALSE)</f>
        <v>0.1</v>
      </c>
      <c r="B40" t="str">
        <f>Raw!B41</f>
        <v>Wheel line systems: Rebuild or replace leaking or malfunctioning leveler with new or rebuilt leveler. - Western Washington and Oregon</v>
      </c>
      <c r="C40" t="str">
        <f>Raw!C41</f>
        <v>Wheel line systems: Rebuild or replace leaking or malfunctioning leveler with new or rebuilt leveler. - Western Washington and Oregon</v>
      </c>
      <c r="D40">
        <f>Raw!D41</f>
        <v>27.788394606335494</v>
      </c>
      <c r="E40">
        <f>Raw!E41</f>
        <v>5</v>
      </c>
      <c r="F40">
        <f>Raw!F41</f>
        <v>3.25</v>
      </c>
      <c r="G40">
        <f>Raw!G41</f>
        <v>0</v>
      </c>
      <c r="H40" t="str">
        <f>Raw!H41</f>
        <v>AgrIrrg</v>
      </c>
      <c r="I40">
        <f>Raw!I41</f>
        <v>0</v>
      </c>
      <c r="J40">
        <f>Raw!J41</f>
        <v>0</v>
      </c>
      <c r="K40">
        <f>Raw!K41</f>
        <v>0</v>
      </c>
      <c r="L40">
        <f>Raw!L41</f>
        <v>0</v>
      </c>
      <c r="M40">
        <f>Raw!M41</f>
        <v>0</v>
      </c>
      <c r="N40">
        <f>Raw!N41</f>
        <v>0</v>
      </c>
      <c r="O40">
        <f>Raw!O41</f>
        <v>0</v>
      </c>
      <c r="P40">
        <f>Raw!P41</f>
        <v>0</v>
      </c>
      <c r="Q40">
        <f>Raw!Q41</f>
        <v>0</v>
      </c>
    </row>
    <row r="41" spans="1:17">
      <c r="A41" s="722">
        <f>VLOOKUP(Raw!$A42,Weighting!$A$3:$B$15,2,FALSE)</f>
        <v>0.1</v>
      </c>
      <c r="B41" t="str">
        <f>Raw!B42</f>
        <v>Center pivot/linear move systems: Install new sprinkler package on an existing system. - Western Washington and Oregon</v>
      </c>
      <c r="C41" t="str">
        <f>Raw!C42</f>
        <v>Center pivot/linear move systems: Install new sprinkler package on an existing system. - Western Washington and Oregon</v>
      </c>
      <c r="D41">
        <f>Raw!D42</f>
        <v>62.029057090158709</v>
      </c>
      <c r="E41">
        <f>Raw!E42</f>
        <v>5</v>
      </c>
      <c r="F41">
        <f>Raw!F42</f>
        <v>25.53</v>
      </c>
      <c r="G41">
        <f>Raw!G42</f>
        <v>0</v>
      </c>
      <c r="H41" t="str">
        <f>Raw!H42</f>
        <v>AgrIrrg</v>
      </c>
      <c r="I41">
        <f>Raw!I42</f>
        <v>0</v>
      </c>
      <c r="J41">
        <f>Raw!J42</f>
        <v>0</v>
      </c>
      <c r="K41">
        <f>Raw!K42</f>
        <v>0</v>
      </c>
      <c r="L41">
        <f>Raw!L42</f>
        <v>0</v>
      </c>
      <c r="M41">
        <f>Raw!M42</f>
        <v>0</v>
      </c>
      <c r="N41">
        <f>Raw!N42</f>
        <v>0</v>
      </c>
      <c r="O41">
        <f>Raw!O42</f>
        <v>0</v>
      </c>
      <c r="P41">
        <f>Raw!P42</f>
        <v>0</v>
      </c>
      <c r="Q41">
        <f>Raw!Q42</f>
        <v>0</v>
      </c>
    </row>
    <row r="42" spans="1:17">
      <c r="A42" s="722">
        <f>VLOOKUP(Raw!$A43,Weighting!$A$3:$B$15,2,FALSE)</f>
        <v>0.1</v>
      </c>
      <c r="B42" t="str">
        <f>Raw!B43</f>
        <v>Center pivot/linear move systems: New gooseneck elbows - Western Washington and Oregon</v>
      </c>
      <c r="C42" t="str">
        <f>Raw!C43</f>
        <v>Center pivot/linear move systems: New gooseneck elbows - Western Washington and Oregon</v>
      </c>
      <c r="D42">
        <f>Raw!D43</f>
        <v>4.7349961862111138</v>
      </c>
      <c r="E42">
        <f>Raw!E43</f>
        <v>15</v>
      </c>
      <c r="F42">
        <f>Raw!F43</f>
        <v>4.166666666666667</v>
      </c>
      <c r="G42">
        <f>Raw!G43</f>
        <v>0</v>
      </c>
      <c r="H42" t="str">
        <f>Raw!H43</f>
        <v>AgrIrrg</v>
      </c>
      <c r="I42">
        <f>Raw!I43</f>
        <v>0</v>
      </c>
      <c r="J42">
        <f>Raw!J43</f>
        <v>0</v>
      </c>
      <c r="K42">
        <f>Raw!K43</f>
        <v>0</v>
      </c>
      <c r="L42">
        <f>Raw!L43</f>
        <v>0</v>
      </c>
      <c r="M42">
        <f>Raw!M43</f>
        <v>0</v>
      </c>
      <c r="N42">
        <f>Raw!N43</f>
        <v>0</v>
      </c>
      <c r="O42">
        <f>Raw!O43</f>
        <v>0</v>
      </c>
      <c r="P42">
        <f>Raw!P43</f>
        <v>0</v>
      </c>
      <c r="Q42">
        <f>Raw!Q43</f>
        <v>0</v>
      </c>
    </row>
    <row r="43" spans="1:17">
      <c r="A43" s="722">
        <f>VLOOKUP(Raw!$A44,Weighting!$A$3:$B$15,2,FALSE)</f>
        <v>0.1</v>
      </c>
      <c r="B43" t="str">
        <f>Raw!B44</f>
        <v>Center pivot/linear move systems: New drop tubes (3 feet minimum) - Western Washington and Oregon</v>
      </c>
      <c r="C43" t="str">
        <f>Raw!C44</f>
        <v>Center pivot/linear move systems: New drop tubes (3 feet minimum) - Western Washington and Oregon</v>
      </c>
      <c r="D43">
        <f>Raw!D44</f>
        <v>4.7349961862111138</v>
      </c>
      <c r="E43">
        <f>Raw!E44</f>
        <v>10</v>
      </c>
      <c r="F43">
        <f>Raw!F44</f>
        <v>6.5</v>
      </c>
      <c r="G43">
        <f>Raw!G44</f>
        <v>0</v>
      </c>
      <c r="H43" t="str">
        <f>Raw!H44</f>
        <v>AgrIrrg</v>
      </c>
      <c r="I43">
        <f>Raw!I44</f>
        <v>0</v>
      </c>
      <c r="J43">
        <f>Raw!J44</f>
        <v>0</v>
      </c>
      <c r="K43">
        <f>Raw!K44</f>
        <v>0</v>
      </c>
      <c r="L43">
        <f>Raw!L44</f>
        <v>0</v>
      </c>
      <c r="M43">
        <f>Raw!M44</f>
        <v>0</v>
      </c>
      <c r="N43">
        <f>Raw!N44</f>
        <v>0</v>
      </c>
      <c r="O43">
        <f>Raw!O44</f>
        <v>0</v>
      </c>
      <c r="P43">
        <f>Raw!P44</f>
        <v>0</v>
      </c>
      <c r="Q43">
        <f>Raw!Q44</f>
        <v>0</v>
      </c>
    </row>
    <row r="44" spans="1:17">
      <c r="A44" s="722">
        <f>VLOOKUP(Raw!$A45,Weighting!$A$3:$B$15,2,FALSE)</f>
        <v>0.1</v>
      </c>
      <c r="B44" t="str">
        <f>Raw!B45</f>
        <v>Center pivot/linear move systems: Replace leaking pivot boot gasket with new pivot boot gasket - Western Washington and Oregon</v>
      </c>
      <c r="C44" t="str">
        <f>Raw!C45</f>
        <v>Center pivot/linear move systems: Replace leaking pivot boot gasket with new pivot boot gasket - Western Washington and Oregon</v>
      </c>
      <c r="D44">
        <f>Raw!D45</f>
        <v>901.90403546878383</v>
      </c>
      <c r="E44">
        <f>Raw!E45</f>
        <v>8</v>
      </c>
      <c r="F44">
        <f>Raw!F45</f>
        <v>250</v>
      </c>
      <c r="G44">
        <f>Raw!G45</f>
        <v>0</v>
      </c>
      <c r="H44" t="str">
        <f>Raw!H45</f>
        <v>AgrIrrg</v>
      </c>
      <c r="I44">
        <f>Raw!I45</f>
        <v>0</v>
      </c>
      <c r="J44">
        <f>Raw!J45</f>
        <v>0</v>
      </c>
      <c r="K44">
        <f>Raw!K45</f>
        <v>0</v>
      </c>
      <c r="L44">
        <f>Raw!L45</f>
        <v>0</v>
      </c>
      <c r="M44">
        <f>Raw!M45</f>
        <v>0</v>
      </c>
      <c r="N44">
        <f>Raw!N45</f>
        <v>0</v>
      </c>
      <c r="O44">
        <f>Raw!O45</f>
        <v>0</v>
      </c>
      <c r="P44">
        <f>Raw!P45</f>
        <v>0</v>
      </c>
      <c r="Q44">
        <f>Raw!Q45</f>
        <v>0</v>
      </c>
    </row>
    <row r="45" spans="1:17">
      <c r="A45" s="722">
        <f>VLOOKUP(Raw!$A46,Weighting!$A$3:$B$15,2,FALSE)</f>
        <v>0.1</v>
      </c>
      <c r="B45" t="str">
        <f>Raw!B46</f>
        <v>Center pivot/linear move systems: Replace leaking tower gasket with new tower gasket - Western Washington and Oregon</v>
      </c>
      <c r="C45" t="str">
        <f>Raw!C46</f>
        <v>Center pivot/linear move systems: Replace leaking tower gasket with new tower gasket - Western Washington and Oregon</v>
      </c>
      <c r="D45">
        <f>Raw!D46</f>
        <v>22.547600886719593</v>
      </c>
      <c r="E45">
        <f>Raw!E46</f>
        <v>8</v>
      </c>
      <c r="F45">
        <f>Raw!F46</f>
        <v>60</v>
      </c>
      <c r="G45">
        <f>Raw!G46</f>
        <v>0</v>
      </c>
      <c r="H45" t="str">
        <f>Raw!H46</f>
        <v>AgrIrrg</v>
      </c>
      <c r="I45">
        <f>Raw!I46</f>
        <v>0</v>
      </c>
      <c r="J45">
        <f>Raw!J46</f>
        <v>0</v>
      </c>
      <c r="K45">
        <f>Raw!K46</f>
        <v>0</v>
      </c>
      <c r="L45">
        <f>Raw!L46</f>
        <v>0</v>
      </c>
      <c r="M45">
        <f>Raw!M46</f>
        <v>0</v>
      </c>
      <c r="N45">
        <f>Raw!N46</f>
        <v>0</v>
      </c>
      <c r="O45">
        <f>Raw!O46</f>
        <v>0</v>
      </c>
      <c r="P45">
        <f>Raw!P46</f>
        <v>0</v>
      </c>
      <c r="Q45">
        <f>Raw!Q46</f>
        <v>0</v>
      </c>
    </row>
    <row r="46" spans="1:17">
      <c r="A46" s="722">
        <f>VLOOKUP(Raw!$A47,Weighting!$A$3:$B$15,2,FALSE)</f>
        <v>0.9</v>
      </c>
      <c r="B46" t="str">
        <f>Raw!B47</f>
        <v>Wheel/hand line systems: Replace worn nozzle with new flow controlling type nozzle for impact sprinklers - Eastern Washington and Oregon</v>
      </c>
      <c r="C46" t="str">
        <f>Raw!C47</f>
        <v>Wheel/hand line systems: Replace worn nozzle with new flow controlling type nozzle for impact sprinklers - Eastern Washington and Oregon</v>
      </c>
      <c r="D46">
        <f>Raw!D47</f>
        <v>46.86911507831401</v>
      </c>
      <c r="E46">
        <f>Raw!E47</f>
        <v>4</v>
      </c>
      <c r="F46">
        <f>Raw!F47</f>
        <v>5.6666666666666661</v>
      </c>
      <c r="G46">
        <f>Raw!G47</f>
        <v>0</v>
      </c>
      <c r="H46" t="str">
        <f>Raw!H47</f>
        <v>AgrIrrg</v>
      </c>
      <c r="I46">
        <f>Raw!I47</f>
        <v>0</v>
      </c>
      <c r="J46">
        <f>Raw!J47</f>
        <v>0</v>
      </c>
      <c r="K46">
        <f>Raw!K47</f>
        <v>0</v>
      </c>
      <c r="L46">
        <f>Raw!L47</f>
        <v>0</v>
      </c>
      <c r="M46">
        <f>Raw!M47</f>
        <v>0</v>
      </c>
      <c r="N46">
        <f>Raw!N47</f>
        <v>0</v>
      </c>
      <c r="O46">
        <f>Raw!O47</f>
        <v>0</v>
      </c>
      <c r="P46">
        <f>Raw!P47</f>
        <v>0</v>
      </c>
      <c r="Q46">
        <f>Raw!Q47</f>
        <v>0</v>
      </c>
    </row>
    <row r="47" spans="1:17">
      <c r="A47" s="722">
        <f>VLOOKUP(Raw!$A48,Weighting!$A$3:$B$15,2,FALSE)</f>
        <v>0.9</v>
      </c>
      <c r="B47" t="str">
        <f>Raw!B48</f>
        <v>Wheel/hand line systems: Replace worn nozzle with new nozzle - Eastern Washington and Oregon</v>
      </c>
      <c r="C47" t="str">
        <f>Raw!C48</f>
        <v>Wheel/hand line systems: Replace worn nozzle with new nozzle - Eastern Washington and Oregon</v>
      </c>
      <c r="D47">
        <f>Raw!D48</f>
        <v>46.86911507831401</v>
      </c>
      <c r="E47">
        <f>Raw!E48</f>
        <v>4</v>
      </c>
      <c r="F47">
        <f>Raw!F48</f>
        <v>2.1166666666666667</v>
      </c>
      <c r="G47">
        <f>Raw!G48</f>
        <v>0</v>
      </c>
      <c r="H47" t="str">
        <f>Raw!H48</f>
        <v>AgrIrrg</v>
      </c>
      <c r="I47">
        <f>Raw!I48</f>
        <v>0</v>
      </c>
      <c r="J47">
        <f>Raw!J48</f>
        <v>0</v>
      </c>
      <c r="K47">
        <f>Raw!K48</f>
        <v>0</v>
      </c>
      <c r="L47">
        <f>Raw!L48</f>
        <v>0</v>
      </c>
      <c r="M47">
        <f>Raw!M48</f>
        <v>0</v>
      </c>
      <c r="N47">
        <f>Raw!N48</f>
        <v>0</v>
      </c>
      <c r="O47">
        <f>Raw!O48</f>
        <v>0</v>
      </c>
      <c r="P47">
        <f>Raw!P48</f>
        <v>0</v>
      </c>
      <c r="Q47">
        <f>Raw!Q48</f>
        <v>0</v>
      </c>
    </row>
    <row r="48" spans="1:17">
      <c r="A48" s="722">
        <f>VLOOKUP(Raw!$A49,Weighting!$A$3:$B$15,2,FALSE)</f>
        <v>0.9</v>
      </c>
      <c r="B48" t="str">
        <f>Raw!B49</f>
        <v>Wheel/hand line systems: Rebuild or replace leaking impact sprinkler with new or rebuilt impact sprinkler - Eastern Washington and Oregon</v>
      </c>
      <c r="C48" t="str">
        <f>Raw!C49</f>
        <v>Wheel/hand line systems: Rebuild or replace leaking impact sprinkler with new or rebuilt impact sprinkler - Eastern Washington and Oregon</v>
      </c>
      <c r="D48">
        <f>Raw!D49</f>
        <v>41.202289457079026</v>
      </c>
      <c r="E48">
        <f>Raw!E49</f>
        <v>5</v>
      </c>
      <c r="F48">
        <f>Raw!F49</f>
        <v>12.333333333333332</v>
      </c>
      <c r="G48">
        <f>Raw!G49</f>
        <v>0</v>
      </c>
      <c r="H48" t="str">
        <f>Raw!H49</f>
        <v>AgrIrrg</v>
      </c>
      <c r="I48">
        <f>Raw!I49</f>
        <v>0</v>
      </c>
      <c r="J48">
        <f>Raw!J49</f>
        <v>0</v>
      </c>
      <c r="K48">
        <f>Raw!K49</f>
        <v>0</v>
      </c>
      <c r="L48">
        <f>Raw!L49</f>
        <v>0</v>
      </c>
      <c r="M48">
        <f>Raw!M49</f>
        <v>0</v>
      </c>
      <c r="N48">
        <f>Raw!N49</f>
        <v>0</v>
      </c>
      <c r="O48">
        <f>Raw!O49</f>
        <v>0</v>
      </c>
      <c r="P48">
        <f>Raw!P49</f>
        <v>0</v>
      </c>
      <c r="Q48">
        <f>Raw!Q49</f>
        <v>0</v>
      </c>
    </row>
    <row r="49" spans="1:17">
      <c r="A49" s="722">
        <f>VLOOKUP(Raw!$A50,Weighting!$A$3:$B$15,2,FALSE)</f>
        <v>0.9</v>
      </c>
      <c r="B49" t="str">
        <f>Raw!B50</f>
        <v>Wheel/hand line systems: Replace leaking gasket with new gasket - Eastern Washington and Oregon</v>
      </c>
      <c r="C49" t="str">
        <f>Raw!C50</f>
        <v>Wheel/hand line systems: Replace leaking gasket with new gasket - Eastern Washington and Oregon</v>
      </c>
      <c r="D49">
        <f>Raw!D50</f>
        <v>246.53546809539205</v>
      </c>
      <c r="E49">
        <f>Raw!E50</f>
        <v>5</v>
      </c>
      <c r="F49">
        <f>Raw!F50</f>
        <v>3.9166666666666665</v>
      </c>
      <c r="G49">
        <f>Raw!G50</f>
        <v>0</v>
      </c>
      <c r="H49" t="str">
        <f>Raw!H50</f>
        <v>AgrIrrg</v>
      </c>
      <c r="I49">
        <f>Raw!I50</f>
        <v>0</v>
      </c>
      <c r="J49">
        <f>Raw!J50</f>
        <v>0</v>
      </c>
      <c r="K49">
        <f>Raw!K50</f>
        <v>0</v>
      </c>
      <c r="L49">
        <f>Raw!L50</f>
        <v>0</v>
      </c>
      <c r="M49">
        <f>Raw!M50</f>
        <v>0</v>
      </c>
      <c r="N49">
        <f>Raw!N50</f>
        <v>0</v>
      </c>
      <c r="O49">
        <f>Raw!O50</f>
        <v>0</v>
      </c>
      <c r="P49">
        <f>Raw!P50</f>
        <v>0</v>
      </c>
      <c r="Q49">
        <f>Raw!Q50</f>
        <v>0</v>
      </c>
    </row>
    <row r="50" spans="1:17">
      <c r="A50" s="722">
        <f>VLOOKUP(Raw!$A51,Weighting!$A$3:$B$15,2,FALSE)</f>
        <v>0.9</v>
      </c>
      <c r="B50" t="str">
        <f>Raw!B51</f>
        <v>Wheel/hand line systems: Replace leaking drain with new drain - Eastern Washington and Oregon</v>
      </c>
      <c r="C50" t="str">
        <f>Raw!C51</f>
        <v>Wheel/hand line systems: Replace leaking drain with new drain - Eastern Washington and Oregon</v>
      </c>
      <c r="D50">
        <f>Raw!D51</f>
        <v>255.51653354332325</v>
      </c>
      <c r="E50">
        <f>Raw!E51</f>
        <v>5</v>
      </c>
      <c r="F50">
        <f>Raw!F51</f>
        <v>13.666666666666666</v>
      </c>
      <c r="G50">
        <f>Raw!G51</f>
        <v>0</v>
      </c>
      <c r="H50" t="str">
        <f>Raw!H51</f>
        <v>AgrIrrg</v>
      </c>
      <c r="I50">
        <f>Raw!I51</f>
        <v>0</v>
      </c>
      <c r="J50">
        <f>Raw!J51</f>
        <v>0</v>
      </c>
      <c r="K50">
        <f>Raw!K51</f>
        <v>0</v>
      </c>
      <c r="L50">
        <f>Raw!L51</f>
        <v>0</v>
      </c>
      <c r="M50">
        <f>Raw!M51</f>
        <v>0</v>
      </c>
      <c r="N50">
        <f>Raw!N51</f>
        <v>0</v>
      </c>
      <c r="O50">
        <f>Raw!O51</f>
        <v>0</v>
      </c>
      <c r="P50">
        <f>Raw!P51</f>
        <v>0</v>
      </c>
      <c r="Q50">
        <f>Raw!Q51</f>
        <v>0</v>
      </c>
    </row>
    <row r="51" spans="1:17">
      <c r="A51" s="722">
        <f>VLOOKUP(Raw!$A52,Weighting!$A$3:$B$15,2,FALSE)</f>
        <v>0.9</v>
      </c>
      <c r="B51" t="str">
        <f>Raw!B52</f>
        <v>Wheel/hand line systems: Cut and pipe press repair of leaking hand-lines, wheel-lines, and portable main-lines - Eastern Washington and Oregon</v>
      </c>
      <c r="C51" t="str">
        <f>Raw!C52</f>
        <v>Wheel/hand line systems: Cut and pipe press repair of leaking hand-lines, wheel-lines, and portable main-lines - Eastern Washington and Oregon</v>
      </c>
      <c r="D51">
        <f>Raw!D52</f>
        <v>122.66955945946599</v>
      </c>
      <c r="E51">
        <f>Raw!E52</f>
        <v>8</v>
      </c>
      <c r="F51">
        <f>Raw!F52</f>
        <v>18</v>
      </c>
      <c r="G51">
        <f>Raw!G52</f>
        <v>0</v>
      </c>
      <c r="H51" t="str">
        <f>Raw!H52</f>
        <v>AgrIrrg</v>
      </c>
      <c r="I51">
        <f>Raw!I52</f>
        <v>0</v>
      </c>
      <c r="J51">
        <f>Raw!J52</f>
        <v>0</v>
      </c>
      <c r="K51">
        <f>Raw!K52</f>
        <v>0</v>
      </c>
      <c r="L51">
        <f>Raw!L52</f>
        <v>0</v>
      </c>
      <c r="M51">
        <f>Raw!M52</f>
        <v>0</v>
      </c>
      <c r="N51">
        <f>Raw!N52</f>
        <v>0</v>
      </c>
      <c r="O51">
        <f>Raw!O52</f>
        <v>0</v>
      </c>
      <c r="P51">
        <f>Raw!P52</f>
        <v>0</v>
      </c>
      <c r="Q51">
        <f>Raw!Q52</f>
        <v>0</v>
      </c>
    </row>
    <row r="52" spans="1:17">
      <c r="A52" s="722">
        <f>VLOOKUP(Raw!$A53,Weighting!$A$3:$B$15,2,FALSE)</f>
        <v>0.9</v>
      </c>
      <c r="B52" t="str">
        <f>Raw!B53</f>
        <v>Thunderbird wheel line systems: Replace leaking hub with new hub - Eastern Washington and Oregon</v>
      </c>
      <c r="C52" t="str">
        <f>Raw!C53</f>
        <v>Thunderbird wheel line systems: Replace leaking hub with new hub - Eastern Washington and Oregon</v>
      </c>
      <c r="D52">
        <f>Raw!D53</f>
        <v>106.15410497467585</v>
      </c>
      <c r="E52">
        <f>Raw!E53</f>
        <v>10</v>
      </c>
      <c r="F52">
        <f>Raw!F53</f>
        <v>50</v>
      </c>
      <c r="G52">
        <f>Raw!G53</f>
        <v>0</v>
      </c>
      <c r="H52" t="str">
        <f>Raw!H53</f>
        <v>AgrIrrg</v>
      </c>
      <c r="I52">
        <f>Raw!I53</f>
        <v>0</v>
      </c>
      <c r="J52">
        <f>Raw!J53</f>
        <v>0</v>
      </c>
      <c r="K52">
        <f>Raw!K53</f>
        <v>0</v>
      </c>
      <c r="L52">
        <f>Raw!L53</f>
        <v>0</v>
      </c>
      <c r="M52">
        <f>Raw!M53</f>
        <v>0</v>
      </c>
      <c r="N52">
        <f>Raw!N53</f>
        <v>0</v>
      </c>
      <c r="O52">
        <f>Raw!O53</f>
        <v>0</v>
      </c>
      <c r="P52">
        <f>Raw!P53</f>
        <v>0</v>
      </c>
      <c r="Q52">
        <f>Raw!Q53</f>
        <v>0</v>
      </c>
    </row>
    <row r="53" spans="1:17">
      <c r="A53" s="722">
        <f>VLOOKUP(Raw!$A54,Weighting!$A$3:$B$15,2,FALSE)</f>
        <v>0.9</v>
      </c>
      <c r="B53" t="str">
        <f>Raw!B54</f>
        <v>Wheel line systems: Rebuild or replace leaking or malfunctioning leveler with new or rebuilt leveler. - Eastern Washington and Oregon</v>
      </c>
      <c r="C53" t="str">
        <f>Raw!C54</f>
        <v>Wheel line systems: Rebuild or replace leaking or malfunctioning leveler with new or rebuilt leveler. - Eastern Washington and Oregon</v>
      </c>
      <c r="D53">
        <f>Raw!D54</f>
        <v>61.134468133938086</v>
      </c>
      <c r="E53">
        <f>Raw!E54</f>
        <v>5</v>
      </c>
      <c r="F53">
        <f>Raw!F54</f>
        <v>3.25</v>
      </c>
      <c r="G53">
        <f>Raw!G54</f>
        <v>0</v>
      </c>
      <c r="H53" t="str">
        <f>Raw!H54</f>
        <v>AgrIrrg</v>
      </c>
      <c r="I53">
        <f>Raw!I54</f>
        <v>0</v>
      </c>
      <c r="J53">
        <f>Raw!J54</f>
        <v>0</v>
      </c>
      <c r="K53">
        <f>Raw!K54</f>
        <v>0</v>
      </c>
      <c r="L53">
        <f>Raw!L54</f>
        <v>0</v>
      </c>
      <c r="M53">
        <f>Raw!M54</f>
        <v>0</v>
      </c>
      <c r="N53">
        <f>Raw!N54</f>
        <v>0</v>
      </c>
      <c r="O53">
        <f>Raw!O54</f>
        <v>0</v>
      </c>
      <c r="P53">
        <f>Raw!P54</f>
        <v>0</v>
      </c>
      <c r="Q53">
        <f>Raw!Q54</f>
        <v>0</v>
      </c>
    </row>
    <row r="54" spans="1:17">
      <c r="A54" s="722">
        <f>VLOOKUP(Raw!$A55,Weighting!$A$3:$B$15,2,FALSE)</f>
        <v>0.9</v>
      </c>
      <c r="B54" t="str">
        <f>Raw!B55</f>
        <v>Center pivot/linear move systems: Install new sprinkler package on an existing system. - Eastern Washington and Oregon</v>
      </c>
      <c r="C54" t="str">
        <f>Raw!C55</f>
        <v>Center pivot/linear move systems: Install new sprinkler package on an existing system. - Eastern Washington and Oregon</v>
      </c>
      <c r="D54">
        <f>Raw!D55</f>
        <v>136.46392559834916</v>
      </c>
      <c r="E54">
        <f>Raw!E55</f>
        <v>5</v>
      </c>
      <c r="F54">
        <f>Raw!F55</f>
        <v>25.53</v>
      </c>
      <c r="G54">
        <f>Raw!G55</f>
        <v>0</v>
      </c>
      <c r="H54" t="str">
        <f>Raw!H55</f>
        <v>AgrIrrg</v>
      </c>
      <c r="I54">
        <f>Raw!I55</f>
        <v>0</v>
      </c>
      <c r="J54">
        <f>Raw!J55</f>
        <v>0</v>
      </c>
      <c r="K54">
        <f>Raw!K55</f>
        <v>0</v>
      </c>
      <c r="L54">
        <f>Raw!L55</f>
        <v>0</v>
      </c>
      <c r="M54">
        <f>Raw!M55</f>
        <v>0</v>
      </c>
      <c r="N54">
        <f>Raw!N55</f>
        <v>0</v>
      </c>
      <c r="O54">
        <f>Raw!O55</f>
        <v>0</v>
      </c>
      <c r="P54">
        <f>Raw!P55</f>
        <v>0</v>
      </c>
      <c r="Q54">
        <f>Raw!Q55</f>
        <v>0</v>
      </c>
    </row>
    <row r="55" spans="1:17">
      <c r="A55" s="722">
        <f>VLOOKUP(Raw!$A56,Weighting!$A$3:$B$15,2,FALSE)</f>
        <v>0.9</v>
      </c>
      <c r="B55" t="str">
        <f>Raw!B56</f>
        <v>Center pivot/linear move systems: New gooseneck elbows - Eastern Washington and Oregon</v>
      </c>
      <c r="C55" t="str">
        <f>Raw!C56</f>
        <v>Center pivot/linear move systems: New gooseneck elbows - Eastern Washington and Oregon</v>
      </c>
      <c r="D55">
        <f>Raw!D56</f>
        <v>10.41699160966445</v>
      </c>
      <c r="E55">
        <f>Raw!E56</f>
        <v>15</v>
      </c>
      <c r="F55">
        <f>Raw!F56</f>
        <v>4.166666666666667</v>
      </c>
      <c r="G55">
        <f>Raw!G56</f>
        <v>0</v>
      </c>
      <c r="H55" t="str">
        <f>Raw!H56</f>
        <v>AgrIrrg</v>
      </c>
      <c r="I55">
        <f>Raw!I56</f>
        <v>0</v>
      </c>
      <c r="J55">
        <f>Raw!J56</f>
        <v>0</v>
      </c>
      <c r="K55">
        <f>Raw!K56</f>
        <v>0</v>
      </c>
      <c r="L55">
        <f>Raw!L56</f>
        <v>0</v>
      </c>
      <c r="M55">
        <f>Raw!M56</f>
        <v>0</v>
      </c>
      <c r="N55">
        <f>Raw!N56</f>
        <v>0</v>
      </c>
      <c r="O55">
        <f>Raw!O56</f>
        <v>0</v>
      </c>
      <c r="P55">
        <f>Raw!P56</f>
        <v>0</v>
      </c>
      <c r="Q55">
        <f>Raw!Q56</f>
        <v>0</v>
      </c>
    </row>
    <row r="56" spans="1:17">
      <c r="A56" s="722">
        <f>VLOOKUP(Raw!$A57,Weighting!$A$3:$B$15,2,FALSE)</f>
        <v>0.9</v>
      </c>
      <c r="B56" t="str">
        <f>Raw!B57</f>
        <v>Center pivot/linear move systems: New drop tubes (3 feet minimum) - Eastern Washington and Oregon</v>
      </c>
      <c r="C56" t="str">
        <f>Raw!C57</f>
        <v>Center pivot/linear move systems: New drop tubes (3 feet minimum) - Eastern Washington and Oregon</v>
      </c>
      <c r="D56">
        <f>Raw!D57</f>
        <v>10.41699160966445</v>
      </c>
      <c r="E56">
        <f>Raw!E57</f>
        <v>10</v>
      </c>
      <c r="F56">
        <f>Raw!F57</f>
        <v>6.5</v>
      </c>
      <c r="G56">
        <f>Raw!G57</f>
        <v>0</v>
      </c>
      <c r="H56" t="str">
        <f>Raw!H57</f>
        <v>AgrIrrg</v>
      </c>
      <c r="I56">
        <f>Raw!I57</f>
        <v>0</v>
      </c>
      <c r="J56">
        <f>Raw!J57</f>
        <v>0</v>
      </c>
      <c r="K56">
        <f>Raw!K57</f>
        <v>0</v>
      </c>
      <c r="L56">
        <f>Raw!L57</f>
        <v>0</v>
      </c>
      <c r="M56">
        <f>Raw!M57</f>
        <v>0</v>
      </c>
      <c r="N56">
        <f>Raw!N57</f>
        <v>0</v>
      </c>
      <c r="O56">
        <f>Raw!O57</f>
        <v>0</v>
      </c>
      <c r="P56">
        <f>Raw!P57</f>
        <v>0</v>
      </c>
      <c r="Q56">
        <f>Raw!Q57</f>
        <v>0</v>
      </c>
    </row>
    <row r="57" spans="1:17">
      <c r="A57" s="722">
        <f>VLOOKUP(Raw!$A58,Weighting!$A$3:$B$15,2,FALSE)</f>
        <v>0.9</v>
      </c>
      <c r="B57" t="str">
        <f>Raw!B58</f>
        <v>Center pivot/linear move systems: Replace leaking pivot boot gasket with new pivot boot gasket - Eastern Washington and Oregon</v>
      </c>
      <c r="C57" t="str">
        <f>Raw!C58</f>
        <v>Center pivot/linear move systems: Replace leaking pivot boot gasket with new pivot boot gasket - Eastern Washington and Oregon</v>
      </c>
      <c r="D57">
        <f>Raw!D58</f>
        <v>1984.1888780313241</v>
      </c>
      <c r="E57">
        <f>Raw!E58</f>
        <v>8</v>
      </c>
      <c r="F57">
        <f>Raw!F58</f>
        <v>250</v>
      </c>
      <c r="G57">
        <f>Raw!G58</f>
        <v>0</v>
      </c>
      <c r="H57" t="str">
        <f>Raw!H58</f>
        <v>AgrIrrg</v>
      </c>
      <c r="I57">
        <f>Raw!I58</f>
        <v>0</v>
      </c>
      <c r="J57">
        <f>Raw!J58</f>
        <v>0</v>
      </c>
      <c r="K57">
        <f>Raw!K58</f>
        <v>0</v>
      </c>
      <c r="L57">
        <f>Raw!L58</f>
        <v>0</v>
      </c>
      <c r="M57">
        <f>Raw!M58</f>
        <v>0</v>
      </c>
      <c r="N57">
        <f>Raw!N58</f>
        <v>0</v>
      </c>
      <c r="O57">
        <f>Raw!O58</f>
        <v>0</v>
      </c>
      <c r="P57">
        <f>Raw!P58</f>
        <v>0</v>
      </c>
      <c r="Q57">
        <f>Raw!Q58</f>
        <v>0</v>
      </c>
    </row>
    <row r="58" spans="1:17">
      <c r="A58" s="722">
        <f>VLOOKUP(Raw!$A59,Weighting!$A$3:$B$15,2,FALSE)</f>
        <v>0.9</v>
      </c>
      <c r="B58" t="str">
        <f>Raw!B59</f>
        <v>Center pivot/linear move systems: Replace leaking tower gasket with new tower gasket - Eastern Washington and Oregon</v>
      </c>
      <c r="C58" t="str">
        <f>Raw!C59</f>
        <v>Center pivot/linear move systems: Replace leaking tower gasket with new tower gasket - Eastern Washington and Oregon</v>
      </c>
      <c r="D58">
        <f>Raw!D59</f>
        <v>49.604721950783102</v>
      </c>
      <c r="E58">
        <f>Raw!E59</f>
        <v>8</v>
      </c>
      <c r="F58">
        <f>Raw!F59</f>
        <v>60</v>
      </c>
      <c r="G58">
        <f>Raw!G59</f>
        <v>0</v>
      </c>
      <c r="H58" t="str">
        <f>Raw!H59</f>
        <v>AgrIrrg</v>
      </c>
      <c r="I58">
        <f>Raw!I59</f>
        <v>0</v>
      </c>
      <c r="J58">
        <f>Raw!J59</f>
        <v>0</v>
      </c>
      <c r="K58">
        <f>Raw!K59</f>
        <v>0</v>
      </c>
      <c r="L58">
        <f>Raw!L59</f>
        <v>0</v>
      </c>
      <c r="M58">
        <f>Raw!M59</f>
        <v>0</v>
      </c>
      <c r="N58">
        <f>Raw!N59</f>
        <v>0</v>
      </c>
      <c r="O58">
        <f>Raw!O59</f>
        <v>0</v>
      </c>
      <c r="P58">
        <f>Raw!P59</f>
        <v>0</v>
      </c>
      <c r="Q58">
        <f>Raw!Q59</f>
        <v>0</v>
      </c>
    </row>
    <row r="59" spans="1:17">
      <c r="A59" s="722">
        <f>VLOOKUP(Raw!$A60,Weighting!$A$3:$B$15,2,FALSE)</f>
        <v>0.2</v>
      </c>
      <c r="B59" t="str">
        <f>Raw!B60</f>
        <v>Wheel/hand line systems: Replace worn nozzle with new flow controlling type nozzle for impact sprinklers - Montana</v>
      </c>
      <c r="C59" t="str">
        <f>Raw!C60</f>
        <v>Wheel/hand line systems: Replace worn nozzle with new flow controlling type nozzle for impact sprinklers - Montana</v>
      </c>
      <c r="D59">
        <f>Raw!D60</f>
        <v>6.025806001900551</v>
      </c>
      <c r="E59">
        <f>Raw!E60</f>
        <v>4</v>
      </c>
      <c r="F59">
        <f>Raw!F60</f>
        <v>5.6666666666666661</v>
      </c>
      <c r="G59">
        <f>Raw!G60</f>
        <v>0</v>
      </c>
      <c r="H59" t="str">
        <f>Raw!H60</f>
        <v>AgrIrrg</v>
      </c>
      <c r="I59">
        <f>Raw!I60</f>
        <v>0</v>
      </c>
      <c r="J59">
        <f>Raw!J60</f>
        <v>0</v>
      </c>
      <c r="K59">
        <f>Raw!K60</f>
        <v>0</v>
      </c>
      <c r="L59">
        <f>Raw!L60</f>
        <v>0</v>
      </c>
      <c r="M59">
        <f>Raw!M60</f>
        <v>0</v>
      </c>
      <c r="N59">
        <f>Raw!N60</f>
        <v>0</v>
      </c>
      <c r="O59">
        <f>Raw!O60</f>
        <v>0</v>
      </c>
      <c r="P59">
        <f>Raw!P60</f>
        <v>0</v>
      </c>
      <c r="Q59">
        <f>Raw!Q60</f>
        <v>0</v>
      </c>
    </row>
    <row r="60" spans="1:17">
      <c r="A60" s="722">
        <f>VLOOKUP(Raw!$A61,Weighting!$A$3:$B$15,2,FALSE)</f>
        <v>0.2</v>
      </c>
      <c r="B60" t="str">
        <f>Raw!B61</f>
        <v>Wheel/hand line systems: Replace worn nozzle with new nozzle - Montana</v>
      </c>
      <c r="C60" t="str">
        <f>Raw!C61</f>
        <v>Wheel/hand line systems: Replace worn nozzle with new nozzle - Montana</v>
      </c>
      <c r="D60">
        <f>Raw!D61</f>
        <v>6.025806001900551</v>
      </c>
      <c r="E60">
        <f>Raw!E61</f>
        <v>4</v>
      </c>
      <c r="F60">
        <f>Raw!F61</f>
        <v>2.1166666666666667</v>
      </c>
      <c r="G60">
        <f>Raw!G61</f>
        <v>0</v>
      </c>
      <c r="H60" t="str">
        <f>Raw!H61</f>
        <v>AgrIrrg</v>
      </c>
      <c r="I60">
        <f>Raw!I61</f>
        <v>0</v>
      </c>
      <c r="J60">
        <f>Raw!J61</f>
        <v>0</v>
      </c>
      <c r="K60">
        <f>Raw!K61</f>
        <v>0</v>
      </c>
      <c r="L60">
        <f>Raw!L61</f>
        <v>0</v>
      </c>
      <c r="M60">
        <f>Raw!M61</f>
        <v>0</v>
      </c>
      <c r="N60">
        <f>Raw!N61</f>
        <v>0</v>
      </c>
      <c r="O60">
        <f>Raw!O61</f>
        <v>0</v>
      </c>
      <c r="P60">
        <f>Raw!P61</f>
        <v>0</v>
      </c>
      <c r="Q60">
        <f>Raw!Q61</f>
        <v>0</v>
      </c>
    </row>
    <row r="61" spans="1:17">
      <c r="A61" s="722">
        <f>VLOOKUP(Raw!$A62,Weighting!$A$3:$B$15,2,FALSE)</f>
        <v>0.2</v>
      </c>
      <c r="B61" t="str">
        <f>Raw!B62</f>
        <v>Wheel/hand line systems: Rebuild or replace leaking impact sprinkler with new or rebuilt impact sprinkler - Montana</v>
      </c>
      <c r="C61" t="str">
        <f>Raw!C62</f>
        <v>Wheel/hand line systems: Rebuild or replace leaking impact sprinkler with new or rebuilt impact sprinkler - Montana</v>
      </c>
      <c r="D61">
        <f>Raw!D62</f>
        <v>5.2972411083004749</v>
      </c>
      <c r="E61">
        <f>Raw!E62</f>
        <v>5</v>
      </c>
      <c r="F61">
        <f>Raw!F62</f>
        <v>12.333333333333332</v>
      </c>
      <c r="G61">
        <f>Raw!G62</f>
        <v>0</v>
      </c>
      <c r="H61" t="str">
        <f>Raw!H62</f>
        <v>AgrIrrg</v>
      </c>
      <c r="I61">
        <f>Raw!I62</f>
        <v>0</v>
      </c>
      <c r="J61">
        <f>Raw!J62</f>
        <v>0</v>
      </c>
      <c r="K61">
        <f>Raw!K62</f>
        <v>0</v>
      </c>
      <c r="L61">
        <f>Raw!L62</f>
        <v>0</v>
      </c>
      <c r="M61">
        <f>Raw!M62</f>
        <v>0</v>
      </c>
      <c r="N61">
        <f>Raw!N62</f>
        <v>0</v>
      </c>
      <c r="O61">
        <f>Raw!O62</f>
        <v>0</v>
      </c>
      <c r="P61">
        <f>Raw!P62</f>
        <v>0</v>
      </c>
      <c r="Q61">
        <f>Raw!Q62</f>
        <v>0</v>
      </c>
    </row>
    <row r="62" spans="1:17">
      <c r="A62" s="722">
        <f>VLOOKUP(Raw!$A63,Weighting!$A$3:$B$15,2,FALSE)</f>
        <v>0.2</v>
      </c>
      <c r="B62" t="str">
        <f>Raw!B63</f>
        <v>Wheel/hand line systems: Replace leaking gasket with new gasket - Montana</v>
      </c>
      <c r="C62" t="str">
        <f>Raw!C63</f>
        <v>Wheel/hand line systems: Replace leaking gasket with new gasket - Montana</v>
      </c>
      <c r="D62">
        <f>Raw!D63</f>
        <v>31.696243909199389</v>
      </c>
      <c r="E62">
        <f>Raw!E63</f>
        <v>5</v>
      </c>
      <c r="F62">
        <f>Raw!F63</f>
        <v>3.9166666666666665</v>
      </c>
      <c r="G62">
        <f>Raw!G63</f>
        <v>0</v>
      </c>
      <c r="H62" t="str">
        <f>Raw!H63</f>
        <v>AgrIrrg</v>
      </c>
      <c r="I62">
        <f>Raw!I63</f>
        <v>0</v>
      </c>
      <c r="J62">
        <f>Raw!J63</f>
        <v>0</v>
      </c>
      <c r="K62">
        <f>Raw!K63</f>
        <v>0</v>
      </c>
      <c r="L62">
        <f>Raw!L63</f>
        <v>0</v>
      </c>
      <c r="M62">
        <f>Raw!M63</f>
        <v>0</v>
      </c>
      <c r="N62">
        <f>Raw!N63</f>
        <v>0</v>
      </c>
      <c r="O62">
        <f>Raw!O63</f>
        <v>0</v>
      </c>
      <c r="P62">
        <f>Raw!P63</f>
        <v>0</v>
      </c>
      <c r="Q62">
        <f>Raw!Q63</f>
        <v>0</v>
      </c>
    </row>
    <row r="63" spans="1:17">
      <c r="A63" s="722">
        <f>VLOOKUP(Raw!$A64,Weighting!$A$3:$B$15,2,FALSE)</f>
        <v>0.2</v>
      </c>
      <c r="B63" t="str">
        <f>Raw!B64</f>
        <v>Wheel/hand line systems: Replace leaking drain with new drain - Montana</v>
      </c>
      <c r="C63" t="str">
        <f>Raw!C64</f>
        <v>Wheel/hand line systems: Replace leaking drain with new drain - Montana</v>
      </c>
      <c r="D63">
        <f>Raw!D64</f>
        <v>32.850909577394283</v>
      </c>
      <c r="E63">
        <f>Raw!E64</f>
        <v>5</v>
      </c>
      <c r="F63">
        <f>Raw!F64</f>
        <v>13.666666666666666</v>
      </c>
      <c r="G63">
        <f>Raw!G64</f>
        <v>0</v>
      </c>
      <c r="H63" t="str">
        <f>Raw!H64</f>
        <v>AgrIrrg</v>
      </c>
      <c r="I63">
        <f>Raw!I64</f>
        <v>0</v>
      </c>
      <c r="J63">
        <f>Raw!J64</f>
        <v>0</v>
      </c>
      <c r="K63">
        <f>Raw!K64</f>
        <v>0</v>
      </c>
      <c r="L63">
        <f>Raw!L64</f>
        <v>0</v>
      </c>
      <c r="M63">
        <f>Raw!M64</f>
        <v>0</v>
      </c>
      <c r="N63">
        <f>Raw!N64</f>
        <v>0</v>
      </c>
      <c r="O63">
        <f>Raw!O64</f>
        <v>0</v>
      </c>
      <c r="P63">
        <f>Raw!P64</f>
        <v>0</v>
      </c>
      <c r="Q63">
        <f>Raw!Q64</f>
        <v>0</v>
      </c>
    </row>
    <row r="64" spans="1:17">
      <c r="A64" s="722">
        <f>VLOOKUP(Raw!$A65,Weighting!$A$3:$B$15,2,FALSE)</f>
        <v>0.2</v>
      </c>
      <c r="B64" t="str">
        <f>Raw!B65</f>
        <v>Wheel/hand line systems: Cut and pipe press repair of leaking hand-lines, wheel-lines, and portable main-lines - Montana</v>
      </c>
      <c r="C64" t="str">
        <f>Raw!C65</f>
        <v>Wheel/hand line systems: Cut and pipe press repair of leaking hand-lines, wheel-lines, and portable main-lines - Montana</v>
      </c>
      <c r="D64">
        <f>Raw!D65</f>
        <v>15.771216640344916</v>
      </c>
      <c r="E64">
        <f>Raw!E65</f>
        <v>8</v>
      </c>
      <c r="F64">
        <f>Raw!F65</f>
        <v>18</v>
      </c>
      <c r="G64">
        <f>Raw!G65</f>
        <v>0</v>
      </c>
      <c r="H64" t="str">
        <f>Raw!H65</f>
        <v>AgrIrrg</v>
      </c>
      <c r="I64">
        <f>Raw!I65</f>
        <v>0</v>
      </c>
      <c r="J64">
        <f>Raw!J65</f>
        <v>0</v>
      </c>
      <c r="K64">
        <f>Raw!K65</f>
        <v>0</v>
      </c>
      <c r="L64">
        <f>Raw!L65</f>
        <v>0</v>
      </c>
      <c r="M64">
        <f>Raw!M65</f>
        <v>0</v>
      </c>
      <c r="N64">
        <f>Raw!N65</f>
        <v>0</v>
      </c>
      <c r="O64">
        <f>Raw!O65</f>
        <v>0</v>
      </c>
      <c r="P64">
        <f>Raw!P65</f>
        <v>0</v>
      </c>
      <c r="Q64">
        <f>Raw!Q65</f>
        <v>0</v>
      </c>
    </row>
    <row r="65" spans="1:106">
      <c r="A65" s="722">
        <f>VLOOKUP(Raw!$A66,Weighting!$A$3:$B$15,2,FALSE)</f>
        <v>0.2</v>
      </c>
      <c r="B65" t="str">
        <f>Raw!B66</f>
        <v>Thunderbird wheel line systems: Replace leaking hub with new hub - Montana</v>
      </c>
      <c r="C65" t="str">
        <f>Raw!C66</f>
        <v>Thunderbird wheel line systems: Replace leaking hub with new hub - Montana</v>
      </c>
      <c r="D65">
        <f>Raw!D66</f>
        <v>13.647879671164318</v>
      </c>
      <c r="E65">
        <f>Raw!E66</f>
        <v>10</v>
      </c>
      <c r="F65">
        <f>Raw!F66</f>
        <v>50</v>
      </c>
      <c r="G65">
        <f>Raw!G66</f>
        <v>0</v>
      </c>
      <c r="H65" t="str">
        <f>Raw!H66</f>
        <v>AgrIrrg</v>
      </c>
      <c r="I65">
        <f>Raw!I66</f>
        <v>0</v>
      </c>
      <c r="J65">
        <f>Raw!J66</f>
        <v>0</v>
      </c>
      <c r="K65">
        <f>Raw!K66</f>
        <v>0</v>
      </c>
      <c r="L65">
        <f>Raw!L66</f>
        <v>0</v>
      </c>
      <c r="M65">
        <f>Raw!M66</f>
        <v>0</v>
      </c>
      <c r="N65">
        <f>Raw!N66</f>
        <v>0</v>
      </c>
      <c r="O65">
        <f>Raw!O66</f>
        <v>0</v>
      </c>
      <c r="P65">
        <f>Raw!P66</f>
        <v>0</v>
      </c>
      <c r="Q65">
        <f>Raw!Q66</f>
        <v>0</v>
      </c>
    </row>
    <row r="66" spans="1:106">
      <c r="A66" s="722">
        <f>VLOOKUP(Raw!$A67,Weighting!$A$3:$B$15,2,FALSE)</f>
        <v>0.2</v>
      </c>
      <c r="B66" t="str">
        <f>Raw!B67</f>
        <v>Wheel line systems: Rebuild or replace leaking or malfunctioning leveler with new or rebuilt leveler. - Montana</v>
      </c>
      <c r="C66" t="str">
        <f>Raw!C67</f>
        <v>Wheel line systems: Rebuild or replace leaking or malfunctioning leveler with new or rebuilt leveler. - Montana</v>
      </c>
      <c r="D66">
        <f>Raw!D67</f>
        <v>7.8598549255505548</v>
      </c>
      <c r="E66">
        <f>Raw!E67</f>
        <v>5</v>
      </c>
      <c r="F66">
        <f>Raw!F67</f>
        <v>3.25</v>
      </c>
      <c r="G66">
        <f>Raw!G67</f>
        <v>0</v>
      </c>
      <c r="H66" t="str">
        <f>Raw!H67</f>
        <v>AgrIrrg</v>
      </c>
      <c r="I66">
        <f>Raw!I67</f>
        <v>0</v>
      </c>
      <c r="J66">
        <f>Raw!J67</f>
        <v>0</v>
      </c>
      <c r="K66">
        <f>Raw!K67</f>
        <v>0</v>
      </c>
      <c r="L66">
        <f>Raw!L67</f>
        <v>0</v>
      </c>
      <c r="M66">
        <f>Raw!M67</f>
        <v>0</v>
      </c>
      <c r="N66">
        <f>Raw!N67</f>
        <v>0</v>
      </c>
      <c r="O66">
        <f>Raw!O67</f>
        <v>0</v>
      </c>
      <c r="P66">
        <f>Raw!P67</f>
        <v>0</v>
      </c>
      <c r="Q66">
        <f>Raw!Q67</f>
        <v>0</v>
      </c>
    </row>
    <row r="67" spans="1:106">
      <c r="A67" s="722">
        <f>VLOOKUP(Raw!$A68,Weighting!$A$3:$B$15,2,FALSE)</f>
        <v>0.2</v>
      </c>
      <c r="B67" t="str">
        <f>Raw!B68</f>
        <v>Center pivot/linear move systems: Install new sprinkler package on an existing system. - Montana</v>
      </c>
      <c r="C67" t="str">
        <f>Raw!C68</f>
        <v>Center pivot/linear move systems: Install new sprinkler package on an existing system. - Montana</v>
      </c>
      <c r="D67">
        <f>Raw!D68</f>
        <v>21.947599640519009</v>
      </c>
      <c r="E67">
        <f>Raw!E68</f>
        <v>5</v>
      </c>
      <c r="F67">
        <f>Raw!F68</f>
        <v>25.53</v>
      </c>
      <c r="G67">
        <f>Raw!G68</f>
        <v>0</v>
      </c>
      <c r="H67" t="str">
        <f>Raw!H68</f>
        <v>AgrIrrg</v>
      </c>
      <c r="I67">
        <f>Raw!I68</f>
        <v>0</v>
      </c>
      <c r="J67">
        <f>Raw!J68</f>
        <v>0</v>
      </c>
      <c r="K67">
        <f>Raw!K68</f>
        <v>0</v>
      </c>
      <c r="L67">
        <f>Raw!L68</f>
        <v>0</v>
      </c>
      <c r="M67">
        <f>Raw!M68</f>
        <v>0</v>
      </c>
      <c r="N67">
        <f>Raw!N68</f>
        <v>0</v>
      </c>
      <c r="O67">
        <f>Raw!O68</f>
        <v>0</v>
      </c>
      <c r="P67">
        <f>Raw!P68</f>
        <v>0</v>
      </c>
      <c r="Q67">
        <f>Raw!Q68</f>
        <v>0</v>
      </c>
    </row>
    <row r="68" spans="1:106">
      <c r="A68" s="722">
        <f>VLOOKUP(Raw!$A69,Weighting!$A$3:$B$15,2,FALSE)</f>
        <v>0.2</v>
      </c>
      <c r="B68" t="str">
        <f>Raw!B69</f>
        <v>Center pivot/linear move systems: New gooseneck elbows - Montana</v>
      </c>
      <c r="C68" t="str">
        <f>Raw!C69</f>
        <v>Center pivot/linear move systems: New gooseneck elbows - Montana</v>
      </c>
      <c r="D68">
        <f>Raw!D69</f>
        <v>1.6753728892460273</v>
      </c>
      <c r="E68">
        <f>Raw!E69</f>
        <v>15</v>
      </c>
      <c r="F68">
        <f>Raw!F69</f>
        <v>4.166666666666667</v>
      </c>
      <c r="G68">
        <f>Raw!G69</f>
        <v>0</v>
      </c>
      <c r="H68" t="str">
        <f>Raw!H69</f>
        <v>AgrIrrg</v>
      </c>
      <c r="I68">
        <f>Raw!I69</f>
        <v>0</v>
      </c>
      <c r="J68">
        <f>Raw!J69</f>
        <v>0</v>
      </c>
      <c r="K68">
        <f>Raw!K69</f>
        <v>0</v>
      </c>
      <c r="L68">
        <f>Raw!L69</f>
        <v>0</v>
      </c>
      <c r="M68">
        <f>Raw!M69</f>
        <v>0</v>
      </c>
      <c r="N68">
        <f>Raw!N69</f>
        <v>0</v>
      </c>
      <c r="O68">
        <f>Raw!O69</f>
        <v>0</v>
      </c>
      <c r="P68">
        <f>Raw!P69</f>
        <v>0</v>
      </c>
      <c r="Q68">
        <f>Raw!Q69</f>
        <v>0</v>
      </c>
    </row>
    <row r="69" spans="1:106">
      <c r="A69" s="722">
        <f>VLOOKUP(Raw!$A70,Weighting!$A$3:$B$15,2,FALSE)</f>
        <v>0.2</v>
      </c>
      <c r="B69" t="str">
        <f>Raw!B70</f>
        <v>Center pivot/linear move systems: New drop tubes (3 feet minimum) - Montana</v>
      </c>
      <c r="C69" t="str">
        <f>Raw!C70</f>
        <v>Center pivot/linear move systems: New drop tubes (3 feet minimum) - Montana</v>
      </c>
      <c r="D69">
        <f>Raw!D70</f>
        <v>1.6753728892460273</v>
      </c>
      <c r="E69">
        <f>Raw!E70</f>
        <v>10</v>
      </c>
      <c r="F69">
        <f>Raw!F70</f>
        <v>6.5</v>
      </c>
      <c r="G69">
        <f>Raw!G70</f>
        <v>0</v>
      </c>
      <c r="H69" t="str">
        <f>Raw!H70</f>
        <v>AgrIrrg</v>
      </c>
      <c r="I69">
        <f>Raw!I70</f>
        <v>0</v>
      </c>
      <c r="J69">
        <f>Raw!J70</f>
        <v>0</v>
      </c>
      <c r="K69">
        <f>Raw!K70</f>
        <v>0</v>
      </c>
      <c r="L69">
        <f>Raw!L70</f>
        <v>0</v>
      </c>
      <c r="M69">
        <f>Raw!M70</f>
        <v>0</v>
      </c>
      <c r="N69">
        <f>Raw!N70</f>
        <v>0</v>
      </c>
      <c r="O69">
        <f>Raw!O70</f>
        <v>0</v>
      </c>
      <c r="P69">
        <f>Raw!P70</f>
        <v>0</v>
      </c>
      <c r="Q69">
        <f>Raw!Q70</f>
        <v>0</v>
      </c>
    </row>
    <row r="70" spans="1:106">
      <c r="A70" s="722">
        <f>VLOOKUP(Raw!$A71,Weighting!$A$3:$B$15,2,FALSE)</f>
        <v>0.2</v>
      </c>
      <c r="B70" t="str">
        <f>Raw!B71</f>
        <v>Center pivot/linear move systems: Replace leaking pivot boot gasket with new pivot boot gasket - Montana</v>
      </c>
      <c r="C70" t="str">
        <f>Raw!C71</f>
        <v>Center pivot/linear move systems: Replace leaking pivot boot gasket with new pivot boot gasket - Montana</v>
      </c>
      <c r="D70">
        <f>Raw!D71</f>
        <v>319.11864557067184</v>
      </c>
      <c r="E70">
        <f>Raw!E71</f>
        <v>8</v>
      </c>
      <c r="F70">
        <f>Raw!F71</f>
        <v>250</v>
      </c>
      <c r="G70">
        <f>Raw!G71</f>
        <v>0</v>
      </c>
      <c r="H70" t="str">
        <f>Raw!H71</f>
        <v>AgrIrrg</v>
      </c>
      <c r="I70">
        <f>Raw!I71</f>
        <v>0</v>
      </c>
      <c r="J70">
        <f>Raw!J71</f>
        <v>0</v>
      </c>
      <c r="K70">
        <f>Raw!K71</f>
        <v>0</v>
      </c>
      <c r="L70">
        <f>Raw!L71</f>
        <v>0</v>
      </c>
      <c r="M70">
        <f>Raw!M71</f>
        <v>0</v>
      </c>
      <c r="N70">
        <f>Raw!N71</f>
        <v>0</v>
      </c>
      <c r="O70">
        <f>Raw!O71</f>
        <v>0</v>
      </c>
      <c r="P70">
        <f>Raw!P71</f>
        <v>0</v>
      </c>
      <c r="Q70">
        <f>Raw!Q71</f>
        <v>0</v>
      </c>
    </row>
    <row r="71" spans="1:106">
      <c r="A71" s="722">
        <f>VLOOKUP(Raw!$A72,Weighting!$A$3:$B$15,2,FALSE)</f>
        <v>0.2</v>
      </c>
      <c r="B71" t="str">
        <f>Raw!B72</f>
        <v>Center pivot/linear move systems: Replace leaking tower gasket with new tower gasket - Montana</v>
      </c>
      <c r="C71" t="str">
        <f>Raw!C72</f>
        <v>Center pivot/linear move systems: Replace leaking tower gasket with new tower gasket - Montana</v>
      </c>
      <c r="D71">
        <f>Raw!D72</f>
        <v>7.9779661392667967</v>
      </c>
      <c r="E71">
        <f>Raw!E72</f>
        <v>8</v>
      </c>
      <c r="F71">
        <f>Raw!F72</f>
        <v>60</v>
      </c>
      <c r="G71">
        <f>Raw!G72</f>
        <v>0</v>
      </c>
      <c r="H71" t="str">
        <f>Raw!H72</f>
        <v>AgrIrrg</v>
      </c>
      <c r="I71">
        <f>Raw!I72</f>
        <v>0</v>
      </c>
      <c r="J71">
        <f>Raw!J72</f>
        <v>0</v>
      </c>
      <c r="K71">
        <f>Raw!K72</f>
        <v>0</v>
      </c>
      <c r="L71">
        <f>Raw!L72</f>
        <v>0</v>
      </c>
      <c r="M71">
        <f>Raw!M72</f>
        <v>0</v>
      </c>
      <c r="N71">
        <f>Raw!N72</f>
        <v>0</v>
      </c>
      <c r="O71">
        <f>Raw!O72</f>
        <v>0</v>
      </c>
      <c r="P71">
        <f>Raw!P72</f>
        <v>0</v>
      </c>
      <c r="Q71">
        <f>Raw!Q72</f>
        <v>0</v>
      </c>
    </row>
    <row r="72" spans="1:106">
      <c r="A72" s="722"/>
    </row>
    <row r="73" spans="1:106">
      <c r="A73" s="722"/>
    </row>
    <row r="74" spans="1:106">
      <c r="A74" s="722"/>
    </row>
    <row r="75" spans="1:106">
      <c r="A75" s="722"/>
    </row>
    <row r="76" spans="1:106">
      <c r="A76" t="s">
        <v>1287</v>
      </c>
    </row>
    <row r="77" spans="1:106" s="7" customFormat="1">
      <c r="B77" s="12" t="s">
        <v>3</v>
      </c>
      <c r="C77" s="13"/>
      <c r="D77" s="13"/>
      <c r="E77" s="13"/>
      <c r="F77" s="13"/>
      <c r="G77" s="13"/>
      <c r="H77" s="14"/>
      <c r="I77" s="72"/>
      <c r="J77" s="830" t="s">
        <v>4</v>
      </c>
      <c r="K77" s="831"/>
      <c r="L77" s="831"/>
      <c r="M77" s="831"/>
      <c r="N77" s="831"/>
      <c r="O77" s="832"/>
      <c r="P77" s="833" t="s">
        <v>5</v>
      </c>
      <c r="Q77" s="834"/>
      <c r="R77" s="16"/>
      <c r="S77" s="17"/>
      <c r="T77" s="17"/>
      <c r="U77" s="17"/>
      <c r="V77" s="17"/>
      <c r="W77" s="17"/>
      <c r="X77" s="17"/>
      <c r="Y77" s="18"/>
      <c r="Z77" s="19"/>
      <c r="AA77" s="17"/>
      <c r="AB77" s="17"/>
      <c r="AC77" s="17"/>
      <c r="AD77" s="17"/>
      <c r="AE77" s="17"/>
      <c r="AF77" s="20"/>
      <c r="AG77" s="20"/>
      <c r="AH77" s="20"/>
      <c r="AI77" s="20"/>
      <c r="AJ77" s="20"/>
      <c r="AK77" s="20"/>
      <c r="AL77" s="20"/>
      <c r="AM77" s="20"/>
      <c r="AN77" s="20"/>
      <c r="AO77" s="20"/>
      <c r="AP77" s="20"/>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row>
    <row r="78" spans="1:106" s="7" customFormat="1" ht="38.25">
      <c r="A78" s="7" t="s">
        <v>1286</v>
      </c>
      <c r="B78" s="73" t="s">
        <v>6</v>
      </c>
      <c r="C78" s="73" t="s">
        <v>7</v>
      </c>
      <c r="D78" s="73" t="s">
        <v>8</v>
      </c>
      <c r="E78" s="73" t="s">
        <v>9</v>
      </c>
      <c r="F78" s="73" t="s">
        <v>10</v>
      </c>
      <c r="G78" s="73" t="s">
        <v>11</v>
      </c>
      <c r="H78" s="74" t="s">
        <v>12</v>
      </c>
      <c r="I78" s="74" t="s">
        <v>13</v>
      </c>
      <c r="J78" s="74" t="s">
        <v>14</v>
      </c>
      <c r="K78" s="74" t="s">
        <v>15</v>
      </c>
      <c r="L78" s="74" t="s">
        <v>16</v>
      </c>
      <c r="M78" s="74" t="s">
        <v>17</v>
      </c>
      <c r="N78" s="74" t="s">
        <v>18</v>
      </c>
      <c r="O78" s="74" t="s">
        <v>19</v>
      </c>
      <c r="P78" s="75" t="s">
        <v>20</v>
      </c>
      <c r="Q78" s="74" t="s">
        <v>12</v>
      </c>
      <c r="R78" s="23"/>
      <c r="S78" s="23"/>
      <c r="T78" s="23"/>
      <c r="U78" s="23"/>
      <c r="V78" s="23"/>
      <c r="W78" s="23"/>
      <c r="X78" s="23"/>
      <c r="Y78" s="23"/>
      <c r="Z78" s="23"/>
      <c r="AA78" s="23"/>
      <c r="AB78" s="23"/>
      <c r="AC78" s="23"/>
      <c r="AD78" s="23"/>
      <c r="AE78" s="23"/>
      <c r="AF78" s="20"/>
      <c r="AG78" s="20"/>
      <c r="AH78" s="20"/>
      <c r="AI78" s="20"/>
      <c r="AJ78" s="20"/>
      <c r="AK78" s="20"/>
      <c r="AL78" s="20"/>
      <c r="AM78" s="20"/>
      <c r="AN78" s="20"/>
      <c r="AO78" s="20"/>
      <c r="AP78" s="20"/>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row>
    <row r="79" spans="1:106">
      <c r="A79" t="s">
        <v>431</v>
      </c>
      <c r="B79" t="str">
        <f>LEFT($B7,FIND(" - ",$B7))</f>
        <v xml:space="preserve">Wheel/hand line systems: Replace worn nozzle with new flow controlling type nozzle for impact sprinklers </v>
      </c>
      <c r="C79" t="str">
        <f>LEFT($C7,FIND(" - ",$C7))</f>
        <v xml:space="preserve">Wheel/hand line systems: Replace worn nozzle with new flow controlling type nozzle for impact sprinklers </v>
      </c>
      <c r="D79">
        <f>A7*D7+A20*D20</f>
        <v>39.911244375646248</v>
      </c>
      <c r="E79">
        <f>E7</f>
        <v>4</v>
      </c>
      <c r="F79">
        <f t="shared" ref="F79:Q79" si="0">F7</f>
        <v>5.6666666666666661</v>
      </c>
      <c r="G79">
        <f t="shared" si="0"/>
        <v>0</v>
      </c>
      <c r="H79" t="str">
        <f t="shared" si="0"/>
        <v>AgrIrrg</v>
      </c>
      <c r="I79">
        <f t="shared" si="0"/>
        <v>0</v>
      </c>
      <c r="J79">
        <f t="shared" si="0"/>
        <v>0</v>
      </c>
      <c r="K79">
        <f t="shared" si="0"/>
        <v>0</v>
      </c>
      <c r="L79">
        <f t="shared" si="0"/>
        <v>0</v>
      </c>
      <c r="M79">
        <f t="shared" si="0"/>
        <v>0</v>
      </c>
      <c r="N79">
        <f t="shared" si="0"/>
        <v>0</v>
      </c>
      <c r="O79">
        <f t="shared" si="0"/>
        <v>0</v>
      </c>
      <c r="P79">
        <f t="shared" si="0"/>
        <v>0</v>
      </c>
      <c r="Q79">
        <f t="shared" si="0"/>
        <v>0</v>
      </c>
    </row>
    <row r="80" spans="1:106">
      <c r="A80" t="s">
        <v>431</v>
      </c>
      <c r="B80" t="str">
        <f t="shared" ref="B80:B130" si="1">LEFT($B8,FIND(" - ",$B8))</f>
        <v xml:space="preserve">Wheel/hand line systems: Replace worn nozzle with new nozzle </v>
      </c>
      <c r="C80" t="str">
        <f t="shared" ref="C80:C130" si="2">LEFT($C8,FIND(" - ",$C8))</f>
        <v xml:space="preserve">Wheel/hand line systems: Replace worn nozzle with new nozzle </v>
      </c>
      <c r="D80">
        <f t="shared" ref="D80:D91" si="3">A8*D8+A21*D21</f>
        <v>39.911244375646248</v>
      </c>
      <c r="E80">
        <f t="shared" ref="E80:Q90" si="4">E8</f>
        <v>4</v>
      </c>
      <c r="F80">
        <f t="shared" si="4"/>
        <v>2.1166666666666667</v>
      </c>
      <c r="G80">
        <f t="shared" si="4"/>
        <v>0</v>
      </c>
      <c r="H80" t="str">
        <f t="shared" si="4"/>
        <v>AgrIrrg</v>
      </c>
      <c r="I80">
        <f t="shared" si="4"/>
        <v>0</v>
      </c>
      <c r="J80">
        <f t="shared" si="4"/>
        <v>0</v>
      </c>
      <c r="K80">
        <f t="shared" si="4"/>
        <v>0</v>
      </c>
      <c r="L80">
        <f t="shared" si="4"/>
        <v>0</v>
      </c>
      <c r="M80">
        <f t="shared" si="4"/>
        <v>0</v>
      </c>
      <c r="N80">
        <f t="shared" si="4"/>
        <v>0</v>
      </c>
      <c r="O80">
        <f t="shared" si="4"/>
        <v>0</v>
      </c>
      <c r="P80">
        <f t="shared" si="4"/>
        <v>0</v>
      </c>
      <c r="Q80">
        <f t="shared" si="4"/>
        <v>0</v>
      </c>
    </row>
    <row r="81" spans="1:17">
      <c r="A81" t="s">
        <v>431</v>
      </c>
      <c r="B81" t="str">
        <f t="shared" si="1"/>
        <v xml:space="preserve">Wheel/hand line systems: Rebuild or replace leaking impact sprinkler with new or rebuilt impact sprinkler </v>
      </c>
      <c r="C81" t="str">
        <f t="shared" si="2"/>
        <v xml:space="preserve">Wheel/hand line systems: Rebuild or replace leaking impact sprinkler with new or rebuilt impact sprinkler </v>
      </c>
      <c r="D81">
        <f t="shared" si="3"/>
        <v>28.352008522066157</v>
      </c>
      <c r="E81">
        <f t="shared" si="4"/>
        <v>5</v>
      </c>
      <c r="F81">
        <f t="shared" si="4"/>
        <v>12.333333333333332</v>
      </c>
      <c r="G81">
        <f t="shared" si="4"/>
        <v>0</v>
      </c>
      <c r="H81" t="str">
        <f t="shared" si="4"/>
        <v>AgrIrrg</v>
      </c>
      <c r="I81">
        <f t="shared" si="4"/>
        <v>0</v>
      </c>
      <c r="J81">
        <f t="shared" si="4"/>
        <v>0</v>
      </c>
      <c r="K81">
        <f t="shared" si="4"/>
        <v>0</v>
      </c>
      <c r="L81">
        <f t="shared" si="4"/>
        <v>0</v>
      </c>
      <c r="M81">
        <f t="shared" si="4"/>
        <v>0</v>
      </c>
      <c r="N81">
        <f t="shared" si="4"/>
        <v>0</v>
      </c>
      <c r="O81">
        <f t="shared" si="4"/>
        <v>0</v>
      </c>
      <c r="P81">
        <f t="shared" si="4"/>
        <v>0</v>
      </c>
      <c r="Q81">
        <f t="shared" si="4"/>
        <v>0</v>
      </c>
    </row>
    <row r="82" spans="1:17">
      <c r="A82" t="s">
        <v>431</v>
      </c>
      <c r="B82" t="str">
        <f t="shared" si="1"/>
        <v xml:space="preserve">Wheel/hand line systems: Replace leaking gasket with new gasket </v>
      </c>
      <c r="C82" t="str">
        <f t="shared" si="2"/>
        <v xml:space="preserve">Wheel/hand line systems: Replace leaking gasket with new gasket </v>
      </c>
      <c r="D82">
        <f t="shared" si="3"/>
        <v>169.64532273657915</v>
      </c>
      <c r="E82">
        <f t="shared" si="4"/>
        <v>5</v>
      </c>
      <c r="F82">
        <f t="shared" si="4"/>
        <v>3.9166666666666665</v>
      </c>
      <c r="G82">
        <f t="shared" si="4"/>
        <v>0</v>
      </c>
      <c r="H82" t="str">
        <f t="shared" si="4"/>
        <v>AgrIrrg</v>
      </c>
      <c r="I82">
        <f t="shared" si="4"/>
        <v>0</v>
      </c>
      <c r="J82">
        <f t="shared" si="4"/>
        <v>0</v>
      </c>
      <c r="K82">
        <f t="shared" si="4"/>
        <v>0</v>
      </c>
      <c r="L82">
        <f t="shared" si="4"/>
        <v>0</v>
      </c>
      <c r="M82">
        <f t="shared" si="4"/>
        <v>0</v>
      </c>
      <c r="N82">
        <f t="shared" si="4"/>
        <v>0</v>
      </c>
      <c r="O82">
        <f t="shared" si="4"/>
        <v>0</v>
      </c>
      <c r="P82">
        <f t="shared" si="4"/>
        <v>0</v>
      </c>
      <c r="Q82">
        <f t="shared" si="4"/>
        <v>0</v>
      </c>
    </row>
    <row r="83" spans="1:17">
      <c r="A83" t="s">
        <v>431</v>
      </c>
      <c r="B83" t="str">
        <f t="shared" si="1"/>
        <v xml:space="preserve">Wheel/hand line systems: Replace leaking drain with new drain </v>
      </c>
      <c r="C83" t="str">
        <f t="shared" si="2"/>
        <v xml:space="preserve">Wheel/hand line systems: Replace leaking drain with new drain </v>
      </c>
      <c r="D83">
        <f t="shared" si="3"/>
        <v>175.8253493193794</v>
      </c>
      <c r="E83">
        <f t="shared" si="4"/>
        <v>5</v>
      </c>
      <c r="F83">
        <f t="shared" si="4"/>
        <v>13.666666666666666</v>
      </c>
      <c r="G83">
        <f t="shared" si="4"/>
        <v>0</v>
      </c>
      <c r="H83" t="str">
        <f t="shared" si="4"/>
        <v>AgrIrrg</v>
      </c>
      <c r="I83">
        <f t="shared" si="4"/>
        <v>0</v>
      </c>
      <c r="J83">
        <f t="shared" si="4"/>
        <v>0</v>
      </c>
      <c r="K83">
        <f t="shared" si="4"/>
        <v>0</v>
      </c>
      <c r="L83">
        <f t="shared" si="4"/>
        <v>0</v>
      </c>
      <c r="M83">
        <f t="shared" si="4"/>
        <v>0</v>
      </c>
      <c r="N83">
        <f t="shared" si="4"/>
        <v>0</v>
      </c>
      <c r="O83">
        <f t="shared" si="4"/>
        <v>0</v>
      </c>
      <c r="P83">
        <f t="shared" si="4"/>
        <v>0</v>
      </c>
      <c r="Q83">
        <f t="shared" si="4"/>
        <v>0</v>
      </c>
    </row>
    <row r="84" spans="1:17">
      <c r="A84" t="s">
        <v>431</v>
      </c>
      <c r="B84" t="str">
        <f t="shared" si="1"/>
        <v xml:space="preserve">Wheel/hand line systems: Cut and pipe press repair of leaking hand-lines, wheel-lines, and portable main-lines </v>
      </c>
      <c r="C84" t="str">
        <f t="shared" si="2"/>
        <v xml:space="preserve">Wheel/hand line systems: Cut and pipe press repair of leaking hand-lines, wheel-lines, and portable main-lines </v>
      </c>
      <c r="D84">
        <f t="shared" si="3"/>
        <v>84.411047080669761</v>
      </c>
      <c r="E84">
        <f t="shared" si="4"/>
        <v>8</v>
      </c>
      <c r="F84">
        <f t="shared" si="4"/>
        <v>18</v>
      </c>
      <c r="G84">
        <f t="shared" si="4"/>
        <v>0</v>
      </c>
      <c r="H84" t="str">
        <f t="shared" si="4"/>
        <v>AgrIrrg</v>
      </c>
      <c r="I84">
        <f t="shared" si="4"/>
        <v>0</v>
      </c>
      <c r="J84">
        <f t="shared" si="4"/>
        <v>0</v>
      </c>
      <c r="K84">
        <f t="shared" si="4"/>
        <v>0</v>
      </c>
      <c r="L84">
        <f t="shared" si="4"/>
        <v>0</v>
      </c>
      <c r="M84">
        <f t="shared" si="4"/>
        <v>0</v>
      </c>
      <c r="N84">
        <f t="shared" si="4"/>
        <v>0</v>
      </c>
      <c r="O84">
        <f t="shared" si="4"/>
        <v>0</v>
      </c>
      <c r="P84">
        <f t="shared" si="4"/>
        <v>0</v>
      </c>
      <c r="Q84">
        <f t="shared" si="4"/>
        <v>0</v>
      </c>
    </row>
    <row r="85" spans="1:17">
      <c r="A85" t="s">
        <v>431</v>
      </c>
      <c r="B85" t="str">
        <f t="shared" si="1"/>
        <v xml:space="preserve">Thunderbird wheel line systems: Replace leaking hub with new hub </v>
      </c>
      <c r="C85" t="str">
        <f t="shared" si="2"/>
        <v xml:space="preserve">Thunderbird wheel line systems: Replace leaking hub with new hub </v>
      </c>
      <c r="D85">
        <f t="shared" si="3"/>
        <v>73.046476993215151</v>
      </c>
      <c r="E85">
        <f t="shared" si="4"/>
        <v>10</v>
      </c>
      <c r="F85">
        <f t="shared" si="4"/>
        <v>50</v>
      </c>
      <c r="G85">
        <f t="shared" si="4"/>
        <v>0</v>
      </c>
      <c r="H85" t="str">
        <f t="shared" si="4"/>
        <v>AgrIrrg</v>
      </c>
      <c r="I85">
        <f t="shared" si="4"/>
        <v>0</v>
      </c>
      <c r="J85">
        <f t="shared" si="4"/>
        <v>0</v>
      </c>
      <c r="K85">
        <f t="shared" si="4"/>
        <v>0</v>
      </c>
      <c r="L85">
        <f t="shared" si="4"/>
        <v>0</v>
      </c>
      <c r="M85">
        <f t="shared" si="4"/>
        <v>0</v>
      </c>
      <c r="N85">
        <f t="shared" si="4"/>
        <v>0</v>
      </c>
      <c r="O85">
        <f t="shared" si="4"/>
        <v>0</v>
      </c>
      <c r="P85">
        <f t="shared" si="4"/>
        <v>0</v>
      </c>
      <c r="Q85">
        <f t="shared" si="4"/>
        <v>0</v>
      </c>
    </row>
    <row r="86" spans="1:17">
      <c r="A86" t="s">
        <v>431</v>
      </c>
      <c r="B86" t="str">
        <f t="shared" si="1"/>
        <v xml:space="preserve">Wheel line systems: Rebuild or replace leaking or malfunctioning leveler with new or rebuilt leveler. </v>
      </c>
      <c r="C86" t="str">
        <f t="shared" si="2"/>
        <v xml:space="preserve">Wheel line systems: Rebuild or replace leaking or malfunctioning leveler with new or rebuilt leveler. </v>
      </c>
      <c r="D86">
        <f t="shared" si="3"/>
        <v>42.067685664190613</v>
      </c>
      <c r="E86">
        <f t="shared" si="4"/>
        <v>5</v>
      </c>
      <c r="F86">
        <f t="shared" si="4"/>
        <v>3.25</v>
      </c>
      <c r="G86">
        <f t="shared" si="4"/>
        <v>0</v>
      </c>
      <c r="H86" t="str">
        <f t="shared" si="4"/>
        <v>AgrIrrg</v>
      </c>
      <c r="I86">
        <f t="shared" si="4"/>
        <v>0</v>
      </c>
      <c r="J86">
        <f t="shared" si="4"/>
        <v>0</v>
      </c>
      <c r="K86">
        <f t="shared" si="4"/>
        <v>0</v>
      </c>
      <c r="L86">
        <f t="shared" si="4"/>
        <v>0</v>
      </c>
      <c r="M86">
        <f t="shared" si="4"/>
        <v>0</v>
      </c>
      <c r="N86">
        <f t="shared" si="4"/>
        <v>0</v>
      </c>
      <c r="O86">
        <f t="shared" si="4"/>
        <v>0</v>
      </c>
      <c r="P86">
        <f t="shared" si="4"/>
        <v>0</v>
      </c>
      <c r="Q86">
        <f t="shared" si="4"/>
        <v>0</v>
      </c>
    </row>
    <row r="87" spans="1:17">
      <c r="A87" t="s">
        <v>431</v>
      </c>
      <c r="B87" t="str">
        <f t="shared" si="1"/>
        <v xml:space="preserve">Center pivot/linear move systems: Install new sprinkler package on an existing system. </v>
      </c>
      <c r="C87" t="str">
        <f t="shared" si="2"/>
        <v xml:space="preserve">Center pivot/linear move systems: Install new sprinkler package on an existing system. </v>
      </c>
      <c r="D87">
        <f t="shared" si="3"/>
        <v>99.411126846675671</v>
      </c>
      <c r="E87">
        <f t="shared" si="4"/>
        <v>5</v>
      </c>
      <c r="F87">
        <f t="shared" si="4"/>
        <v>25.53</v>
      </c>
      <c r="G87">
        <f t="shared" si="4"/>
        <v>0</v>
      </c>
      <c r="H87" t="str">
        <f t="shared" si="4"/>
        <v>AgrIrrg</v>
      </c>
      <c r="I87">
        <f t="shared" si="4"/>
        <v>0</v>
      </c>
      <c r="J87">
        <f t="shared" si="4"/>
        <v>0</v>
      </c>
      <c r="K87">
        <f t="shared" si="4"/>
        <v>0</v>
      </c>
      <c r="L87">
        <f t="shared" si="4"/>
        <v>0</v>
      </c>
      <c r="M87">
        <f t="shared" si="4"/>
        <v>0</v>
      </c>
      <c r="N87">
        <f t="shared" si="4"/>
        <v>0</v>
      </c>
      <c r="O87">
        <f t="shared" si="4"/>
        <v>0</v>
      </c>
      <c r="P87">
        <f t="shared" si="4"/>
        <v>0</v>
      </c>
      <c r="Q87">
        <f t="shared" si="4"/>
        <v>0</v>
      </c>
    </row>
    <row r="88" spans="1:17">
      <c r="A88" t="s">
        <v>431</v>
      </c>
      <c r="B88" t="str">
        <f t="shared" si="1"/>
        <v xml:space="preserve">Center pivot/linear move systems: New gooseneck elbows </v>
      </c>
      <c r="C88" t="str">
        <f t="shared" si="2"/>
        <v xml:space="preserve">Center pivot/linear move systems: New gooseneck elbows </v>
      </c>
      <c r="D88">
        <f t="shared" si="3"/>
        <v>7.5885613705490274</v>
      </c>
      <c r="E88">
        <f t="shared" si="4"/>
        <v>15</v>
      </c>
      <c r="F88">
        <f t="shared" si="4"/>
        <v>4.166666666666667</v>
      </c>
      <c r="G88">
        <f t="shared" si="4"/>
        <v>0</v>
      </c>
      <c r="H88" t="str">
        <f t="shared" si="4"/>
        <v>AgrIrrg</v>
      </c>
      <c r="I88">
        <f t="shared" si="4"/>
        <v>0</v>
      </c>
      <c r="J88">
        <f t="shared" si="4"/>
        <v>0</v>
      </c>
      <c r="K88">
        <f t="shared" si="4"/>
        <v>0</v>
      </c>
      <c r="L88">
        <f t="shared" si="4"/>
        <v>0</v>
      </c>
      <c r="M88">
        <f t="shared" si="4"/>
        <v>0</v>
      </c>
      <c r="N88">
        <f t="shared" si="4"/>
        <v>0</v>
      </c>
      <c r="O88">
        <f t="shared" si="4"/>
        <v>0</v>
      </c>
      <c r="P88">
        <f t="shared" si="4"/>
        <v>0</v>
      </c>
      <c r="Q88">
        <f t="shared" si="4"/>
        <v>0</v>
      </c>
    </row>
    <row r="89" spans="1:17">
      <c r="A89" t="s">
        <v>431</v>
      </c>
      <c r="B89" t="str">
        <f t="shared" si="1"/>
        <v xml:space="preserve">Center pivot/linear move systems: New drop tubes (3 feet minimum) </v>
      </c>
      <c r="C89" t="str">
        <f t="shared" si="2"/>
        <v xml:space="preserve">Center pivot/linear move systems: New drop tubes (3 feet minimum) </v>
      </c>
      <c r="D89">
        <f t="shared" si="3"/>
        <v>7.5885613705490274</v>
      </c>
      <c r="E89">
        <f t="shared" si="4"/>
        <v>10</v>
      </c>
      <c r="F89">
        <f t="shared" si="4"/>
        <v>6.5</v>
      </c>
      <c r="G89">
        <f t="shared" si="4"/>
        <v>0</v>
      </c>
      <c r="H89" t="str">
        <f t="shared" si="4"/>
        <v>AgrIrrg</v>
      </c>
      <c r="I89">
        <f t="shared" si="4"/>
        <v>0</v>
      </c>
      <c r="J89">
        <f t="shared" si="4"/>
        <v>0</v>
      </c>
      <c r="K89">
        <f t="shared" si="4"/>
        <v>0</v>
      </c>
      <c r="L89">
        <f t="shared" si="4"/>
        <v>0</v>
      </c>
      <c r="M89">
        <f t="shared" si="4"/>
        <v>0</v>
      </c>
      <c r="N89">
        <f t="shared" si="4"/>
        <v>0</v>
      </c>
      <c r="O89">
        <f t="shared" si="4"/>
        <v>0</v>
      </c>
      <c r="P89">
        <f t="shared" si="4"/>
        <v>0</v>
      </c>
      <c r="Q89">
        <f t="shared" si="4"/>
        <v>0</v>
      </c>
    </row>
    <row r="90" spans="1:17">
      <c r="A90" t="s">
        <v>431</v>
      </c>
      <c r="B90" t="str">
        <f t="shared" si="1"/>
        <v xml:space="preserve">Center pivot/linear move systems: Replace leaking pivot boot gasket with new pivot boot gasket </v>
      </c>
      <c r="C90" t="str">
        <f t="shared" si="2"/>
        <v xml:space="preserve">Center pivot/linear move systems: Replace leaking pivot boot gasket with new pivot boot gasket </v>
      </c>
      <c r="D90">
        <f t="shared" si="3"/>
        <v>1445.4402610569582</v>
      </c>
      <c r="E90">
        <f t="shared" si="4"/>
        <v>8</v>
      </c>
      <c r="F90">
        <f t="shared" si="4"/>
        <v>250</v>
      </c>
      <c r="G90">
        <f t="shared" si="4"/>
        <v>0</v>
      </c>
      <c r="H90" t="str">
        <f t="shared" si="4"/>
        <v>AgrIrrg</v>
      </c>
      <c r="I90">
        <f t="shared" si="4"/>
        <v>0</v>
      </c>
      <c r="J90">
        <f t="shared" si="4"/>
        <v>0</v>
      </c>
      <c r="K90">
        <f t="shared" si="4"/>
        <v>0</v>
      </c>
      <c r="L90">
        <f t="shared" si="4"/>
        <v>0</v>
      </c>
      <c r="M90">
        <f t="shared" si="4"/>
        <v>0</v>
      </c>
      <c r="N90">
        <f t="shared" si="4"/>
        <v>0</v>
      </c>
      <c r="O90">
        <f t="shared" si="4"/>
        <v>0</v>
      </c>
      <c r="P90">
        <f t="shared" si="4"/>
        <v>0</v>
      </c>
      <c r="Q90">
        <f t="shared" si="4"/>
        <v>0</v>
      </c>
    </row>
    <row r="91" spans="1:17">
      <c r="A91" t="s">
        <v>431</v>
      </c>
      <c r="B91" t="str">
        <f t="shared" si="1"/>
        <v xml:space="preserve">Center pivot/linear move systems: Replace leaking tower gasket with new tower gasket </v>
      </c>
      <c r="C91" t="str">
        <f t="shared" si="2"/>
        <v xml:space="preserve">Center pivot/linear move systems: Replace leaking tower gasket with new tower gasket </v>
      </c>
      <c r="D91">
        <f t="shared" si="3"/>
        <v>36.136006526423948</v>
      </c>
      <c r="E91">
        <f>E19</f>
        <v>8</v>
      </c>
      <c r="F91">
        <f t="shared" ref="F91:Q91" si="5">F19</f>
        <v>60</v>
      </c>
      <c r="G91">
        <f t="shared" si="5"/>
        <v>0</v>
      </c>
      <c r="H91" t="str">
        <f t="shared" si="5"/>
        <v>AgrIrrg</v>
      </c>
      <c r="I91">
        <f t="shared" si="5"/>
        <v>0</v>
      </c>
      <c r="J91">
        <f t="shared" si="5"/>
        <v>0</v>
      </c>
      <c r="K91">
        <f t="shared" si="5"/>
        <v>0</v>
      </c>
      <c r="L91">
        <f t="shared" si="5"/>
        <v>0</v>
      </c>
      <c r="M91">
        <f t="shared" si="5"/>
        <v>0</v>
      </c>
      <c r="N91">
        <f t="shared" si="5"/>
        <v>0</v>
      </c>
      <c r="O91">
        <f t="shared" si="5"/>
        <v>0</v>
      </c>
      <c r="P91">
        <f t="shared" si="5"/>
        <v>0</v>
      </c>
      <c r="Q91">
        <f t="shared" si="5"/>
        <v>0</v>
      </c>
    </row>
    <row r="92" spans="1:17">
      <c r="A92" t="s">
        <v>433</v>
      </c>
      <c r="B92" t="str">
        <f t="shared" si="1"/>
        <v xml:space="preserve">Wheel/hand line systems: Replace worn nozzle with new flow controlling type nozzle for impact sprinklers </v>
      </c>
      <c r="C92" t="str">
        <f t="shared" si="2"/>
        <v xml:space="preserve">Wheel/hand line systems: Replace worn nozzle with new flow controlling type nozzle for impact sprinklers </v>
      </c>
      <c r="D92">
        <f>A46*D46+A33*D33</f>
        <v>44.312617892224161</v>
      </c>
      <c r="E92">
        <f>E79</f>
        <v>4</v>
      </c>
      <c r="F92">
        <f t="shared" ref="F92:Q92" si="6">F79</f>
        <v>5.6666666666666661</v>
      </c>
      <c r="G92">
        <f t="shared" si="6"/>
        <v>0</v>
      </c>
      <c r="H92" t="str">
        <f t="shared" si="6"/>
        <v>AgrIrrg</v>
      </c>
      <c r="I92">
        <f t="shared" si="6"/>
        <v>0</v>
      </c>
      <c r="J92">
        <f t="shared" si="6"/>
        <v>0</v>
      </c>
      <c r="K92">
        <f t="shared" si="6"/>
        <v>0</v>
      </c>
      <c r="L92">
        <f t="shared" si="6"/>
        <v>0</v>
      </c>
      <c r="M92">
        <f t="shared" si="6"/>
        <v>0</v>
      </c>
      <c r="N92">
        <f t="shared" si="6"/>
        <v>0</v>
      </c>
      <c r="O92">
        <f t="shared" si="6"/>
        <v>0</v>
      </c>
      <c r="P92">
        <f t="shared" si="6"/>
        <v>0</v>
      </c>
      <c r="Q92">
        <f t="shared" si="6"/>
        <v>0</v>
      </c>
    </row>
    <row r="93" spans="1:17">
      <c r="A93" t="s">
        <v>433</v>
      </c>
      <c r="B93" t="str">
        <f t="shared" si="1"/>
        <v xml:space="preserve">Wheel/hand line systems: Replace worn nozzle with new nozzle </v>
      </c>
      <c r="C93" t="str">
        <f t="shared" si="2"/>
        <v xml:space="preserve">Wheel/hand line systems: Replace worn nozzle with new nozzle </v>
      </c>
      <c r="D93">
        <f t="shared" ref="D93:D104" si="7">A47*D47+A34*D34</f>
        <v>44.312617892224161</v>
      </c>
      <c r="E93">
        <f t="shared" ref="E93:Q103" si="8">E80</f>
        <v>4</v>
      </c>
      <c r="F93">
        <f t="shared" si="8"/>
        <v>2.1166666666666667</v>
      </c>
      <c r="G93">
        <f t="shared" si="8"/>
        <v>0</v>
      </c>
      <c r="H93" t="str">
        <f t="shared" si="8"/>
        <v>AgrIrrg</v>
      </c>
      <c r="I93">
        <f t="shared" si="8"/>
        <v>0</v>
      </c>
      <c r="J93">
        <f t="shared" si="8"/>
        <v>0</v>
      </c>
      <c r="K93">
        <f t="shared" si="8"/>
        <v>0</v>
      </c>
      <c r="L93">
        <f t="shared" si="8"/>
        <v>0</v>
      </c>
      <c r="M93">
        <f t="shared" si="8"/>
        <v>0</v>
      </c>
      <c r="N93">
        <f t="shared" si="8"/>
        <v>0</v>
      </c>
      <c r="O93">
        <f t="shared" si="8"/>
        <v>0</v>
      </c>
      <c r="P93">
        <f t="shared" si="8"/>
        <v>0</v>
      </c>
      <c r="Q93">
        <f t="shared" si="8"/>
        <v>0</v>
      </c>
    </row>
    <row r="94" spans="1:17">
      <c r="A94" t="s">
        <v>433</v>
      </c>
      <c r="B94" t="str">
        <f t="shared" si="1"/>
        <v xml:space="preserve">Wheel/hand line systems: Rebuild or replace leaking impact sprinkler with new or rebuilt impact sprinkler </v>
      </c>
      <c r="C94" t="str">
        <f t="shared" si="2"/>
        <v xml:space="preserve">Wheel/hand line systems: Rebuild or replace leaking impact sprinkler with new or rebuilt impact sprinkler </v>
      </c>
      <c r="D94">
        <f t="shared" si="7"/>
        <v>38.954891850329261</v>
      </c>
      <c r="E94">
        <f t="shared" si="8"/>
        <v>5</v>
      </c>
      <c r="F94">
        <f t="shared" si="8"/>
        <v>12.333333333333332</v>
      </c>
      <c r="G94">
        <f t="shared" si="8"/>
        <v>0</v>
      </c>
      <c r="H94" t="str">
        <f t="shared" si="8"/>
        <v>AgrIrrg</v>
      </c>
      <c r="I94">
        <f t="shared" si="8"/>
        <v>0</v>
      </c>
      <c r="J94">
        <f t="shared" si="8"/>
        <v>0</v>
      </c>
      <c r="K94">
        <f t="shared" si="8"/>
        <v>0</v>
      </c>
      <c r="L94">
        <f t="shared" si="8"/>
        <v>0</v>
      </c>
      <c r="M94">
        <f t="shared" si="8"/>
        <v>0</v>
      </c>
      <c r="N94">
        <f t="shared" si="8"/>
        <v>0</v>
      </c>
      <c r="O94">
        <f t="shared" si="8"/>
        <v>0</v>
      </c>
      <c r="P94">
        <f t="shared" si="8"/>
        <v>0</v>
      </c>
      <c r="Q94">
        <f t="shared" si="8"/>
        <v>0</v>
      </c>
    </row>
    <row r="95" spans="1:17">
      <c r="A95" t="s">
        <v>433</v>
      </c>
      <c r="B95" t="str">
        <f t="shared" si="1"/>
        <v xml:space="preserve">Wheel/hand line systems: Replace leaking gasket with new gasket </v>
      </c>
      <c r="C95" t="str">
        <f t="shared" si="2"/>
        <v xml:space="preserve">Wheel/hand line systems: Replace leaking gasket with new gasket </v>
      </c>
      <c r="D95">
        <f t="shared" si="7"/>
        <v>233.0880789265525</v>
      </c>
      <c r="E95">
        <f t="shared" si="8"/>
        <v>5</v>
      </c>
      <c r="F95">
        <f t="shared" si="8"/>
        <v>3.9166666666666665</v>
      </c>
      <c r="G95">
        <f t="shared" si="8"/>
        <v>0</v>
      </c>
      <c r="H95" t="str">
        <f t="shared" si="8"/>
        <v>AgrIrrg</v>
      </c>
      <c r="I95">
        <f t="shared" si="8"/>
        <v>0</v>
      </c>
      <c r="J95">
        <f t="shared" si="8"/>
        <v>0</v>
      </c>
      <c r="K95">
        <f t="shared" si="8"/>
        <v>0</v>
      </c>
      <c r="L95">
        <f t="shared" si="8"/>
        <v>0</v>
      </c>
      <c r="M95">
        <f t="shared" si="8"/>
        <v>0</v>
      </c>
      <c r="N95">
        <f t="shared" si="8"/>
        <v>0</v>
      </c>
      <c r="O95">
        <f t="shared" si="8"/>
        <v>0</v>
      </c>
      <c r="P95">
        <f t="shared" si="8"/>
        <v>0</v>
      </c>
      <c r="Q95">
        <f t="shared" si="8"/>
        <v>0</v>
      </c>
    </row>
    <row r="96" spans="1:17">
      <c r="A96" t="s">
        <v>433</v>
      </c>
      <c r="B96" t="str">
        <f t="shared" si="1"/>
        <v xml:space="preserve">Wheel/hand line systems: Replace leaking drain with new drain </v>
      </c>
      <c r="C96" t="str">
        <f t="shared" si="2"/>
        <v xml:space="preserve">Wheel/hand line systems: Replace leaking drain with new drain </v>
      </c>
      <c r="D96">
        <f t="shared" si="7"/>
        <v>241.5792680773238</v>
      </c>
      <c r="E96">
        <f t="shared" si="8"/>
        <v>5</v>
      </c>
      <c r="F96">
        <f t="shared" si="8"/>
        <v>13.666666666666666</v>
      </c>
      <c r="G96">
        <f t="shared" si="8"/>
        <v>0</v>
      </c>
      <c r="H96" t="str">
        <f t="shared" si="8"/>
        <v>AgrIrrg</v>
      </c>
      <c r="I96">
        <f t="shared" si="8"/>
        <v>0</v>
      </c>
      <c r="J96">
        <f t="shared" si="8"/>
        <v>0</v>
      </c>
      <c r="K96">
        <f t="shared" si="8"/>
        <v>0</v>
      </c>
      <c r="L96">
        <f t="shared" si="8"/>
        <v>0</v>
      </c>
      <c r="M96">
        <f t="shared" si="8"/>
        <v>0</v>
      </c>
      <c r="N96">
        <f t="shared" si="8"/>
        <v>0</v>
      </c>
      <c r="O96">
        <f t="shared" si="8"/>
        <v>0</v>
      </c>
      <c r="P96">
        <f t="shared" si="8"/>
        <v>0</v>
      </c>
      <c r="Q96">
        <f t="shared" si="8"/>
        <v>0</v>
      </c>
    </row>
    <row r="97" spans="1:17">
      <c r="A97" t="s">
        <v>433</v>
      </c>
      <c r="B97" t="str">
        <f t="shared" si="1"/>
        <v xml:space="preserve">Wheel/hand line systems: Cut and pipe press repair of leaking hand-lines, wheel-lines, and portable main-lines </v>
      </c>
      <c r="C97" t="str">
        <f t="shared" si="2"/>
        <v xml:space="preserve">Wheel/hand line systems: Cut and pipe press repair of leaking hand-lines, wheel-lines, and portable main-lines </v>
      </c>
      <c r="D97">
        <f t="shared" si="7"/>
        <v>115.97849257985875</v>
      </c>
      <c r="E97">
        <f t="shared" si="8"/>
        <v>8</v>
      </c>
      <c r="F97">
        <f t="shared" si="8"/>
        <v>18</v>
      </c>
      <c r="G97">
        <f t="shared" si="8"/>
        <v>0</v>
      </c>
      <c r="H97" t="str">
        <f t="shared" si="8"/>
        <v>AgrIrrg</v>
      </c>
      <c r="I97">
        <f t="shared" si="8"/>
        <v>0</v>
      </c>
      <c r="J97">
        <f t="shared" si="8"/>
        <v>0</v>
      </c>
      <c r="K97">
        <f t="shared" si="8"/>
        <v>0</v>
      </c>
      <c r="L97">
        <f t="shared" si="8"/>
        <v>0</v>
      </c>
      <c r="M97">
        <f t="shared" si="8"/>
        <v>0</v>
      </c>
      <c r="N97">
        <f t="shared" si="8"/>
        <v>0</v>
      </c>
      <c r="O97">
        <f t="shared" si="8"/>
        <v>0</v>
      </c>
      <c r="P97">
        <f t="shared" si="8"/>
        <v>0</v>
      </c>
      <c r="Q97">
        <f t="shared" si="8"/>
        <v>0</v>
      </c>
    </row>
    <row r="98" spans="1:17">
      <c r="A98" t="s">
        <v>433</v>
      </c>
      <c r="B98" t="str">
        <f t="shared" si="1"/>
        <v xml:space="preserve">Thunderbird wheel line systems: Replace leaking hub with new hub </v>
      </c>
      <c r="C98" t="str">
        <f t="shared" si="2"/>
        <v xml:space="preserve">Thunderbird wheel line systems: Replace leaking hub with new hub </v>
      </c>
      <c r="D98">
        <f t="shared" si="7"/>
        <v>100.36388106696626</v>
      </c>
      <c r="E98">
        <f t="shared" si="8"/>
        <v>10</v>
      </c>
      <c r="F98">
        <f t="shared" si="8"/>
        <v>50</v>
      </c>
      <c r="G98">
        <f t="shared" si="8"/>
        <v>0</v>
      </c>
      <c r="H98" t="str">
        <f t="shared" si="8"/>
        <v>AgrIrrg</v>
      </c>
      <c r="I98">
        <f t="shared" si="8"/>
        <v>0</v>
      </c>
      <c r="J98">
        <f t="shared" si="8"/>
        <v>0</v>
      </c>
      <c r="K98">
        <f t="shared" si="8"/>
        <v>0</v>
      </c>
      <c r="L98">
        <f t="shared" si="8"/>
        <v>0</v>
      </c>
      <c r="M98">
        <f t="shared" si="8"/>
        <v>0</v>
      </c>
      <c r="N98">
        <f t="shared" si="8"/>
        <v>0</v>
      </c>
      <c r="O98">
        <f t="shared" si="8"/>
        <v>0</v>
      </c>
      <c r="P98">
        <f t="shared" si="8"/>
        <v>0</v>
      </c>
      <c r="Q98">
        <f t="shared" si="8"/>
        <v>0</v>
      </c>
    </row>
    <row r="99" spans="1:17">
      <c r="A99" t="s">
        <v>433</v>
      </c>
      <c r="B99" t="str">
        <f t="shared" si="1"/>
        <v xml:space="preserve">Wheel line systems: Rebuild or replace leaking or malfunctioning leveler with new or rebuilt leveler. </v>
      </c>
      <c r="C99" t="str">
        <f t="shared" si="2"/>
        <v xml:space="preserve">Wheel line systems: Rebuild or replace leaking or malfunctioning leveler with new or rebuilt leveler. </v>
      </c>
      <c r="D99">
        <f t="shared" si="7"/>
        <v>57.799860781177827</v>
      </c>
      <c r="E99">
        <f t="shared" si="8"/>
        <v>5</v>
      </c>
      <c r="F99">
        <f t="shared" si="8"/>
        <v>3.25</v>
      </c>
      <c r="G99">
        <f t="shared" si="8"/>
        <v>0</v>
      </c>
      <c r="H99" t="str">
        <f t="shared" si="8"/>
        <v>AgrIrrg</v>
      </c>
      <c r="I99">
        <f t="shared" si="8"/>
        <v>0</v>
      </c>
      <c r="J99">
        <f t="shared" si="8"/>
        <v>0</v>
      </c>
      <c r="K99">
        <f t="shared" si="8"/>
        <v>0</v>
      </c>
      <c r="L99">
        <f t="shared" si="8"/>
        <v>0</v>
      </c>
      <c r="M99">
        <f t="shared" si="8"/>
        <v>0</v>
      </c>
      <c r="N99">
        <f t="shared" si="8"/>
        <v>0</v>
      </c>
      <c r="O99">
        <f t="shared" si="8"/>
        <v>0</v>
      </c>
      <c r="P99">
        <f t="shared" si="8"/>
        <v>0</v>
      </c>
      <c r="Q99">
        <f t="shared" si="8"/>
        <v>0</v>
      </c>
    </row>
    <row r="100" spans="1:17">
      <c r="A100" t="s">
        <v>433</v>
      </c>
      <c r="B100" t="str">
        <f t="shared" si="1"/>
        <v xml:space="preserve">Center pivot/linear move systems: Install new sprinkler package on an existing system. </v>
      </c>
      <c r="C100" t="str">
        <f t="shared" si="2"/>
        <v xml:space="preserve">Center pivot/linear move systems: Install new sprinkler package on an existing system. </v>
      </c>
      <c r="D100">
        <f t="shared" si="7"/>
        <v>129.02043874753014</v>
      </c>
      <c r="E100">
        <f t="shared" si="8"/>
        <v>5</v>
      </c>
      <c r="F100">
        <f t="shared" si="8"/>
        <v>25.53</v>
      </c>
      <c r="G100">
        <f t="shared" si="8"/>
        <v>0</v>
      </c>
      <c r="H100" t="str">
        <f t="shared" si="8"/>
        <v>AgrIrrg</v>
      </c>
      <c r="I100">
        <f t="shared" si="8"/>
        <v>0</v>
      </c>
      <c r="J100">
        <f t="shared" si="8"/>
        <v>0</v>
      </c>
      <c r="K100">
        <f t="shared" si="8"/>
        <v>0</v>
      </c>
      <c r="L100">
        <f t="shared" si="8"/>
        <v>0</v>
      </c>
      <c r="M100">
        <f t="shared" si="8"/>
        <v>0</v>
      </c>
      <c r="N100">
        <f t="shared" si="8"/>
        <v>0</v>
      </c>
      <c r="O100">
        <f t="shared" si="8"/>
        <v>0</v>
      </c>
      <c r="P100">
        <f t="shared" si="8"/>
        <v>0</v>
      </c>
      <c r="Q100">
        <f t="shared" si="8"/>
        <v>0</v>
      </c>
    </row>
    <row r="101" spans="1:17">
      <c r="A101" t="s">
        <v>433</v>
      </c>
      <c r="B101" t="str">
        <f t="shared" si="1"/>
        <v xml:space="preserve">Center pivot/linear move systems: New gooseneck elbows </v>
      </c>
      <c r="C101" t="str">
        <f t="shared" si="2"/>
        <v xml:space="preserve">Center pivot/linear move systems: New gooseneck elbows </v>
      </c>
      <c r="D101">
        <f t="shared" si="7"/>
        <v>9.8487920673191169</v>
      </c>
      <c r="E101">
        <f t="shared" si="8"/>
        <v>15</v>
      </c>
      <c r="F101">
        <f t="shared" si="8"/>
        <v>4.166666666666667</v>
      </c>
      <c r="G101">
        <f t="shared" si="8"/>
        <v>0</v>
      </c>
      <c r="H101" t="str">
        <f t="shared" si="8"/>
        <v>AgrIrrg</v>
      </c>
      <c r="I101">
        <f t="shared" si="8"/>
        <v>0</v>
      </c>
      <c r="J101">
        <f t="shared" si="8"/>
        <v>0</v>
      </c>
      <c r="K101">
        <f t="shared" si="8"/>
        <v>0</v>
      </c>
      <c r="L101">
        <f t="shared" si="8"/>
        <v>0</v>
      </c>
      <c r="M101">
        <f t="shared" si="8"/>
        <v>0</v>
      </c>
      <c r="N101">
        <f t="shared" si="8"/>
        <v>0</v>
      </c>
      <c r="O101">
        <f t="shared" si="8"/>
        <v>0</v>
      </c>
      <c r="P101">
        <f t="shared" si="8"/>
        <v>0</v>
      </c>
      <c r="Q101">
        <f t="shared" si="8"/>
        <v>0</v>
      </c>
    </row>
    <row r="102" spans="1:17">
      <c r="A102" t="s">
        <v>433</v>
      </c>
      <c r="B102" t="str">
        <f t="shared" si="1"/>
        <v xml:space="preserve">Center pivot/linear move systems: New drop tubes (3 feet minimum) </v>
      </c>
      <c r="C102" t="str">
        <f t="shared" si="2"/>
        <v xml:space="preserve">Center pivot/linear move systems: New drop tubes (3 feet minimum) </v>
      </c>
      <c r="D102">
        <f t="shared" si="7"/>
        <v>9.8487920673191169</v>
      </c>
      <c r="E102">
        <f t="shared" si="8"/>
        <v>10</v>
      </c>
      <c r="F102">
        <f t="shared" si="8"/>
        <v>6.5</v>
      </c>
      <c r="G102">
        <f t="shared" si="8"/>
        <v>0</v>
      </c>
      <c r="H102" t="str">
        <f t="shared" si="8"/>
        <v>AgrIrrg</v>
      </c>
      <c r="I102">
        <f t="shared" si="8"/>
        <v>0</v>
      </c>
      <c r="J102">
        <f t="shared" si="8"/>
        <v>0</v>
      </c>
      <c r="K102">
        <f t="shared" si="8"/>
        <v>0</v>
      </c>
      <c r="L102">
        <f t="shared" si="8"/>
        <v>0</v>
      </c>
      <c r="M102">
        <f t="shared" si="8"/>
        <v>0</v>
      </c>
      <c r="N102">
        <f t="shared" si="8"/>
        <v>0</v>
      </c>
      <c r="O102">
        <f t="shared" si="8"/>
        <v>0</v>
      </c>
      <c r="P102">
        <f t="shared" si="8"/>
        <v>0</v>
      </c>
      <c r="Q102">
        <f t="shared" si="8"/>
        <v>0</v>
      </c>
    </row>
    <row r="103" spans="1:17">
      <c r="A103" t="s">
        <v>433</v>
      </c>
      <c r="B103" t="str">
        <f t="shared" si="1"/>
        <v xml:space="preserve">Center pivot/linear move systems: Replace leaking pivot boot gasket with new pivot boot gasket </v>
      </c>
      <c r="C103" t="str">
        <f t="shared" si="2"/>
        <v xml:space="preserve">Center pivot/linear move systems: Replace leaking pivot boot gasket with new pivot boot gasket </v>
      </c>
      <c r="D103">
        <f t="shared" si="7"/>
        <v>1875.9603937750701</v>
      </c>
      <c r="E103">
        <f t="shared" si="8"/>
        <v>8</v>
      </c>
      <c r="F103">
        <f t="shared" si="8"/>
        <v>250</v>
      </c>
      <c r="G103">
        <f t="shared" si="8"/>
        <v>0</v>
      </c>
      <c r="H103" t="str">
        <f t="shared" si="8"/>
        <v>AgrIrrg</v>
      </c>
      <c r="I103">
        <f t="shared" si="8"/>
        <v>0</v>
      </c>
      <c r="J103">
        <f t="shared" si="8"/>
        <v>0</v>
      </c>
      <c r="K103">
        <f t="shared" si="8"/>
        <v>0</v>
      </c>
      <c r="L103">
        <f t="shared" si="8"/>
        <v>0</v>
      </c>
      <c r="M103">
        <f t="shared" si="8"/>
        <v>0</v>
      </c>
      <c r="N103">
        <f t="shared" si="8"/>
        <v>0</v>
      </c>
      <c r="O103">
        <f t="shared" si="8"/>
        <v>0</v>
      </c>
      <c r="P103">
        <f t="shared" si="8"/>
        <v>0</v>
      </c>
      <c r="Q103">
        <f t="shared" si="8"/>
        <v>0</v>
      </c>
    </row>
    <row r="104" spans="1:17">
      <c r="A104" t="s">
        <v>433</v>
      </c>
      <c r="B104" t="str">
        <f t="shared" si="1"/>
        <v xml:space="preserve">Center pivot/linear move systems: Replace leaking tower gasket with new tower gasket </v>
      </c>
      <c r="C104" t="str">
        <f t="shared" si="2"/>
        <v xml:space="preserve">Center pivot/linear move systems: Replace leaking tower gasket with new tower gasket </v>
      </c>
      <c r="D104">
        <f t="shared" si="7"/>
        <v>46.899009844376749</v>
      </c>
      <c r="E104">
        <f>E91</f>
        <v>8</v>
      </c>
      <c r="F104">
        <f t="shared" ref="F104:Q104" si="9">F91</f>
        <v>60</v>
      </c>
      <c r="G104">
        <f t="shared" si="9"/>
        <v>0</v>
      </c>
      <c r="H104" t="str">
        <f t="shared" si="9"/>
        <v>AgrIrrg</v>
      </c>
      <c r="I104">
        <f t="shared" si="9"/>
        <v>0</v>
      </c>
      <c r="J104">
        <f t="shared" si="9"/>
        <v>0</v>
      </c>
      <c r="K104">
        <f t="shared" si="9"/>
        <v>0</v>
      </c>
      <c r="L104">
        <f t="shared" si="9"/>
        <v>0</v>
      </c>
      <c r="M104">
        <f t="shared" si="9"/>
        <v>0</v>
      </c>
      <c r="N104">
        <f t="shared" si="9"/>
        <v>0</v>
      </c>
      <c r="O104">
        <f t="shared" si="9"/>
        <v>0</v>
      </c>
      <c r="P104">
        <f t="shared" si="9"/>
        <v>0</v>
      </c>
      <c r="Q104">
        <f t="shared" si="9"/>
        <v>0</v>
      </c>
    </row>
    <row r="105" spans="1:17">
      <c r="A105" t="s">
        <v>432</v>
      </c>
      <c r="B105" t="str">
        <f t="shared" si="1"/>
        <v xml:space="preserve">Wheel/hand line systems: Replace worn nozzle with new flow controlling type nozzle for impact sprinklers </v>
      </c>
      <c r="C105" t="str">
        <f t="shared" si="2"/>
        <v xml:space="preserve">Wheel/hand line systems: Replace worn nozzle with new flow controlling type nozzle for impact sprinklers </v>
      </c>
      <c r="D105">
        <f>A46*D46+A33*D33</f>
        <v>44.312617892224161</v>
      </c>
      <c r="E105">
        <f>E92</f>
        <v>4</v>
      </c>
      <c r="F105">
        <f t="shared" ref="F105:Q105" si="10">F92</f>
        <v>5.6666666666666661</v>
      </c>
      <c r="G105">
        <f t="shared" si="10"/>
        <v>0</v>
      </c>
      <c r="H105" t="str">
        <f t="shared" si="10"/>
        <v>AgrIrrg</v>
      </c>
      <c r="I105">
        <f t="shared" si="10"/>
        <v>0</v>
      </c>
      <c r="J105">
        <f t="shared" si="10"/>
        <v>0</v>
      </c>
      <c r="K105">
        <f t="shared" si="10"/>
        <v>0</v>
      </c>
      <c r="L105">
        <f t="shared" si="10"/>
        <v>0</v>
      </c>
      <c r="M105">
        <f t="shared" si="10"/>
        <v>0</v>
      </c>
      <c r="N105">
        <f t="shared" si="10"/>
        <v>0</v>
      </c>
      <c r="O105">
        <f t="shared" si="10"/>
        <v>0</v>
      </c>
      <c r="P105">
        <f t="shared" si="10"/>
        <v>0</v>
      </c>
      <c r="Q105">
        <f t="shared" si="10"/>
        <v>0</v>
      </c>
    </row>
    <row r="106" spans="1:17">
      <c r="A106" t="s">
        <v>432</v>
      </c>
      <c r="B106" t="str">
        <f t="shared" si="1"/>
        <v xml:space="preserve">Wheel/hand line systems: Replace worn nozzle with new nozzle </v>
      </c>
      <c r="C106" t="str">
        <f t="shared" si="2"/>
        <v xml:space="preserve">Wheel/hand line systems: Replace worn nozzle with new nozzle </v>
      </c>
      <c r="D106">
        <f t="shared" ref="D106:D117" si="11">A47*D47+A34*D34</f>
        <v>44.312617892224161</v>
      </c>
      <c r="E106">
        <f t="shared" ref="E106:Q130" si="12">E93</f>
        <v>4</v>
      </c>
      <c r="F106">
        <f t="shared" si="12"/>
        <v>2.1166666666666667</v>
      </c>
      <c r="G106">
        <f t="shared" si="12"/>
        <v>0</v>
      </c>
      <c r="H106" t="str">
        <f t="shared" si="12"/>
        <v>AgrIrrg</v>
      </c>
      <c r="I106">
        <f t="shared" si="12"/>
        <v>0</v>
      </c>
      <c r="J106">
        <f t="shared" si="12"/>
        <v>0</v>
      </c>
      <c r="K106">
        <f t="shared" si="12"/>
        <v>0</v>
      </c>
      <c r="L106">
        <f t="shared" si="12"/>
        <v>0</v>
      </c>
      <c r="M106">
        <f t="shared" si="12"/>
        <v>0</v>
      </c>
      <c r="N106">
        <f t="shared" si="12"/>
        <v>0</v>
      </c>
      <c r="O106">
        <f t="shared" si="12"/>
        <v>0</v>
      </c>
      <c r="P106">
        <f t="shared" si="12"/>
        <v>0</v>
      </c>
      <c r="Q106">
        <f t="shared" si="12"/>
        <v>0</v>
      </c>
    </row>
    <row r="107" spans="1:17">
      <c r="A107" t="s">
        <v>432</v>
      </c>
      <c r="B107" t="str">
        <f t="shared" si="1"/>
        <v xml:space="preserve">Wheel/hand line systems: Rebuild or replace leaking impact sprinkler with new or rebuilt impact sprinkler </v>
      </c>
      <c r="C107" t="str">
        <f t="shared" si="2"/>
        <v xml:space="preserve">Wheel/hand line systems: Rebuild or replace leaking impact sprinkler with new or rebuilt impact sprinkler </v>
      </c>
      <c r="D107">
        <f t="shared" si="11"/>
        <v>38.954891850329261</v>
      </c>
      <c r="E107">
        <f t="shared" si="12"/>
        <v>5</v>
      </c>
      <c r="F107">
        <f t="shared" si="12"/>
        <v>12.333333333333332</v>
      </c>
      <c r="G107">
        <f t="shared" si="12"/>
        <v>0</v>
      </c>
      <c r="H107" t="str">
        <f t="shared" si="12"/>
        <v>AgrIrrg</v>
      </c>
      <c r="I107">
        <f t="shared" si="12"/>
        <v>0</v>
      </c>
      <c r="J107">
        <f t="shared" si="12"/>
        <v>0</v>
      </c>
      <c r="K107">
        <f t="shared" si="12"/>
        <v>0</v>
      </c>
      <c r="L107">
        <f t="shared" si="12"/>
        <v>0</v>
      </c>
      <c r="M107">
        <f t="shared" si="12"/>
        <v>0</v>
      </c>
      <c r="N107">
        <f t="shared" si="12"/>
        <v>0</v>
      </c>
      <c r="O107">
        <f t="shared" si="12"/>
        <v>0</v>
      </c>
      <c r="P107">
        <f t="shared" si="12"/>
        <v>0</v>
      </c>
      <c r="Q107">
        <f t="shared" si="12"/>
        <v>0</v>
      </c>
    </row>
    <row r="108" spans="1:17">
      <c r="A108" t="s">
        <v>432</v>
      </c>
      <c r="B108" t="str">
        <f t="shared" si="1"/>
        <v xml:space="preserve">Wheel/hand line systems: Replace leaking gasket with new gasket </v>
      </c>
      <c r="C108" t="str">
        <f t="shared" si="2"/>
        <v xml:space="preserve">Wheel/hand line systems: Replace leaking gasket with new gasket </v>
      </c>
      <c r="D108">
        <f>A49*D49+A36*D36</f>
        <v>233.0880789265525</v>
      </c>
      <c r="E108">
        <f t="shared" si="12"/>
        <v>5</v>
      </c>
      <c r="F108">
        <f t="shared" si="12"/>
        <v>3.9166666666666665</v>
      </c>
      <c r="G108">
        <f t="shared" si="12"/>
        <v>0</v>
      </c>
      <c r="H108" t="str">
        <f t="shared" si="12"/>
        <v>AgrIrrg</v>
      </c>
      <c r="I108">
        <f t="shared" si="12"/>
        <v>0</v>
      </c>
      <c r="J108">
        <f t="shared" si="12"/>
        <v>0</v>
      </c>
      <c r="K108">
        <f t="shared" si="12"/>
        <v>0</v>
      </c>
      <c r="L108">
        <f t="shared" si="12"/>
        <v>0</v>
      </c>
      <c r="M108">
        <f t="shared" si="12"/>
        <v>0</v>
      </c>
      <c r="N108">
        <f t="shared" si="12"/>
        <v>0</v>
      </c>
      <c r="O108">
        <f t="shared" si="12"/>
        <v>0</v>
      </c>
      <c r="P108">
        <f t="shared" si="12"/>
        <v>0</v>
      </c>
      <c r="Q108">
        <f t="shared" si="12"/>
        <v>0</v>
      </c>
    </row>
    <row r="109" spans="1:17">
      <c r="A109" t="s">
        <v>432</v>
      </c>
      <c r="B109" t="str">
        <f t="shared" si="1"/>
        <v xml:space="preserve">Wheel/hand line systems: Replace leaking drain with new drain </v>
      </c>
      <c r="C109" t="str">
        <f t="shared" si="2"/>
        <v xml:space="preserve">Wheel/hand line systems: Replace leaking drain with new drain </v>
      </c>
      <c r="D109">
        <f t="shared" si="11"/>
        <v>241.5792680773238</v>
      </c>
      <c r="E109">
        <f t="shared" si="12"/>
        <v>5</v>
      </c>
      <c r="F109">
        <f t="shared" si="12"/>
        <v>13.666666666666666</v>
      </c>
      <c r="G109">
        <f t="shared" si="12"/>
        <v>0</v>
      </c>
      <c r="H109" t="str">
        <f t="shared" si="12"/>
        <v>AgrIrrg</v>
      </c>
      <c r="I109">
        <f t="shared" si="12"/>
        <v>0</v>
      </c>
      <c r="J109">
        <f t="shared" si="12"/>
        <v>0</v>
      </c>
      <c r="K109">
        <f t="shared" si="12"/>
        <v>0</v>
      </c>
      <c r="L109">
        <f t="shared" si="12"/>
        <v>0</v>
      </c>
      <c r="M109">
        <f t="shared" si="12"/>
        <v>0</v>
      </c>
      <c r="N109">
        <f t="shared" si="12"/>
        <v>0</v>
      </c>
      <c r="O109">
        <f t="shared" si="12"/>
        <v>0</v>
      </c>
      <c r="P109">
        <f t="shared" si="12"/>
        <v>0</v>
      </c>
      <c r="Q109">
        <f t="shared" si="12"/>
        <v>0</v>
      </c>
    </row>
    <row r="110" spans="1:17">
      <c r="A110" t="s">
        <v>432</v>
      </c>
      <c r="B110" t="str">
        <f t="shared" si="1"/>
        <v xml:space="preserve">Wheel/hand line systems: Cut and pipe press repair of leaking hand-lines, wheel-lines, and portable main-lines </v>
      </c>
      <c r="C110" t="str">
        <f t="shared" si="2"/>
        <v xml:space="preserve">Wheel/hand line systems: Cut and pipe press repair of leaking hand-lines, wheel-lines, and portable main-lines </v>
      </c>
      <c r="D110">
        <f t="shared" si="11"/>
        <v>115.97849257985875</v>
      </c>
      <c r="E110">
        <f t="shared" si="12"/>
        <v>8</v>
      </c>
      <c r="F110">
        <f t="shared" si="12"/>
        <v>18</v>
      </c>
      <c r="G110">
        <f t="shared" si="12"/>
        <v>0</v>
      </c>
      <c r="H110" t="str">
        <f t="shared" si="12"/>
        <v>AgrIrrg</v>
      </c>
      <c r="I110">
        <f t="shared" si="12"/>
        <v>0</v>
      </c>
      <c r="J110">
        <f t="shared" si="12"/>
        <v>0</v>
      </c>
      <c r="K110">
        <f t="shared" si="12"/>
        <v>0</v>
      </c>
      <c r="L110">
        <f t="shared" si="12"/>
        <v>0</v>
      </c>
      <c r="M110">
        <f t="shared" si="12"/>
        <v>0</v>
      </c>
      <c r="N110">
        <f t="shared" si="12"/>
        <v>0</v>
      </c>
      <c r="O110">
        <f t="shared" si="12"/>
        <v>0</v>
      </c>
      <c r="P110">
        <f t="shared" si="12"/>
        <v>0</v>
      </c>
      <c r="Q110">
        <f t="shared" si="12"/>
        <v>0</v>
      </c>
    </row>
    <row r="111" spans="1:17">
      <c r="A111" t="s">
        <v>432</v>
      </c>
      <c r="B111" t="str">
        <f t="shared" si="1"/>
        <v xml:space="preserve">Thunderbird wheel line systems: Replace leaking hub with new hub </v>
      </c>
      <c r="C111" t="str">
        <f t="shared" si="2"/>
        <v xml:space="preserve">Thunderbird wheel line systems: Replace leaking hub with new hub </v>
      </c>
      <c r="D111">
        <f t="shared" si="11"/>
        <v>100.36388106696626</v>
      </c>
      <c r="E111">
        <f t="shared" si="12"/>
        <v>10</v>
      </c>
      <c r="F111">
        <f t="shared" si="12"/>
        <v>50</v>
      </c>
      <c r="G111">
        <f t="shared" si="12"/>
        <v>0</v>
      </c>
      <c r="H111" t="str">
        <f t="shared" si="12"/>
        <v>AgrIrrg</v>
      </c>
      <c r="I111">
        <f t="shared" si="12"/>
        <v>0</v>
      </c>
      <c r="J111">
        <f t="shared" si="12"/>
        <v>0</v>
      </c>
      <c r="K111">
        <f t="shared" si="12"/>
        <v>0</v>
      </c>
      <c r="L111">
        <f t="shared" si="12"/>
        <v>0</v>
      </c>
      <c r="M111">
        <f t="shared" si="12"/>
        <v>0</v>
      </c>
      <c r="N111">
        <f t="shared" si="12"/>
        <v>0</v>
      </c>
      <c r="O111">
        <f t="shared" si="12"/>
        <v>0</v>
      </c>
      <c r="P111">
        <f t="shared" si="12"/>
        <v>0</v>
      </c>
      <c r="Q111">
        <f t="shared" si="12"/>
        <v>0</v>
      </c>
    </row>
    <row r="112" spans="1:17">
      <c r="A112" t="s">
        <v>432</v>
      </c>
      <c r="B112" t="str">
        <f t="shared" si="1"/>
        <v xml:space="preserve">Wheel line systems: Rebuild or replace leaking or malfunctioning leveler with new or rebuilt leveler. </v>
      </c>
      <c r="C112" t="str">
        <f t="shared" si="2"/>
        <v xml:space="preserve">Wheel line systems: Rebuild or replace leaking or malfunctioning leveler with new or rebuilt leveler. </v>
      </c>
      <c r="D112">
        <f t="shared" si="11"/>
        <v>57.799860781177827</v>
      </c>
      <c r="E112">
        <f t="shared" si="12"/>
        <v>5</v>
      </c>
      <c r="F112">
        <f t="shared" si="12"/>
        <v>3.25</v>
      </c>
      <c r="G112">
        <f t="shared" si="12"/>
        <v>0</v>
      </c>
      <c r="H112" t="str">
        <f t="shared" si="12"/>
        <v>AgrIrrg</v>
      </c>
      <c r="I112">
        <f t="shared" si="12"/>
        <v>0</v>
      </c>
      <c r="J112">
        <f t="shared" si="12"/>
        <v>0</v>
      </c>
      <c r="K112">
        <f t="shared" si="12"/>
        <v>0</v>
      </c>
      <c r="L112">
        <f t="shared" si="12"/>
        <v>0</v>
      </c>
      <c r="M112">
        <f t="shared" si="12"/>
        <v>0</v>
      </c>
      <c r="N112">
        <f t="shared" si="12"/>
        <v>0</v>
      </c>
      <c r="O112">
        <f t="shared" si="12"/>
        <v>0</v>
      </c>
      <c r="P112">
        <f t="shared" si="12"/>
        <v>0</v>
      </c>
      <c r="Q112">
        <f t="shared" si="12"/>
        <v>0</v>
      </c>
    </row>
    <row r="113" spans="1:17">
      <c r="A113" t="s">
        <v>432</v>
      </c>
      <c r="B113" t="str">
        <f t="shared" si="1"/>
        <v xml:space="preserve">Center pivot/linear move systems: Install new sprinkler package on an existing system. </v>
      </c>
      <c r="C113" t="str">
        <f t="shared" si="2"/>
        <v xml:space="preserve">Center pivot/linear move systems: Install new sprinkler package on an existing system. </v>
      </c>
      <c r="D113">
        <f t="shared" si="11"/>
        <v>129.02043874753014</v>
      </c>
      <c r="E113">
        <f t="shared" si="12"/>
        <v>5</v>
      </c>
      <c r="F113">
        <f t="shared" si="12"/>
        <v>25.53</v>
      </c>
      <c r="G113">
        <f t="shared" si="12"/>
        <v>0</v>
      </c>
      <c r="H113" t="str">
        <f t="shared" si="12"/>
        <v>AgrIrrg</v>
      </c>
      <c r="I113">
        <f t="shared" si="12"/>
        <v>0</v>
      </c>
      <c r="J113">
        <f t="shared" si="12"/>
        <v>0</v>
      </c>
      <c r="K113">
        <f t="shared" si="12"/>
        <v>0</v>
      </c>
      <c r="L113">
        <f t="shared" si="12"/>
        <v>0</v>
      </c>
      <c r="M113">
        <f t="shared" si="12"/>
        <v>0</v>
      </c>
      <c r="N113">
        <f t="shared" si="12"/>
        <v>0</v>
      </c>
      <c r="O113">
        <f t="shared" si="12"/>
        <v>0</v>
      </c>
      <c r="P113">
        <f t="shared" si="12"/>
        <v>0</v>
      </c>
      <c r="Q113">
        <f t="shared" si="12"/>
        <v>0</v>
      </c>
    </row>
    <row r="114" spans="1:17">
      <c r="A114" t="s">
        <v>432</v>
      </c>
      <c r="B114" t="str">
        <f t="shared" si="1"/>
        <v xml:space="preserve">Center pivot/linear move systems: New gooseneck elbows </v>
      </c>
      <c r="C114" t="str">
        <f t="shared" si="2"/>
        <v xml:space="preserve">Center pivot/linear move systems: New gooseneck elbows </v>
      </c>
      <c r="D114">
        <f t="shared" si="11"/>
        <v>9.8487920673191169</v>
      </c>
      <c r="E114">
        <f t="shared" si="12"/>
        <v>15</v>
      </c>
      <c r="F114">
        <f t="shared" si="12"/>
        <v>4.166666666666667</v>
      </c>
      <c r="G114">
        <f t="shared" si="12"/>
        <v>0</v>
      </c>
      <c r="H114" t="str">
        <f t="shared" si="12"/>
        <v>AgrIrrg</v>
      </c>
      <c r="I114">
        <f t="shared" si="12"/>
        <v>0</v>
      </c>
      <c r="J114">
        <f t="shared" si="12"/>
        <v>0</v>
      </c>
      <c r="K114">
        <f t="shared" si="12"/>
        <v>0</v>
      </c>
      <c r="L114">
        <f t="shared" si="12"/>
        <v>0</v>
      </c>
      <c r="M114">
        <f t="shared" si="12"/>
        <v>0</v>
      </c>
      <c r="N114">
        <f t="shared" si="12"/>
        <v>0</v>
      </c>
      <c r="O114">
        <f t="shared" si="12"/>
        <v>0</v>
      </c>
      <c r="P114">
        <f t="shared" si="12"/>
        <v>0</v>
      </c>
      <c r="Q114">
        <f t="shared" si="12"/>
        <v>0</v>
      </c>
    </row>
    <row r="115" spans="1:17">
      <c r="A115" t="s">
        <v>432</v>
      </c>
      <c r="B115" t="str">
        <f t="shared" si="1"/>
        <v xml:space="preserve">Center pivot/linear move systems: New drop tubes (3 feet minimum) </v>
      </c>
      <c r="C115" t="str">
        <f t="shared" si="2"/>
        <v xml:space="preserve">Center pivot/linear move systems: New drop tubes (3 feet minimum) </v>
      </c>
      <c r="D115">
        <f t="shared" si="11"/>
        <v>9.8487920673191169</v>
      </c>
      <c r="E115">
        <f t="shared" si="12"/>
        <v>10</v>
      </c>
      <c r="F115">
        <f t="shared" si="12"/>
        <v>6.5</v>
      </c>
      <c r="G115">
        <f t="shared" si="12"/>
        <v>0</v>
      </c>
      <c r="H115" t="str">
        <f t="shared" si="12"/>
        <v>AgrIrrg</v>
      </c>
      <c r="I115">
        <f t="shared" si="12"/>
        <v>0</v>
      </c>
      <c r="J115">
        <f t="shared" si="12"/>
        <v>0</v>
      </c>
      <c r="K115">
        <f t="shared" si="12"/>
        <v>0</v>
      </c>
      <c r="L115">
        <f t="shared" si="12"/>
        <v>0</v>
      </c>
      <c r="M115">
        <f t="shared" si="12"/>
        <v>0</v>
      </c>
      <c r="N115">
        <f t="shared" si="12"/>
        <v>0</v>
      </c>
      <c r="O115">
        <f t="shared" si="12"/>
        <v>0</v>
      </c>
      <c r="P115">
        <f t="shared" si="12"/>
        <v>0</v>
      </c>
      <c r="Q115">
        <f t="shared" si="12"/>
        <v>0</v>
      </c>
    </row>
    <row r="116" spans="1:17">
      <c r="A116" t="s">
        <v>432</v>
      </c>
      <c r="B116" t="str">
        <f t="shared" si="1"/>
        <v xml:space="preserve">Center pivot/linear move systems: Replace leaking pivot boot gasket with new pivot boot gasket </v>
      </c>
      <c r="C116" t="str">
        <f t="shared" si="2"/>
        <v xml:space="preserve">Center pivot/linear move systems: Replace leaking pivot boot gasket with new pivot boot gasket </v>
      </c>
      <c r="D116">
        <f t="shared" si="11"/>
        <v>1875.9603937750701</v>
      </c>
      <c r="E116">
        <f t="shared" si="12"/>
        <v>8</v>
      </c>
      <c r="F116">
        <f t="shared" si="12"/>
        <v>250</v>
      </c>
      <c r="G116">
        <f t="shared" si="12"/>
        <v>0</v>
      </c>
      <c r="H116" t="str">
        <f t="shared" si="12"/>
        <v>AgrIrrg</v>
      </c>
      <c r="I116">
        <f t="shared" si="12"/>
        <v>0</v>
      </c>
      <c r="J116">
        <f t="shared" si="12"/>
        <v>0</v>
      </c>
      <c r="K116">
        <f t="shared" si="12"/>
        <v>0</v>
      </c>
      <c r="L116">
        <f t="shared" si="12"/>
        <v>0</v>
      </c>
      <c r="M116">
        <f t="shared" si="12"/>
        <v>0</v>
      </c>
      <c r="N116">
        <f t="shared" si="12"/>
        <v>0</v>
      </c>
      <c r="O116">
        <f t="shared" si="12"/>
        <v>0</v>
      </c>
      <c r="P116">
        <f t="shared" si="12"/>
        <v>0</v>
      </c>
      <c r="Q116">
        <f t="shared" si="12"/>
        <v>0</v>
      </c>
    </row>
    <row r="117" spans="1:17">
      <c r="A117" t="s">
        <v>432</v>
      </c>
      <c r="B117" t="str">
        <f t="shared" si="1"/>
        <v xml:space="preserve">Center pivot/linear move systems: Replace leaking tower gasket with new tower gasket </v>
      </c>
      <c r="C117" t="str">
        <f t="shared" si="2"/>
        <v xml:space="preserve">Center pivot/linear move systems: Replace leaking tower gasket with new tower gasket </v>
      </c>
      <c r="D117">
        <f t="shared" si="11"/>
        <v>46.899009844376749</v>
      </c>
      <c r="E117">
        <f t="shared" si="12"/>
        <v>8</v>
      </c>
      <c r="F117">
        <f t="shared" si="12"/>
        <v>60</v>
      </c>
      <c r="G117">
        <f t="shared" si="12"/>
        <v>0</v>
      </c>
      <c r="H117" t="str">
        <f t="shared" si="12"/>
        <v>AgrIrrg</v>
      </c>
      <c r="I117">
        <f t="shared" si="12"/>
        <v>0</v>
      </c>
      <c r="J117">
        <f t="shared" si="12"/>
        <v>0</v>
      </c>
      <c r="K117">
        <f t="shared" si="12"/>
        <v>0</v>
      </c>
      <c r="L117">
        <f t="shared" si="12"/>
        <v>0</v>
      </c>
      <c r="M117">
        <f t="shared" si="12"/>
        <v>0</v>
      </c>
      <c r="N117">
        <f t="shared" si="12"/>
        <v>0</v>
      </c>
      <c r="O117">
        <f t="shared" si="12"/>
        <v>0</v>
      </c>
      <c r="P117">
        <f t="shared" si="12"/>
        <v>0</v>
      </c>
      <c r="Q117">
        <f t="shared" si="12"/>
        <v>0</v>
      </c>
    </row>
    <row r="118" spans="1:17">
      <c r="A118" t="s">
        <v>149</v>
      </c>
      <c r="B118" t="str">
        <f t="shared" si="1"/>
        <v xml:space="preserve">Wheel/hand line systems: Replace worn nozzle with new flow controlling type nozzle for impact sprinklers </v>
      </c>
      <c r="C118" t="str">
        <f t="shared" si="2"/>
        <v xml:space="preserve">Wheel/hand line systems: Replace worn nozzle with new flow controlling type nozzle for impact sprinklers </v>
      </c>
      <c r="D118">
        <f>D59</f>
        <v>6.025806001900551</v>
      </c>
      <c r="E118">
        <f t="shared" si="12"/>
        <v>4</v>
      </c>
      <c r="F118">
        <f t="shared" si="12"/>
        <v>5.6666666666666661</v>
      </c>
      <c r="G118">
        <f t="shared" si="12"/>
        <v>0</v>
      </c>
      <c r="H118" t="str">
        <f t="shared" si="12"/>
        <v>AgrIrrg</v>
      </c>
      <c r="I118">
        <f t="shared" si="12"/>
        <v>0</v>
      </c>
      <c r="J118">
        <f t="shared" si="12"/>
        <v>0</v>
      </c>
      <c r="K118">
        <f t="shared" si="12"/>
        <v>0</v>
      </c>
      <c r="L118">
        <f t="shared" si="12"/>
        <v>0</v>
      </c>
      <c r="M118">
        <f t="shared" si="12"/>
        <v>0</v>
      </c>
      <c r="N118">
        <f t="shared" si="12"/>
        <v>0</v>
      </c>
      <c r="O118">
        <f t="shared" si="12"/>
        <v>0</v>
      </c>
      <c r="P118">
        <f t="shared" si="12"/>
        <v>0</v>
      </c>
      <c r="Q118">
        <f t="shared" si="12"/>
        <v>0</v>
      </c>
    </row>
    <row r="119" spans="1:17">
      <c r="A119" t="s">
        <v>149</v>
      </c>
      <c r="B119" t="str">
        <f t="shared" si="1"/>
        <v xml:space="preserve">Wheel/hand line systems: Replace worn nozzle with new nozzle </v>
      </c>
      <c r="C119" t="str">
        <f t="shared" si="2"/>
        <v xml:space="preserve">Wheel/hand line systems: Replace worn nozzle with new nozzle </v>
      </c>
      <c r="D119">
        <f t="shared" ref="D119:D130" si="13">D60</f>
        <v>6.025806001900551</v>
      </c>
      <c r="E119">
        <f t="shared" si="12"/>
        <v>4</v>
      </c>
      <c r="F119">
        <f t="shared" si="12"/>
        <v>2.1166666666666667</v>
      </c>
      <c r="G119">
        <f t="shared" si="12"/>
        <v>0</v>
      </c>
      <c r="H119" t="str">
        <f t="shared" si="12"/>
        <v>AgrIrrg</v>
      </c>
      <c r="I119">
        <f t="shared" si="12"/>
        <v>0</v>
      </c>
      <c r="J119">
        <f t="shared" si="12"/>
        <v>0</v>
      </c>
      <c r="K119">
        <f t="shared" si="12"/>
        <v>0</v>
      </c>
      <c r="L119">
        <f t="shared" si="12"/>
        <v>0</v>
      </c>
      <c r="M119">
        <f t="shared" si="12"/>
        <v>0</v>
      </c>
      <c r="N119">
        <f t="shared" si="12"/>
        <v>0</v>
      </c>
      <c r="O119">
        <f t="shared" si="12"/>
        <v>0</v>
      </c>
      <c r="P119">
        <f t="shared" si="12"/>
        <v>0</v>
      </c>
      <c r="Q119">
        <f t="shared" si="12"/>
        <v>0</v>
      </c>
    </row>
    <row r="120" spans="1:17">
      <c r="A120" t="s">
        <v>149</v>
      </c>
      <c r="B120" t="str">
        <f t="shared" si="1"/>
        <v xml:space="preserve">Wheel/hand line systems: Rebuild or replace leaking impact sprinkler with new or rebuilt impact sprinkler </v>
      </c>
      <c r="C120" t="str">
        <f t="shared" si="2"/>
        <v xml:space="preserve">Wheel/hand line systems: Rebuild or replace leaking impact sprinkler with new or rebuilt impact sprinkler </v>
      </c>
      <c r="D120">
        <f t="shared" si="13"/>
        <v>5.2972411083004749</v>
      </c>
      <c r="E120">
        <f t="shared" si="12"/>
        <v>5</v>
      </c>
      <c r="F120">
        <f t="shared" si="12"/>
        <v>12.333333333333332</v>
      </c>
      <c r="G120">
        <f t="shared" si="12"/>
        <v>0</v>
      </c>
      <c r="H120" t="str">
        <f t="shared" si="12"/>
        <v>AgrIrrg</v>
      </c>
      <c r="I120">
        <f t="shared" si="12"/>
        <v>0</v>
      </c>
      <c r="J120">
        <f t="shared" si="12"/>
        <v>0</v>
      </c>
      <c r="K120">
        <f t="shared" si="12"/>
        <v>0</v>
      </c>
      <c r="L120">
        <f t="shared" si="12"/>
        <v>0</v>
      </c>
      <c r="M120">
        <f t="shared" si="12"/>
        <v>0</v>
      </c>
      <c r="N120">
        <f t="shared" si="12"/>
        <v>0</v>
      </c>
      <c r="O120">
        <f t="shared" si="12"/>
        <v>0</v>
      </c>
      <c r="P120">
        <f t="shared" si="12"/>
        <v>0</v>
      </c>
      <c r="Q120">
        <f t="shared" si="12"/>
        <v>0</v>
      </c>
    </row>
    <row r="121" spans="1:17">
      <c r="A121" t="s">
        <v>149</v>
      </c>
      <c r="B121" t="str">
        <f t="shared" si="1"/>
        <v xml:space="preserve">Wheel/hand line systems: Replace leaking gasket with new gasket </v>
      </c>
      <c r="C121" t="str">
        <f t="shared" si="2"/>
        <v xml:space="preserve">Wheel/hand line systems: Replace leaking gasket with new gasket </v>
      </c>
      <c r="D121">
        <f t="shared" si="13"/>
        <v>31.696243909199389</v>
      </c>
      <c r="E121">
        <f t="shared" si="12"/>
        <v>5</v>
      </c>
      <c r="F121">
        <f t="shared" si="12"/>
        <v>3.9166666666666665</v>
      </c>
      <c r="G121">
        <f t="shared" si="12"/>
        <v>0</v>
      </c>
      <c r="H121" t="str">
        <f t="shared" si="12"/>
        <v>AgrIrrg</v>
      </c>
      <c r="I121">
        <f t="shared" si="12"/>
        <v>0</v>
      </c>
      <c r="J121">
        <f t="shared" si="12"/>
        <v>0</v>
      </c>
      <c r="K121">
        <f t="shared" si="12"/>
        <v>0</v>
      </c>
      <c r="L121">
        <f t="shared" si="12"/>
        <v>0</v>
      </c>
      <c r="M121">
        <f t="shared" si="12"/>
        <v>0</v>
      </c>
      <c r="N121">
        <f t="shared" si="12"/>
        <v>0</v>
      </c>
      <c r="O121">
        <f t="shared" si="12"/>
        <v>0</v>
      </c>
      <c r="P121">
        <f t="shared" si="12"/>
        <v>0</v>
      </c>
      <c r="Q121">
        <f t="shared" si="12"/>
        <v>0</v>
      </c>
    </row>
    <row r="122" spans="1:17">
      <c r="A122" t="s">
        <v>149</v>
      </c>
      <c r="B122" t="str">
        <f t="shared" si="1"/>
        <v xml:space="preserve">Wheel/hand line systems: Replace leaking drain with new drain </v>
      </c>
      <c r="C122" t="str">
        <f t="shared" si="2"/>
        <v xml:space="preserve">Wheel/hand line systems: Replace leaking drain with new drain </v>
      </c>
      <c r="D122">
        <f t="shared" si="13"/>
        <v>32.850909577394283</v>
      </c>
      <c r="E122">
        <f t="shared" si="12"/>
        <v>5</v>
      </c>
      <c r="F122">
        <f t="shared" si="12"/>
        <v>13.666666666666666</v>
      </c>
      <c r="G122">
        <f t="shared" si="12"/>
        <v>0</v>
      </c>
      <c r="H122" t="str">
        <f t="shared" si="12"/>
        <v>AgrIrrg</v>
      </c>
      <c r="I122">
        <f t="shared" si="12"/>
        <v>0</v>
      </c>
      <c r="J122">
        <f t="shared" si="12"/>
        <v>0</v>
      </c>
      <c r="K122">
        <f t="shared" si="12"/>
        <v>0</v>
      </c>
      <c r="L122">
        <f t="shared" si="12"/>
        <v>0</v>
      </c>
      <c r="M122">
        <f t="shared" si="12"/>
        <v>0</v>
      </c>
      <c r="N122">
        <f t="shared" si="12"/>
        <v>0</v>
      </c>
      <c r="O122">
        <f t="shared" si="12"/>
        <v>0</v>
      </c>
      <c r="P122">
        <f t="shared" si="12"/>
        <v>0</v>
      </c>
      <c r="Q122">
        <f t="shared" si="12"/>
        <v>0</v>
      </c>
    </row>
    <row r="123" spans="1:17">
      <c r="A123" t="s">
        <v>149</v>
      </c>
      <c r="B123" t="str">
        <f t="shared" si="1"/>
        <v xml:space="preserve">Wheel/hand line systems: Cut and pipe press repair of leaking hand-lines, wheel-lines, and portable main-lines </v>
      </c>
      <c r="C123" t="str">
        <f t="shared" si="2"/>
        <v xml:space="preserve">Wheel/hand line systems: Cut and pipe press repair of leaking hand-lines, wheel-lines, and portable main-lines </v>
      </c>
      <c r="D123">
        <f t="shared" si="13"/>
        <v>15.771216640344916</v>
      </c>
      <c r="E123">
        <f t="shared" si="12"/>
        <v>8</v>
      </c>
      <c r="F123">
        <f t="shared" si="12"/>
        <v>18</v>
      </c>
      <c r="G123">
        <f t="shared" si="12"/>
        <v>0</v>
      </c>
      <c r="H123" t="str">
        <f t="shared" si="12"/>
        <v>AgrIrrg</v>
      </c>
      <c r="I123">
        <f t="shared" si="12"/>
        <v>0</v>
      </c>
      <c r="J123">
        <f t="shared" si="12"/>
        <v>0</v>
      </c>
      <c r="K123">
        <f t="shared" si="12"/>
        <v>0</v>
      </c>
      <c r="L123">
        <f t="shared" si="12"/>
        <v>0</v>
      </c>
      <c r="M123">
        <f t="shared" si="12"/>
        <v>0</v>
      </c>
      <c r="N123">
        <f t="shared" si="12"/>
        <v>0</v>
      </c>
      <c r="O123">
        <f t="shared" si="12"/>
        <v>0</v>
      </c>
      <c r="P123">
        <f t="shared" si="12"/>
        <v>0</v>
      </c>
      <c r="Q123">
        <f t="shared" si="12"/>
        <v>0</v>
      </c>
    </row>
    <row r="124" spans="1:17">
      <c r="A124" t="s">
        <v>149</v>
      </c>
      <c r="B124" t="str">
        <f t="shared" si="1"/>
        <v xml:space="preserve">Thunderbird wheel line systems: Replace leaking hub with new hub </v>
      </c>
      <c r="C124" t="str">
        <f t="shared" si="2"/>
        <v xml:space="preserve">Thunderbird wheel line systems: Replace leaking hub with new hub </v>
      </c>
      <c r="D124">
        <f t="shared" si="13"/>
        <v>13.647879671164318</v>
      </c>
      <c r="E124">
        <f t="shared" si="12"/>
        <v>10</v>
      </c>
      <c r="F124">
        <f t="shared" si="12"/>
        <v>50</v>
      </c>
      <c r="G124">
        <f t="shared" si="12"/>
        <v>0</v>
      </c>
      <c r="H124" t="str">
        <f t="shared" si="12"/>
        <v>AgrIrrg</v>
      </c>
      <c r="I124">
        <f t="shared" si="12"/>
        <v>0</v>
      </c>
      <c r="J124">
        <f t="shared" si="12"/>
        <v>0</v>
      </c>
      <c r="K124">
        <f t="shared" si="12"/>
        <v>0</v>
      </c>
      <c r="L124">
        <f t="shared" si="12"/>
        <v>0</v>
      </c>
      <c r="M124">
        <f t="shared" si="12"/>
        <v>0</v>
      </c>
      <c r="N124">
        <f t="shared" si="12"/>
        <v>0</v>
      </c>
      <c r="O124">
        <f t="shared" si="12"/>
        <v>0</v>
      </c>
      <c r="P124">
        <f t="shared" si="12"/>
        <v>0</v>
      </c>
      <c r="Q124">
        <f t="shared" si="12"/>
        <v>0</v>
      </c>
    </row>
    <row r="125" spans="1:17">
      <c r="A125" t="s">
        <v>149</v>
      </c>
      <c r="B125" t="str">
        <f t="shared" si="1"/>
        <v xml:space="preserve">Wheel line systems: Rebuild or replace leaking or malfunctioning leveler with new or rebuilt leveler. </v>
      </c>
      <c r="C125" t="str">
        <f t="shared" si="2"/>
        <v xml:space="preserve">Wheel line systems: Rebuild or replace leaking or malfunctioning leveler with new or rebuilt leveler. </v>
      </c>
      <c r="D125">
        <f t="shared" si="13"/>
        <v>7.8598549255505548</v>
      </c>
      <c r="E125">
        <f t="shared" si="12"/>
        <v>5</v>
      </c>
      <c r="F125">
        <f t="shared" si="12"/>
        <v>3.25</v>
      </c>
      <c r="G125">
        <f t="shared" si="12"/>
        <v>0</v>
      </c>
      <c r="H125" t="str">
        <f t="shared" ref="F125:Q130" si="14">H112</f>
        <v>AgrIrrg</v>
      </c>
      <c r="I125">
        <f t="shared" si="14"/>
        <v>0</v>
      </c>
      <c r="J125">
        <f t="shared" si="14"/>
        <v>0</v>
      </c>
      <c r="K125">
        <f t="shared" si="14"/>
        <v>0</v>
      </c>
      <c r="L125">
        <f t="shared" si="14"/>
        <v>0</v>
      </c>
      <c r="M125">
        <f t="shared" si="14"/>
        <v>0</v>
      </c>
      <c r="N125">
        <f t="shared" si="14"/>
        <v>0</v>
      </c>
      <c r="O125">
        <f t="shared" si="14"/>
        <v>0</v>
      </c>
      <c r="P125">
        <f t="shared" si="14"/>
        <v>0</v>
      </c>
      <c r="Q125">
        <f t="shared" si="14"/>
        <v>0</v>
      </c>
    </row>
    <row r="126" spans="1:17">
      <c r="A126" t="s">
        <v>149</v>
      </c>
      <c r="B126" t="str">
        <f t="shared" si="1"/>
        <v xml:space="preserve">Center pivot/linear move systems: Install new sprinkler package on an existing system. </v>
      </c>
      <c r="C126" t="str">
        <f t="shared" si="2"/>
        <v xml:space="preserve">Center pivot/linear move systems: Install new sprinkler package on an existing system. </v>
      </c>
      <c r="D126">
        <f t="shared" si="13"/>
        <v>21.947599640519009</v>
      </c>
      <c r="E126">
        <f t="shared" si="12"/>
        <v>5</v>
      </c>
      <c r="F126">
        <f t="shared" si="14"/>
        <v>25.53</v>
      </c>
      <c r="G126">
        <f t="shared" si="14"/>
        <v>0</v>
      </c>
      <c r="H126" t="str">
        <f t="shared" si="14"/>
        <v>AgrIrrg</v>
      </c>
      <c r="I126">
        <f t="shared" si="14"/>
        <v>0</v>
      </c>
      <c r="J126">
        <f t="shared" si="14"/>
        <v>0</v>
      </c>
      <c r="K126">
        <f t="shared" si="14"/>
        <v>0</v>
      </c>
      <c r="L126">
        <f t="shared" si="14"/>
        <v>0</v>
      </c>
      <c r="M126">
        <f t="shared" si="14"/>
        <v>0</v>
      </c>
      <c r="N126">
        <f t="shared" si="14"/>
        <v>0</v>
      </c>
      <c r="O126">
        <f t="shared" si="14"/>
        <v>0</v>
      </c>
      <c r="P126">
        <f t="shared" si="14"/>
        <v>0</v>
      </c>
      <c r="Q126">
        <f t="shared" si="14"/>
        <v>0</v>
      </c>
    </row>
    <row r="127" spans="1:17">
      <c r="A127" t="s">
        <v>149</v>
      </c>
      <c r="B127" t="str">
        <f t="shared" si="1"/>
        <v xml:space="preserve">Center pivot/linear move systems: New gooseneck elbows </v>
      </c>
      <c r="C127" t="str">
        <f t="shared" si="2"/>
        <v xml:space="preserve">Center pivot/linear move systems: New gooseneck elbows </v>
      </c>
      <c r="D127">
        <f t="shared" si="13"/>
        <v>1.6753728892460273</v>
      </c>
      <c r="E127">
        <f t="shared" si="12"/>
        <v>15</v>
      </c>
      <c r="F127">
        <f t="shared" si="14"/>
        <v>4.166666666666667</v>
      </c>
      <c r="G127">
        <f t="shared" si="14"/>
        <v>0</v>
      </c>
      <c r="H127" t="str">
        <f t="shared" si="14"/>
        <v>AgrIrrg</v>
      </c>
      <c r="I127">
        <f t="shared" si="14"/>
        <v>0</v>
      </c>
      <c r="J127">
        <f t="shared" si="14"/>
        <v>0</v>
      </c>
      <c r="K127">
        <f t="shared" si="14"/>
        <v>0</v>
      </c>
      <c r="L127">
        <f t="shared" si="14"/>
        <v>0</v>
      </c>
      <c r="M127">
        <f t="shared" si="14"/>
        <v>0</v>
      </c>
      <c r="N127">
        <f t="shared" si="14"/>
        <v>0</v>
      </c>
      <c r="O127">
        <f t="shared" si="14"/>
        <v>0</v>
      </c>
      <c r="P127">
        <f t="shared" si="14"/>
        <v>0</v>
      </c>
      <c r="Q127">
        <f t="shared" si="14"/>
        <v>0</v>
      </c>
    </row>
    <row r="128" spans="1:17">
      <c r="A128" t="s">
        <v>149</v>
      </c>
      <c r="B128" t="str">
        <f t="shared" si="1"/>
        <v xml:space="preserve">Center pivot/linear move systems: New drop tubes (3 feet minimum) </v>
      </c>
      <c r="C128" t="str">
        <f t="shared" si="2"/>
        <v xml:space="preserve">Center pivot/linear move systems: New drop tubes (3 feet minimum) </v>
      </c>
      <c r="D128">
        <f t="shared" si="13"/>
        <v>1.6753728892460273</v>
      </c>
      <c r="E128">
        <f t="shared" si="12"/>
        <v>10</v>
      </c>
      <c r="F128">
        <f t="shared" si="14"/>
        <v>6.5</v>
      </c>
      <c r="G128">
        <f t="shared" si="14"/>
        <v>0</v>
      </c>
      <c r="H128" t="str">
        <f t="shared" si="14"/>
        <v>AgrIrrg</v>
      </c>
      <c r="I128">
        <f t="shared" si="14"/>
        <v>0</v>
      </c>
      <c r="J128">
        <f t="shared" si="14"/>
        <v>0</v>
      </c>
      <c r="K128">
        <f t="shared" si="14"/>
        <v>0</v>
      </c>
      <c r="L128">
        <f t="shared" si="14"/>
        <v>0</v>
      </c>
      <c r="M128">
        <f t="shared" si="14"/>
        <v>0</v>
      </c>
      <c r="N128">
        <f t="shared" si="14"/>
        <v>0</v>
      </c>
      <c r="O128">
        <f t="shared" si="14"/>
        <v>0</v>
      </c>
      <c r="P128">
        <f t="shared" si="14"/>
        <v>0</v>
      </c>
      <c r="Q128">
        <f t="shared" si="14"/>
        <v>0</v>
      </c>
    </row>
    <row r="129" spans="1:17">
      <c r="A129" t="s">
        <v>149</v>
      </c>
      <c r="B129" t="str">
        <f t="shared" si="1"/>
        <v xml:space="preserve">Center pivot/linear move systems: Replace leaking pivot boot gasket with new pivot boot gasket </v>
      </c>
      <c r="C129" t="str">
        <f t="shared" si="2"/>
        <v xml:space="preserve">Center pivot/linear move systems: Replace leaking pivot boot gasket with new pivot boot gasket </v>
      </c>
      <c r="D129">
        <f t="shared" si="13"/>
        <v>319.11864557067184</v>
      </c>
      <c r="E129">
        <f t="shared" si="12"/>
        <v>8</v>
      </c>
      <c r="F129">
        <f t="shared" si="14"/>
        <v>250</v>
      </c>
      <c r="G129">
        <f t="shared" si="14"/>
        <v>0</v>
      </c>
      <c r="H129" t="str">
        <f t="shared" si="14"/>
        <v>AgrIrrg</v>
      </c>
      <c r="I129">
        <f t="shared" si="14"/>
        <v>0</v>
      </c>
      <c r="J129">
        <f t="shared" si="14"/>
        <v>0</v>
      </c>
      <c r="K129">
        <f t="shared" si="14"/>
        <v>0</v>
      </c>
      <c r="L129">
        <f t="shared" si="14"/>
        <v>0</v>
      </c>
      <c r="M129">
        <f t="shared" si="14"/>
        <v>0</v>
      </c>
      <c r="N129">
        <f t="shared" si="14"/>
        <v>0</v>
      </c>
      <c r="O129">
        <f t="shared" si="14"/>
        <v>0</v>
      </c>
      <c r="P129">
        <f t="shared" si="14"/>
        <v>0</v>
      </c>
      <c r="Q129">
        <f t="shared" si="14"/>
        <v>0</v>
      </c>
    </row>
    <row r="130" spans="1:17">
      <c r="A130" t="s">
        <v>149</v>
      </c>
      <c r="B130" t="str">
        <f t="shared" si="1"/>
        <v xml:space="preserve">Center pivot/linear move systems: Replace leaking tower gasket with new tower gasket </v>
      </c>
      <c r="C130" t="str">
        <f t="shared" si="2"/>
        <v xml:space="preserve">Center pivot/linear move systems: Replace leaking tower gasket with new tower gasket </v>
      </c>
      <c r="D130">
        <f t="shared" si="13"/>
        <v>7.9779661392667967</v>
      </c>
      <c r="E130">
        <f t="shared" si="12"/>
        <v>8</v>
      </c>
      <c r="F130">
        <f t="shared" si="14"/>
        <v>60</v>
      </c>
      <c r="G130">
        <f t="shared" si="14"/>
        <v>0</v>
      </c>
      <c r="H130" t="str">
        <f t="shared" si="14"/>
        <v>AgrIrrg</v>
      </c>
      <c r="I130">
        <f t="shared" si="14"/>
        <v>0</v>
      </c>
      <c r="J130">
        <f t="shared" si="14"/>
        <v>0</v>
      </c>
      <c r="K130">
        <f t="shared" si="14"/>
        <v>0</v>
      </c>
      <c r="L130">
        <f t="shared" si="14"/>
        <v>0</v>
      </c>
      <c r="M130">
        <f t="shared" si="14"/>
        <v>0</v>
      </c>
      <c r="N130">
        <f t="shared" si="14"/>
        <v>0</v>
      </c>
      <c r="O130">
        <f t="shared" si="14"/>
        <v>0</v>
      </c>
      <c r="P130">
        <f t="shared" si="14"/>
        <v>0</v>
      </c>
      <c r="Q130">
        <f t="shared" si="14"/>
        <v>0</v>
      </c>
    </row>
  </sheetData>
  <mergeCells count="4">
    <mergeCell ref="J5:O5"/>
    <mergeCell ref="P5:Q5"/>
    <mergeCell ref="J77:O77"/>
    <mergeCell ref="P77:Q77"/>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7PSourceSummary</vt:lpstr>
      <vt:lpstr>forRPM</vt:lpstr>
      <vt:lpstr>SC-Retro</vt:lpstr>
      <vt:lpstr>Overlap</vt:lpstr>
      <vt:lpstr>Accomplishments</vt:lpstr>
      <vt:lpstr>M_Input_Out</vt:lpstr>
      <vt:lpstr>M_Input</vt:lpstr>
      <vt:lpstr>Consolidate</vt:lpstr>
      <vt:lpstr>Increment</vt:lpstr>
      <vt:lpstr>Weighting</vt:lpstr>
      <vt:lpstr>W vs E</vt:lpstr>
      <vt:lpstr>Raw</vt:lpstr>
      <vt:lpstr>SavingsData&amp;Analysis</vt:lpstr>
      <vt:lpstr>Inputs</vt:lpstr>
      <vt:lpstr>emails and excerpts</vt:lpstr>
      <vt:lpstr>IDStudy</vt:lpstr>
      <vt:lpstr>IDStudyAppendixA</vt:lpstr>
      <vt:lpstr>BPAPumpTests</vt:lpstr>
      <vt:lpstr>PacifiCorp</vt:lpstr>
      <vt:lpstr>MeasureOutput</vt:lpstr>
    </vt:vector>
  </TitlesOfParts>
  <Company>Northwest Power and Conservation Council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Tina Jayaweera</dc:creator>
  <cp:lastModifiedBy>Tina Jayaweera</cp:lastModifiedBy>
  <dcterms:created xsi:type="dcterms:W3CDTF">2014-08-11T21:52:53Z</dcterms:created>
  <dcterms:modified xsi:type="dcterms:W3CDTF">2015-03-16T23:21:33Z</dcterms:modified>
</cp:coreProperties>
</file>