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550" yWindow="705" windowWidth="24015" windowHeight="11310" activeTab="2"/>
  </bookViews>
  <sheets>
    <sheet name="7PSourceSummary" sheetId="20" r:id="rId1"/>
    <sheet name="forRPM" sheetId="45" r:id="rId2"/>
    <sheet name="SC-Retro" sheetId="8" r:id="rId3"/>
    <sheet name="Accomplishments" sheetId="23" r:id="rId4"/>
    <sheet name="M_Input_Out" sheetId="22" r:id="rId5"/>
    <sheet name="M_Input" sheetId="3" r:id="rId6"/>
    <sheet name="Composite" sheetId="43" r:id="rId7"/>
    <sheet name="Pump Sizes" sheetId="44" r:id="rId8"/>
    <sheet name="Raw" sheetId="18" r:id="rId9"/>
    <sheet name="SavingsAnalysis" sheetId="40" r:id="rId10"/>
    <sheet name="CostAnalysis" sheetId="41" r:id="rId11"/>
    <sheet name="Life" sheetId="42" r:id="rId12"/>
  </sheets>
  <externalReferences>
    <externalReference r:id="rId13"/>
    <externalReference r:id="rId14"/>
    <externalReference r:id="rId15"/>
    <externalReference r:id="rId16"/>
    <externalReference r:id="rId17"/>
  </externalReferences>
  <definedNames>
    <definedName name="_xlnm._FilterDatabase" localSheetId="3" hidden="1">Accomplishments!$A$1:$G$57</definedName>
    <definedName name="_Key1" localSheetId="0" hidden="1">#REF!</definedName>
    <definedName name="_Key1" localSheetId="1" hidden="1">#REF!</definedName>
    <definedName name="_Key1" localSheetId="2" hidden="1">#REF!</definedName>
    <definedName name="_Key1" hidden="1">#REF!</definedName>
    <definedName name="_Key1old" localSheetId="0"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_SortOld" localSheetId="0" hidden="1">#REF!</definedName>
    <definedName name="_SortOld" hidden="1">#REF!</definedName>
    <definedName name="AgBase">'[1]Ag Forecast (Base Case)'!$C$26:$BB$29</definedName>
    <definedName name="anscount" hidden="1">1</definedName>
    <definedName name="CBWorkbookPriority" hidden="1">-738590518</definedName>
    <definedName name="Deflator">'[2]ETO SF Insulation Cost Data'!$F$3982</definedName>
    <definedName name="limcount" hidden="1">1</definedName>
    <definedName name="MeasureOutput">M_Input_Out!$A$4:$AM$200</definedName>
    <definedName name="sencount" hidden="1">1</definedName>
    <definedName name="sort" localSheetId="1" hidden="1">#REF!</definedName>
    <definedName name="sort" hidden="1">#REF!</definedName>
  </definedNames>
  <calcPr calcId="125725"/>
</workbook>
</file>

<file path=xl/calcChain.xml><?xml version="1.0" encoding="utf-8"?>
<calcChain xmlns="http://schemas.openxmlformats.org/spreadsheetml/2006/main">
  <c r="E7" i="45"/>
  <c r="E3"/>
  <c r="A9" i="8"/>
  <c r="E8" i="45" s="1"/>
  <c r="BD4"/>
  <c r="BD5"/>
  <c r="BD6"/>
  <c r="BD7"/>
  <c r="BD8"/>
  <c r="BD9"/>
  <c r="BD10"/>
  <c r="BD3"/>
  <c r="BC10"/>
  <c r="BB10"/>
  <c r="BA10"/>
  <c r="AZ10"/>
  <c r="AY10"/>
  <c r="AX10"/>
  <c r="AW10"/>
  <c r="AV10"/>
  <c r="AU10"/>
  <c r="AT10"/>
  <c r="AS10"/>
  <c r="AQ10"/>
  <c r="AP10"/>
  <c r="AO10"/>
  <c r="AN10"/>
  <c r="AM10"/>
  <c r="AL10"/>
  <c r="AK10"/>
  <c r="AJ10"/>
  <c r="AI10"/>
  <c r="AH10"/>
  <c r="AG10"/>
  <c r="AF10"/>
  <c r="BC9"/>
  <c r="BB9"/>
  <c r="BA9"/>
  <c r="AZ9"/>
  <c r="AY9"/>
  <c r="AX9"/>
  <c r="AW9"/>
  <c r="AV9"/>
  <c r="AU9"/>
  <c r="AT9"/>
  <c r="AS9"/>
  <c r="AQ9"/>
  <c r="AP9"/>
  <c r="AO9"/>
  <c r="AN9"/>
  <c r="AM9"/>
  <c r="AL9"/>
  <c r="AK9"/>
  <c r="AJ9"/>
  <c r="AI9"/>
  <c r="AH9"/>
  <c r="AG9"/>
  <c r="AF9"/>
  <c r="BC8"/>
  <c r="BB8"/>
  <c r="BA8"/>
  <c r="AZ8"/>
  <c r="AY8"/>
  <c r="AX8"/>
  <c r="AW8"/>
  <c r="AV8"/>
  <c r="AU8"/>
  <c r="AT8"/>
  <c r="AS8"/>
  <c r="AQ8"/>
  <c r="AP8"/>
  <c r="AO8"/>
  <c r="AN8"/>
  <c r="AM8"/>
  <c r="AL8"/>
  <c r="AK8"/>
  <c r="AJ8"/>
  <c r="AI8"/>
  <c r="AH8"/>
  <c r="AG8"/>
  <c r="AF8"/>
  <c r="BC7"/>
  <c r="BB7"/>
  <c r="BA7"/>
  <c r="AZ7"/>
  <c r="AY7"/>
  <c r="AX7"/>
  <c r="AW7"/>
  <c r="AV7"/>
  <c r="AU7"/>
  <c r="AT7"/>
  <c r="AS7"/>
  <c r="AQ7"/>
  <c r="AP7"/>
  <c r="AO7"/>
  <c r="AN7"/>
  <c r="AM7"/>
  <c r="AL7"/>
  <c r="AK7"/>
  <c r="AJ7"/>
  <c r="AI7"/>
  <c r="AH7"/>
  <c r="AG7"/>
  <c r="AF7"/>
  <c r="BC6"/>
  <c r="BB6"/>
  <c r="BA6"/>
  <c r="AZ6"/>
  <c r="AY6"/>
  <c r="AX6"/>
  <c r="AW6"/>
  <c r="AV6"/>
  <c r="AU6"/>
  <c r="AT6"/>
  <c r="AS6"/>
  <c r="AQ6"/>
  <c r="AP6"/>
  <c r="AO6"/>
  <c r="AN6"/>
  <c r="AM6"/>
  <c r="AL6"/>
  <c r="AK6"/>
  <c r="AJ6"/>
  <c r="AI6"/>
  <c r="AH6"/>
  <c r="AG6"/>
  <c r="AF6"/>
  <c r="BC5"/>
  <c r="BB5"/>
  <c r="BA5"/>
  <c r="AZ5"/>
  <c r="AY5"/>
  <c r="AX5"/>
  <c r="AW5"/>
  <c r="AV5"/>
  <c r="AU5"/>
  <c r="AT5"/>
  <c r="AS5"/>
  <c r="AQ5"/>
  <c r="AP5"/>
  <c r="AO5"/>
  <c r="AN5"/>
  <c r="AM5"/>
  <c r="AL5"/>
  <c r="AK5"/>
  <c r="AJ5"/>
  <c r="AI5"/>
  <c r="AH5"/>
  <c r="AG5"/>
  <c r="AF5"/>
  <c r="BC4"/>
  <c r="BB4"/>
  <c r="BA4"/>
  <c r="AZ4"/>
  <c r="AY4"/>
  <c r="AX4"/>
  <c r="AW4"/>
  <c r="AV4"/>
  <c r="AU4"/>
  <c r="AT4"/>
  <c r="AS4"/>
  <c r="AQ4"/>
  <c r="AP4"/>
  <c r="AO4"/>
  <c r="AN4"/>
  <c r="AM4"/>
  <c r="AL4"/>
  <c r="AK4"/>
  <c r="AJ4"/>
  <c r="AI4"/>
  <c r="AH4"/>
  <c r="AG4"/>
  <c r="AF4"/>
  <c r="BC3"/>
  <c r="BB3"/>
  <c r="BA3"/>
  <c r="AZ3"/>
  <c r="AY3"/>
  <c r="AX3"/>
  <c r="AW3"/>
  <c r="AV3"/>
  <c r="AU3"/>
  <c r="AT3"/>
  <c r="AS3"/>
  <c r="AQ3"/>
  <c r="AP3"/>
  <c r="AO3"/>
  <c r="AN3"/>
  <c r="AM3"/>
  <c r="AL3"/>
  <c r="AK3"/>
  <c r="AJ3"/>
  <c r="AI3"/>
  <c r="AH3"/>
  <c r="AG3"/>
  <c r="AF3"/>
  <c r="F4"/>
  <c r="F5"/>
  <c r="F6"/>
  <c r="F7"/>
  <c r="F8"/>
  <c r="F9"/>
  <c r="F10"/>
  <c r="F3"/>
  <c r="J10"/>
  <c r="I10"/>
  <c r="J9"/>
  <c r="I9"/>
  <c r="J8"/>
  <c r="I8"/>
  <c r="J7"/>
  <c r="I7"/>
  <c r="J6"/>
  <c r="I6"/>
  <c r="J5"/>
  <c r="I5"/>
  <c r="J4"/>
  <c r="I4"/>
  <c r="J3"/>
  <c r="I3"/>
  <c r="C10"/>
  <c r="A10" s="1"/>
  <c r="B10"/>
  <c r="C9"/>
  <c r="A9" s="1"/>
  <c r="B9"/>
  <c r="C8"/>
  <c r="B8"/>
  <c r="C7"/>
  <c r="B7"/>
  <c r="C6"/>
  <c r="B6"/>
  <c r="C5"/>
  <c r="A5" s="1"/>
  <c r="B5"/>
  <c r="C4"/>
  <c r="B4"/>
  <c r="A4" s="1"/>
  <c r="C3"/>
  <c r="B3"/>
  <c r="A8"/>
  <c r="A7"/>
  <c r="A6"/>
  <c r="A3"/>
  <c r="AD2"/>
  <c r="AC2"/>
  <c r="AB2"/>
  <c r="AA2"/>
  <c r="Z2"/>
  <c r="Y2"/>
  <c r="X2"/>
  <c r="W2"/>
  <c r="V2"/>
  <c r="U2"/>
  <c r="T2"/>
  <c r="S2"/>
  <c r="R2"/>
  <c r="Q2"/>
  <c r="P2"/>
  <c r="O2"/>
  <c r="N2"/>
  <c r="M2"/>
  <c r="L2"/>
  <c r="K2"/>
  <c r="E10" l="1"/>
  <c r="E5"/>
  <c r="E9"/>
  <c r="E6"/>
  <c r="E4"/>
  <c r="A34" i="8"/>
  <c r="A33"/>
  <c r="A32"/>
  <c r="A31"/>
  <c r="A30"/>
  <c r="A29"/>
  <c r="A28"/>
  <c r="A27"/>
  <c r="B10" i="44"/>
  <c r="C10" s="1"/>
  <c r="B54" i="43" s="1"/>
  <c r="P54" s="1"/>
  <c r="B9" i="44"/>
  <c r="C9" s="1"/>
  <c r="B53" i="43" s="1"/>
  <c r="B8" i="44"/>
  <c r="C8" s="1"/>
  <c r="B52" i="43" s="1"/>
  <c r="L52" s="1"/>
  <c r="B7" i="44"/>
  <c r="C7" s="1"/>
  <c r="B51" i="43" s="1"/>
  <c r="B6" i="44"/>
  <c r="C6" s="1"/>
  <c r="B50" i="43" s="1"/>
  <c r="B5" i="44"/>
  <c r="C5" s="1"/>
  <c r="B49" i="43" s="1"/>
  <c r="N49" s="1"/>
  <c r="B4" i="44"/>
  <c r="C4" s="1"/>
  <c r="B48" i="43" s="1"/>
  <c r="B3" i="44"/>
  <c r="C3" s="1"/>
  <c r="B47" i="43" s="1"/>
  <c r="E20" i="8"/>
  <c r="F20" s="1"/>
  <c r="G20" s="1"/>
  <c r="H20" s="1"/>
  <c r="I20" s="1"/>
  <c r="J20" s="1"/>
  <c r="K20" s="1"/>
  <c r="L20" s="1"/>
  <c r="M20" s="1"/>
  <c r="N20" s="1"/>
  <c r="O20" s="1"/>
  <c r="P20" s="1"/>
  <c r="Q20" s="1"/>
  <c r="R20" s="1"/>
  <c r="S20" s="1"/>
  <c r="T20" s="1"/>
  <c r="U20" s="1"/>
  <c r="V20" s="1"/>
  <c r="W20" s="1"/>
  <c r="X20" s="1"/>
  <c r="E19"/>
  <c r="F19" s="1"/>
  <c r="G19" s="1"/>
  <c r="H19" s="1"/>
  <c r="I19" s="1"/>
  <c r="J19" s="1"/>
  <c r="K19" s="1"/>
  <c r="L19" s="1"/>
  <c r="M19" s="1"/>
  <c r="N19" s="1"/>
  <c r="O19" s="1"/>
  <c r="P19" s="1"/>
  <c r="Q19" s="1"/>
  <c r="R19" s="1"/>
  <c r="S19" s="1"/>
  <c r="T19" s="1"/>
  <c r="U19" s="1"/>
  <c r="V19" s="1"/>
  <c r="W19" s="1"/>
  <c r="X19" s="1"/>
  <c r="E18"/>
  <c r="F18" s="1"/>
  <c r="G18" s="1"/>
  <c r="H18" s="1"/>
  <c r="I18" s="1"/>
  <c r="J18" s="1"/>
  <c r="K18" s="1"/>
  <c r="L18" s="1"/>
  <c r="M18" s="1"/>
  <c r="N18" s="1"/>
  <c r="O18" s="1"/>
  <c r="P18" s="1"/>
  <c r="Q18" s="1"/>
  <c r="R18" s="1"/>
  <c r="S18" s="1"/>
  <c r="T18" s="1"/>
  <c r="U18" s="1"/>
  <c r="V18" s="1"/>
  <c r="W18" s="1"/>
  <c r="X18" s="1"/>
  <c r="E17"/>
  <c r="F17" s="1"/>
  <c r="G17" s="1"/>
  <c r="H17" s="1"/>
  <c r="I17" s="1"/>
  <c r="J17" s="1"/>
  <c r="K17" s="1"/>
  <c r="L17" s="1"/>
  <c r="M17" s="1"/>
  <c r="N17" s="1"/>
  <c r="O17" s="1"/>
  <c r="P17" s="1"/>
  <c r="Q17" s="1"/>
  <c r="R17" s="1"/>
  <c r="S17" s="1"/>
  <c r="T17" s="1"/>
  <c r="U17" s="1"/>
  <c r="V17" s="1"/>
  <c r="W17" s="1"/>
  <c r="X17" s="1"/>
  <c r="E16"/>
  <c r="E15"/>
  <c r="F15" s="1"/>
  <c r="G15" s="1"/>
  <c r="H15" s="1"/>
  <c r="I15" s="1"/>
  <c r="J15" s="1"/>
  <c r="K15" s="1"/>
  <c r="L15" s="1"/>
  <c r="M15" s="1"/>
  <c r="N15" s="1"/>
  <c r="O15" s="1"/>
  <c r="P15" s="1"/>
  <c r="Q15" s="1"/>
  <c r="R15" s="1"/>
  <c r="S15" s="1"/>
  <c r="T15" s="1"/>
  <c r="U15" s="1"/>
  <c r="V15" s="1"/>
  <c r="W15" s="1"/>
  <c r="X15" s="1"/>
  <c r="E14"/>
  <c r="E13"/>
  <c r="F13" s="1"/>
  <c r="G13" s="1"/>
  <c r="H13" s="1"/>
  <c r="I13" s="1"/>
  <c r="J13" s="1"/>
  <c r="K13" s="1"/>
  <c r="L13" s="1"/>
  <c r="M13" s="1"/>
  <c r="N13" s="1"/>
  <c r="O13" s="1"/>
  <c r="P13" s="1"/>
  <c r="Q13" s="1"/>
  <c r="R13" s="1"/>
  <c r="S13" s="1"/>
  <c r="T13" s="1"/>
  <c r="U13" s="1"/>
  <c r="V13" s="1"/>
  <c r="W13" s="1"/>
  <c r="X13" s="1"/>
  <c r="A11"/>
  <c r="B14"/>
  <c r="B15"/>
  <c r="B16"/>
  <c r="B17"/>
  <c r="B18"/>
  <c r="B19"/>
  <c r="B20"/>
  <c r="B13"/>
  <c r="Z28"/>
  <c r="Z29"/>
  <c r="Z30"/>
  <c r="Z31"/>
  <c r="Z32"/>
  <c r="Z33"/>
  <c r="Z34"/>
  <c r="Z27"/>
  <c r="D48"/>
  <c r="D47"/>
  <c r="D46"/>
  <c r="D45"/>
  <c r="D44"/>
  <c r="D43"/>
  <c r="D42"/>
  <c r="D41"/>
  <c r="D59"/>
  <c r="D60"/>
  <c r="D61"/>
  <c r="D62"/>
  <c r="D63"/>
  <c r="D64"/>
  <c r="D65"/>
  <c r="D58"/>
  <c r="C45"/>
  <c r="C46"/>
  <c r="C47"/>
  <c r="C48"/>
  <c r="B16" i="3"/>
  <c r="C16"/>
  <c r="D16"/>
  <c r="E16"/>
  <c r="F16"/>
  <c r="G16"/>
  <c r="H16"/>
  <c r="A16"/>
  <c r="B9" i="43"/>
  <c r="B10"/>
  <c r="B11"/>
  <c r="B12"/>
  <c r="B13"/>
  <c r="B14"/>
  <c r="B15"/>
  <c r="B16"/>
  <c r="B17"/>
  <c r="B18"/>
  <c r="B19"/>
  <c r="B20"/>
  <c r="B21"/>
  <c r="B22"/>
  <c r="B23"/>
  <c r="B24"/>
  <c r="B25"/>
  <c r="B26"/>
  <c r="B27"/>
  <c r="B28"/>
  <c r="B29"/>
  <c r="B30"/>
  <c r="B31"/>
  <c r="B32"/>
  <c r="B33"/>
  <c r="B34"/>
  <c r="B35"/>
  <c r="B36"/>
  <c r="B37"/>
  <c r="B38"/>
  <c r="B39"/>
  <c r="B40"/>
  <c r="B41"/>
  <c r="B8"/>
  <c r="A11"/>
  <c r="A12"/>
  <c r="A15"/>
  <c r="A19"/>
  <c r="A23"/>
  <c r="A27"/>
  <c r="A31"/>
  <c r="A35"/>
  <c r="A39"/>
  <c r="C16"/>
  <c r="A16"/>
  <c r="D16"/>
  <c r="E16"/>
  <c r="F16"/>
  <c r="G16"/>
  <c r="H16"/>
  <c r="I16"/>
  <c r="J16"/>
  <c r="K16"/>
  <c r="L16"/>
  <c r="M16"/>
  <c r="N16"/>
  <c r="O16"/>
  <c r="P16"/>
  <c r="C17"/>
  <c r="A17"/>
  <c r="D17"/>
  <c r="E17"/>
  <c r="F17"/>
  <c r="G17"/>
  <c r="H17"/>
  <c r="I17"/>
  <c r="J17"/>
  <c r="K17"/>
  <c r="L17"/>
  <c r="M17"/>
  <c r="N17"/>
  <c r="O17"/>
  <c r="P17"/>
  <c r="C18"/>
  <c r="A18"/>
  <c r="D18"/>
  <c r="E18"/>
  <c r="F18"/>
  <c r="G18"/>
  <c r="H18"/>
  <c r="I18"/>
  <c r="J18"/>
  <c r="K18"/>
  <c r="L18"/>
  <c r="M18"/>
  <c r="N18"/>
  <c r="O18"/>
  <c r="P18"/>
  <c r="C19"/>
  <c r="D19"/>
  <c r="E19"/>
  <c r="F19"/>
  <c r="G19"/>
  <c r="H19"/>
  <c r="I19"/>
  <c r="J19"/>
  <c r="K19"/>
  <c r="L19"/>
  <c r="M19"/>
  <c r="N19"/>
  <c r="O19"/>
  <c r="P19"/>
  <c r="C20"/>
  <c r="A20"/>
  <c r="D20"/>
  <c r="E20"/>
  <c r="F20"/>
  <c r="G20"/>
  <c r="H20"/>
  <c r="I20"/>
  <c r="J20"/>
  <c r="K20"/>
  <c r="L20"/>
  <c r="M20"/>
  <c r="N20"/>
  <c r="O20"/>
  <c r="P20"/>
  <c r="C21"/>
  <c r="A21"/>
  <c r="D21"/>
  <c r="E21"/>
  <c r="F21"/>
  <c r="G21"/>
  <c r="H21"/>
  <c r="I21"/>
  <c r="J21"/>
  <c r="K21"/>
  <c r="L21"/>
  <c r="M21"/>
  <c r="N21"/>
  <c r="O21"/>
  <c r="P21"/>
  <c r="C22"/>
  <c r="A22"/>
  <c r="D22"/>
  <c r="E22"/>
  <c r="F22"/>
  <c r="G22"/>
  <c r="H22"/>
  <c r="I22"/>
  <c r="J22"/>
  <c r="K22"/>
  <c r="L22"/>
  <c r="M22"/>
  <c r="N22"/>
  <c r="O22"/>
  <c r="P22"/>
  <c r="C23"/>
  <c r="D23"/>
  <c r="E23"/>
  <c r="F23"/>
  <c r="G23"/>
  <c r="H23"/>
  <c r="I23"/>
  <c r="J23"/>
  <c r="K23"/>
  <c r="L23"/>
  <c r="M23"/>
  <c r="N23"/>
  <c r="O23"/>
  <c r="P23"/>
  <c r="C24"/>
  <c r="A24"/>
  <c r="D24"/>
  <c r="E24"/>
  <c r="F24"/>
  <c r="G24"/>
  <c r="H24"/>
  <c r="I24"/>
  <c r="J24"/>
  <c r="K24"/>
  <c r="L24"/>
  <c r="M24"/>
  <c r="N24"/>
  <c r="O24"/>
  <c r="P24"/>
  <c r="C25"/>
  <c r="A25"/>
  <c r="D25"/>
  <c r="E25"/>
  <c r="F25"/>
  <c r="G25"/>
  <c r="H25"/>
  <c r="I25"/>
  <c r="J25"/>
  <c r="K25"/>
  <c r="L25"/>
  <c r="M25"/>
  <c r="N25"/>
  <c r="O25"/>
  <c r="P25"/>
  <c r="C26"/>
  <c r="A26"/>
  <c r="D26"/>
  <c r="E26"/>
  <c r="F26"/>
  <c r="G26"/>
  <c r="H26"/>
  <c r="I26"/>
  <c r="J26"/>
  <c r="K26"/>
  <c r="L26"/>
  <c r="M26"/>
  <c r="N26"/>
  <c r="O26"/>
  <c r="P26"/>
  <c r="C27"/>
  <c r="D27"/>
  <c r="E27"/>
  <c r="F27"/>
  <c r="G27"/>
  <c r="H27"/>
  <c r="I27"/>
  <c r="J27"/>
  <c r="K27"/>
  <c r="L27"/>
  <c r="M27"/>
  <c r="N27"/>
  <c r="O27"/>
  <c r="P27"/>
  <c r="C28"/>
  <c r="A28"/>
  <c r="D28"/>
  <c r="E28"/>
  <c r="F28"/>
  <c r="G28"/>
  <c r="H28"/>
  <c r="I28"/>
  <c r="J28"/>
  <c r="K28"/>
  <c r="L28"/>
  <c r="M28"/>
  <c r="N28"/>
  <c r="O28"/>
  <c r="P28"/>
  <c r="C29"/>
  <c r="A29"/>
  <c r="D29"/>
  <c r="E29"/>
  <c r="F29"/>
  <c r="G29"/>
  <c r="H29"/>
  <c r="I29"/>
  <c r="J29"/>
  <c r="K29"/>
  <c r="L29"/>
  <c r="M29"/>
  <c r="N29"/>
  <c r="O29"/>
  <c r="P29"/>
  <c r="C30"/>
  <c r="A30"/>
  <c r="D30"/>
  <c r="E30"/>
  <c r="F30"/>
  <c r="G30"/>
  <c r="H30"/>
  <c r="I30"/>
  <c r="J30"/>
  <c r="K30"/>
  <c r="L30"/>
  <c r="M30"/>
  <c r="N30"/>
  <c r="O30"/>
  <c r="P30"/>
  <c r="C31"/>
  <c r="D31"/>
  <c r="E31"/>
  <c r="F31"/>
  <c r="G31"/>
  <c r="H31"/>
  <c r="I31"/>
  <c r="J31"/>
  <c r="K31"/>
  <c r="L31"/>
  <c r="M31"/>
  <c r="N31"/>
  <c r="O31"/>
  <c r="P31"/>
  <c r="C32"/>
  <c r="A32"/>
  <c r="D32"/>
  <c r="E32"/>
  <c r="F32"/>
  <c r="G32"/>
  <c r="H32"/>
  <c r="I32"/>
  <c r="J32"/>
  <c r="K32"/>
  <c r="L32"/>
  <c r="M32"/>
  <c r="N32"/>
  <c r="O32"/>
  <c r="P32"/>
  <c r="C33"/>
  <c r="A33"/>
  <c r="D33"/>
  <c r="E33"/>
  <c r="F33"/>
  <c r="G33"/>
  <c r="H33"/>
  <c r="I33"/>
  <c r="J33"/>
  <c r="K33"/>
  <c r="L33"/>
  <c r="M33"/>
  <c r="N33"/>
  <c r="O33"/>
  <c r="P33"/>
  <c r="C34"/>
  <c r="A34"/>
  <c r="D34"/>
  <c r="E34"/>
  <c r="F34"/>
  <c r="G34"/>
  <c r="H34"/>
  <c r="I34"/>
  <c r="J34"/>
  <c r="K34"/>
  <c r="L34"/>
  <c r="M34"/>
  <c r="N34"/>
  <c r="O34"/>
  <c r="P34"/>
  <c r="C35"/>
  <c r="D35"/>
  <c r="E35"/>
  <c r="F35"/>
  <c r="G35"/>
  <c r="H35"/>
  <c r="I35"/>
  <c r="J35"/>
  <c r="K35"/>
  <c r="L35"/>
  <c r="M35"/>
  <c r="N35"/>
  <c r="O35"/>
  <c r="P35"/>
  <c r="C36"/>
  <c r="A36"/>
  <c r="D36"/>
  <c r="E36"/>
  <c r="F36"/>
  <c r="G36"/>
  <c r="H36"/>
  <c r="I36"/>
  <c r="J36"/>
  <c r="K36"/>
  <c r="L36"/>
  <c r="M36"/>
  <c r="N36"/>
  <c r="O36"/>
  <c r="P36"/>
  <c r="C37"/>
  <c r="A37"/>
  <c r="D37"/>
  <c r="E37"/>
  <c r="F37"/>
  <c r="G37"/>
  <c r="H37"/>
  <c r="I37"/>
  <c r="J37"/>
  <c r="K37"/>
  <c r="L37"/>
  <c r="M37"/>
  <c r="N37"/>
  <c r="O37"/>
  <c r="P37"/>
  <c r="C38"/>
  <c r="A38"/>
  <c r="D38"/>
  <c r="E38"/>
  <c r="F38"/>
  <c r="G38"/>
  <c r="H38"/>
  <c r="I38"/>
  <c r="J38"/>
  <c r="K38"/>
  <c r="L38"/>
  <c r="M38"/>
  <c r="N38"/>
  <c r="O38"/>
  <c r="P38"/>
  <c r="C39"/>
  <c r="D39"/>
  <c r="E39"/>
  <c r="F39"/>
  <c r="G39"/>
  <c r="H39"/>
  <c r="I39"/>
  <c r="J39"/>
  <c r="K39"/>
  <c r="L39"/>
  <c r="M39"/>
  <c r="N39"/>
  <c r="O39"/>
  <c r="P39"/>
  <c r="C40"/>
  <c r="A40"/>
  <c r="D40"/>
  <c r="E40"/>
  <c r="F40"/>
  <c r="G40"/>
  <c r="H40"/>
  <c r="I40"/>
  <c r="J40"/>
  <c r="K40"/>
  <c r="L40"/>
  <c r="M40"/>
  <c r="N40"/>
  <c r="O40"/>
  <c r="P40"/>
  <c r="C41"/>
  <c r="A41"/>
  <c r="D41"/>
  <c r="E41"/>
  <c r="F41"/>
  <c r="G41"/>
  <c r="H41"/>
  <c r="I41"/>
  <c r="J41"/>
  <c r="K41"/>
  <c r="L41"/>
  <c r="M41"/>
  <c r="N41"/>
  <c r="O41"/>
  <c r="P41"/>
  <c r="D8"/>
  <c r="D9"/>
  <c r="D10"/>
  <c r="D11"/>
  <c r="D12"/>
  <c r="D13"/>
  <c r="D14"/>
  <c r="D15"/>
  <c r="C9"/>
  <c r="A9"/>
  <c r="C10"/>
  <c r="A10"/>
  <c r="C11"/>
  <c r="C12"/>
  <c r="C13"/>
  <c r="A13"/>
  <c r="C14"/>
  <c r="A14"/>
  <c r="C15"/>
  <c r="C8"/>
  <c r="A8"/>
  <c r="E8"/>
  <c r="F8"/>
  <c r="G8"/>
  <c r="H8"/>
  <c r="I8"/>
  <c r="J8"/>
  <c r="K8"/>
  <c r="L8"/>
  <c r="M8"/>
  <c r="N8"/>
  <c r="O8"/>
  <c r="P8"/>
  <c r="E9"/>
  <c r="F9"/>
  <c r="G9"/>
  <c r="H9"/>
  <c r="I9"/>
  <c r="J9"/>
  <c r="K9"/>
  <c r="L9"/>
  <c r="M9"/>
  <c r="N9"/>
  <c r="O9"/>
  <c r="P9"/>
  <c r="E10"/>
  <c r="F10"/>
  <c r="G10"/>
  <c r="H10"/>
  <c r="I10"/>
  <c r="J10"/>
  <c r="K10"/>
  <c r="L10"/>
  <c r="M10"/>
  <c r="N10"/>
  <c r="O10"/>
  <c r="P10"/>
  <c r="E11"/>
  <c r="F11"/>
  <c r="G11"/>
  <c r="H11"/>
  <c r="I11"/>
  <c r="J11"/>
  <c r="K11"/>
  <c r="L11"/>
  <c r="M11"/>
  <c r="N11"/>
  <c r="O11"/>
  <c r="P11"/>
  <c r="E12"/>
  <c r="F12"/>
  <c r="G12"/>
  <c r="H12"/>
  <c r="I12"/>
  <c r="J12"/>
  <c r="K12"/>
  <c r="L12"/>
  <c r="M12"/>
  <c r="N12"/>
  <c r="O12"/>
  <c r="P12"/>
  <c r="E13"/>
  <c r="F13"/>
  <c r="G13"/>
  <c r="H13"/>
  <c r="I13"/>
  <c r="J13"/>
  <c r="K13"/>
  <c r="L13"/>
  <c r="M13"/>
  <c r="N13"/>
  <c r="O13"/>
  <c r="P13"/>
  <c r="E14"/>
  <c r="F14"/>
  <c r="G14"/>
  <c r="H14"/>
  <c r="I14"/>
  <c r="J14"/>
  <c r="K14"/>
  <c r="L14"/>
  <c r="M14"/>
  <c r="N14"/>
  <c r="O14"/>
  <c r="P14"/>
  <c r="E15"/>
  <c r="F15"/>
  <c r="G15"/>
  <c r="H15"/>
  <c r="I15"/>
  <c r="J15"/>
  <c r="K15"/>
  <c r="L15"/>
  <c r="M15"/>
  <c r="N15"/>
  <c r="O15"/>
  <c r="P15"/>
  <c r="E9" i="18"/>
  <c r="E10"/>
  <c r="E11"/>
  <c r="E12"/>
  <c r="E13"/>
  <c r="E14"/>
  <c r="E15"/>
  <c r="E16"/>
  <c r="E17"/>
  <c r="E18"/>
  <c r="E19"/>
  <c r="E20"/>
  <c r="E21"/>
  <c r="E22"/>
  <c r="E23"/>
  <c r="E24"/>
  <c r="E25"/>
  <c r="E26"/>
  <c r="E27"/>
  <c r="E28"/>
  <c r="E29"/>
  <c r="E30"/>
  <c r="E31"/>
  <c r="E32"/>
  <c r="E33"/>
  <c r="E34"/>
  <c r="E35"/>
  <c r="E36"/>
  <c r="E37"/>
  <c r="E38"/>
  <c r="E39"/>
  <c r="E40"/>
  <c r="E41"/>
  <c r="E8"/>
  <c r="F9"/>
  <c r="F10"/>
  <c r="F11"/>
  <c r="F12"/>
  <c r="F13"/>
  <c r="F14"/>
  <c r="F15"/>
  <c r="F16"/>
  <c r="F17"/>
  <c r="F18"/>
  <c r="F19"/>
  <c r="F20"/>
  <c r="F21"/>
  <c r="F22"/>
  <c r="F23"/>
  <c r="F24"/>
  <c r="F25"/>
  <c r="F26"/>
  <c r="F27"/>
  <c r="F28"/>
  <c r="F29"/>
  <c r="F30"/>
  <c r="F31"/>
  <c r="F32"/>
  <c r="F33"/>
  <c r="F34"/>
  <c r="F35"/>
  <c r="F36"/>
  <c r="F37"/>
  <c r="F38"/>
  <c r="F39"/>
  <c r="F40"/>
  <c r="F41"/>
  <c r="F8"/>
  <c r="B44" i="42"/>
  <c r="D44"/>
  <c r="B43"/>
  <c r="B42"/>
  <c r="B41"/>
  <c r="B40"/>
  <c r="D40"/>
  <c r="B39"/>
  <c r="B38"/>
  <c r="B37"/>
  <c r="B36"/>
  <c r="D36"/>
  <c r="B35"/>
  <c r="B34"/>
  <c r="B33"/>
  <c r="B32"/>
  <c r="D32"/>
  <c r="B31"/>
  <c r="B30"/>
  <c r="B29"/>
  <c r="B28"/>
  <c r="D28"/>
  <c r="B27"/>
  <c r="D27"/>
  <c r="B26"/>
  <c r="B25"/>
  <c r="B24"/>
  <c r="D24"/>
  <c r="B23"/>
  <c r="D23"/>
  <c r="B22"/>
  <c r="B21"/>
  <c r="B20"/>
  <c r="D20"/>
  <c r="B19"/>
  <c r="D19"/>
  <c r="B18"/>
  <c r="B17"/>
  <c r="B16"/>
  <c r="D16"/>
  <c r="B15"/>
  <c r="D15"/>
  <c r="B14"/>
  <c r="B13"/>
  <c r="B12"/>
  <c r="D12"/>
  <c r="B11"/>
  <c r="D11"/>
  <c r="A44"/>
  <c r="D43"/>
  <c r="A43"/>
  <c r="D42"/>
  <c r="A42"/>
  <c r="D41"/>
  <c r="A41"/>
  <c r="A40"/>
  <c r="D39"/>
  <c r="A39"/>
  <c r="D38"/>
  <c r="A38"/>
  <c r="D37"/>
  <c r="A37"/>
  <c r="A36"/>
  <c r="D35"/>
  <c r="A35"/>
  <c r="D34"/>
  <c r="A34"/>
  <c r="D33"/>
  <c r="A33"/>
  <c r="A32"/>
  <c r="D31"/>
  <c r="A31"/>
  <c r="D30"/>
  <c r="A30"/>
  <c r="D29"/>
  <c r="A29"/>
  <c r="D26"/>
  <c r="D25"/>
  <c r="D22"/>
  <c r="D21"/>
  <c r="D18"/>
  <c r="D17"/>
  <c r="D14"/>
  <c r="D13"/>
  <c r="D9" i="18"/>
  <c r="D10"/>
  <c r="D11"/>
  <c r="D12"/>
  <c r="D13"/>
  <c r="D14"/>
  <c r="D15"/>
  <c r="D16"/>
  <c r="D17"/>
  <c r="D18"/>
  <c r="D19"/>
  <c r="D20"/>
  <c r="D21"/>
  <c r="D22"/>
  <c r="D23"/>
  <c r="D24"/>
  <c r="D25"/>
  <c r="D26"/>
  <c r="D27"/>
  <c r="D28"/>
  <c r="D29"/>
  <c r="D30"/>
  <c r="D31"/>
  <c r="D32"/>
  <c r="D33"/>
  <c r="D34"/>
  <c r="D35"/>
  <c r="D36"/>
  <c r="D37"/>
  <c r="D38"/>
  <c r="D39"/>
  <c r="D40"/>
  <c r="D41"/>
  <c r="D8"/>
  <c r="B9"/>
  <c r="B10"/>
  <c r="B11"/>
  <c r="B12"/>
  <c r="B13"/>
  <c r="B14"/>
  <c r="B15"/>
  <c r="B16"/>
  <c r="B17"/>
  <c r="B18"/>
  <c r="B19"/>
  <c r="B20"/>
  <c r="B21"/>
  <c r="B22"/>
  <c r="B23"/>
  <c r="B24"/>
  <c r="B25"/>
  <c r="B26"/>
  <c r="B27"/>
  <c r="B28"/>
  <c r="B29"/>
  <c r="B30"/>
  <c r="B31"/>
  <c r="B32"/>
  <c r="B33"/>
  <c r="B34"/>
  <c r="B35"/>
  <c r="B36"/>
  <c r="B37"/>
  <c r="B38"/>
  <c r="B39"/>
  <c r="B40"/>
  <c r="B41"/>
  <c r="B8"/>
  <c r="L70" i="41"/>
  <c r="M70"/>
  <c r="J70"/>
  <c r="C70"/>
  <c r="D70"/>
  <c r="E70"/>
  <c r="M46"/>
  <c r="M69"/>
  <c r="L69"/>
  <c r="J69"/>
  <c r="E69"/>
  <c r="M45"/>
  <c r="D69"/>
  <c r="C69"/>
  <c r="L68"/>
  <c r="M68"/>
  <c r="J68"/>
  <c r="C68"/>
  <c r="D68"/>
  <c r="E68"/>
  <c r="M44"/>
  <c r="M67"/>
  <c r="L67"/>
  <c r="J67"/>
  <c r="E67"/>
  <c r="M43"/>
  <c r="D67"/>
  <c r="C67"/>
  <c r="L66"/>
  <c r="M66"/>
  <c r="J66"/>
  <c r="C66"/>
  <c r="D66"/>
  <c r="E66"/>
  <c r="M42"/>
  <c r="M65"/>
  <c r="L65"/>
  <c r="J65"/>
  <c r="E65"/>
  <c r="M41"/>
  <c r="D65"/>
  <c r="C65"/>
  <c r="L64"/>
  <c r="M64"/>
  <c r="J64"/>
  <c r="C64"/>
  <c r="D64"/>
  <c r="E64"/>
  <c r="M40"/>
  <c r="M63"/>
  <c r="L63"/>
  <c r="J63"/>
  <c r="E63"/>
  <c r="M39"/>
  <c r="D63"/>
  <c r="C63"/>
  <c r="L62"/>
  <c r="M62"/>
  <c r="J62"/>
  <c r="C62"/>
  <c r="D62"/>
  <c r="E62"/>
  <c r="M38"/>
  <c r="M61"/>
  <c r="L61"/>
  <c r="J61"/>
  <c r="E61"/>
  <c r="M37"/>
  <c r="D61"/>
  <c r="C61"/>
  <c r="L60"/>
  <c r="M60"/>
  <c r="J60"/>
  <c r="C60"/>
  <c r="D60"/>
  <c r="E60"/>
  <c r="M36"/>
  <c r="M59"/>
  <c r="L59"/>
  <c r="J59"/>
  <c r="E59"/>
  <c r="M35"/>
  <c r="D59"/>
  <c r="C59"/>
  <c r="L58"/>
  <c r="M58"/>
  <c r="J58"/>
  <c r="C58"/>
  <c r="D58"/>
  <c r="E58"/>
  <c r="M34"/>
  <c r="M57"/>
  <c r="L57"/>
  <c r="J57"/>
  <c r="E57"/>
  <c r="M33"/>
  <c r="D57"/>
  <c r="C57"/>
  <c r="L56"/>
  <c r="M56"/>
  <c r="J56"/>
  <c r="C56"/>
  <c r="D56"/>
  <c r="E56"/>
  <c r="M32"/>
  <c r="M55"/>
  <c r="L55"/>
  <c r="J55"/>
  <c r="E55"/>
  <c r="M31"/>
  <c r="D55"/>
  <c r="C55"/>
  <c r="K46"/>
  <c r="K45"/>
  <c r="K44"/>
  <c r="K43"/>
  <c r="K42"/>
  <c r="K41"/>
  <c r="K40"/>
  <c r="K39"/>
  <c r="K38"/>
  <c r="K37"/>
  <c r="K36"/>
  <c r="K35"/>
  <c r="K34"/>
  <c r="K33"/>
  <c r="K32"/>
  <c r="K31"/>
  <c r="K30"/>
  <c r="J30"/>
  <c r="I30"/>
  <c r="H30"/>
  <c r="M30"/>
  <c r="K29"/>
  <c r="J29"/>
  <c r="I29"/>
  <c r="H29"/>
  <c r="M29"/>
  <c r="K28"/>
  <c r="J28"/>
  <c r="I28"/>
  <c r="H28"/>
  <c r="M28"/>
  <c r="K27"/>
  <c r="J27"/>
  <c r="I27"/>
  <c r="H27"/>
  <c r="M27"/>
  <c r="K26"/>
  <c r="J26"/>
  <c r="I26"/>
  <c r="H26"/>
  <c r="M26"/>
  <c r="K25"/>
  <c r="J25"/>
  <c r="I25"/>
  <c r="H25"/>
  <c r="M25"/>
  <c r="K24"/>
  <c r="J24"/>
  <c r="I24"/>
  <c r="H24"/>
  <c r="M24"/>
  <c r="K23"/>
  <c r="J23"/>
  <c r="I23"/>
  <c r="H23"/>
  <c r="M23"/>
  <c r="K22"/>
  <c r="J22"/>
  <c r="I22"/>
  <c r="H22"/>
  <c r="M22"/>
  <c r="K21"/>
  <c r="J21"/>
  <c r="I21"/>
  <c r="H21"/>
  <c r="M21"/>
  <c r="K20"/>
  <c r="J20"/>
  <c r="I20"/>
  <c r="H20"/>
  <c r="M20"/>
  <c r="K19"/>
  <c r="J19"/>
  <c r="I19"/>
  <c r="H19"/>
  <c r="M19"/>
  <c r="K18"/>
  <c r="J18"/>
  <c r="I18"/>
  <c r="H18"/>
  <c r="M18"/>
  <c r="M17"/>
  <c r="K17"/>
  <c r="J17"/>
  <c r="I17"/>
  <c r="H17"/>
  <c r="K16"/>
  <c r="J16"/>
  <c r="I16"/>
  <c r="H16"/>
  <c r="M16"/>
  <c r="K15"/>
  <c r="J15"/>
  <c r="I15"/>
  <c r="H15"/>
  <c r="K14"/>
  <c r="J14"/>
  <c r="I14"/>
  <c r="H14"/>
  <c r="K13"/>
  <c r="J13"/>
  <c r="I13"/>
  <c r="H13"/>
  <c r="M13"/>
  <c r="K12"/>
  <c r="J12"/>
  <c r="I12"/>
  <c r="H12"/>
  <c r="M12"/>
  <c r="K11"/>
  <c r="J11"/>
  <c r="I11"/>
  <c r="H11"/>
  <c r="M11"/>
  <c r="N11"/>
  <c r="K46" i="40"/>
  <c r="K45"/>
  <c r="K44"/>
  <c r="K43"/>
  <c r="K42"/>
  <c r="K41"/>
  <c r="K40"/>
  <c r="K39"/>
  <c r="K38"/>
  <c r="K37"/>
  <c r="B37"/>
  <c r="K36"/>
  <c r="C36"/>
  <c r="Q36"/>
  <c r="K35"/>
  <c r="K34"/>
  <c r="K33"/>
  <c r="K32"/>
  <c r="C32"/>
  <c r="C33"/>
  <c r="C34"/>
  <c r="B32"/>
  <c r="Q32"/>
  <c r="W31"/>
  <c r="AC31"/>
  <c r="AI31"/>
  <c r="AJ31"/>
  <c r="Q31"/>
  <c r="K31"/>
  <c r="P30"/>
  <c r="O30"/>
  <c r="N30"/>
  <c r="M30"/>
  <c r="L30"/>
  <c r="K30"/>
  <c r="P29"/>
  <c r="O29"/>
  <c r="N29"/>
  <c r="M29"/>
  <c r="L29"/>
  <c r="K29"/>
  <c r="P28"/>
  <c r="O28"/>
  <c r="N28"/>
  <c r="M28"/>
  <c r="L28"/>
  <c r="K28"/>
  <c r="P27"/>
  <c r="O27"/>
  <c r="N27"/>
  <c r="M27"/>
  <c r="L27"/>
  <c r="K27"/>
  <c r="S26"/>
  <c r="P26"/>
  <c r="O26"/>
  <c r="AA26"/>
  <c r="N26"/>
  <c r="M26"/>
  <c r="L26"/>
  <c r="K26"/>
  <c r="W26"/>
  <c r="C26"/>
  <c r="Z26"/>
  <c r="B26"/>
  <c r="AB26"/>
  <c r="AA25"/>
  <c r="AG25"/>
  <c r="V25"/>
  <c r="U25"/>
  <c r="T25"/>
  <c r="S25"/>
  <c r="R25"/>
  <c r="Q25"/>
  <c r="P25"/>
  <c r="AB25"/>
  <c r="AH25"/>
  <c r="O25"/>
  <c r="N25"/>
  <c r="Z25"/>
  <c r="AF25"/>
  <c r="M25"/>
  <c r="Y25"/>
  <c r="AE25"/>
  <c r="L25"/>
  <c r="X25"/>
  <c r="AD25"/>
  <c r="K25"/>
  <c r="W25"/>
  <c r="AC25"/>
  <c r="AI25"/>
  <c r="AJ25"/>
  <c r="Y24"/>
  <c r="P24"/>
  <c r="O24"/>
  <c r="N24"/>
  <c r="M24"/>
  <c r="L24"/>
  <c r="K24"/>
  <c r="B24"/>
  <c r="Q24"/>
  <c r="Y23"/>
  <c r="U23"/>
  <c r="P23"/>
  <c r="O23"/>
  <c r="N23"/>
  <c r="M23"/>
  <c r="L23"/>
  <c r="K23"/>
  <c r="C23"/>
  <c r="C24"/>
  <c r="B23"/>
  <c r="V22"/>
  <c r="U22"/>
  <c r="AG22"/>
  <c r="T22"/>
  <c r="S22"/>
  <c r="R22"/>
  <c r="Q22"/>
  <c r="AC22"/>
  <c r="P22"/>
  <c r="AB22"/>
  <c r="AH22"/>
  <c r="O22"/>
  <c r="AA22"/>
  <c r="N22"/>
  <c r="Z22"/>
  <c r="AF22"/>
  <c r="M22"/>
  <c r="Y22"/>
  <c r="AE22"/>
  <c r="L22"/>
  <c r="X22"/>
  <c r="AD22"/>
  <c r="K22"/>
  <c r="W22"/>
  <c r="P21"/>
  <c r="O21"/>
  <c r="N21"/>
  <c r="M21"/>
  <c r="L21"/>
  <c r="K21"/>
  <c r="S20"/>
  <c r="P20"/>
  <c r="O20"/>
  <c r="AA20"/>
  <c r="N20"/>
  <c r="M20"/>
  <c r="L20"/>
  <c r="K20"/>
  <c r="W20"/>
  <c r="C20"/>
  <c r="Z20"/>
  <c r="B20"/>
  <c r="AB20"/>
  <c r="AA19"/>
  <c r="AG19"/>
  <c r="V19"/>
  <c r="U19"/>
  <c r="T19"/>
  <c r="S19"/>
  <c r="R19"/>
  <c r="Q19"/>
  <c r="P19"/>
  <c r="AB19"/>
  <c r="AH19"/>
  <c r="O19"/>
  <c r="N19"/>
  <c r="Z19"/>
  <c r="AF19"/>
  <c r="M19"/>
  <c r="Y19"/>
  <c r="AE19"/>
  <c r="L19"/>
  <c r="X19"/>
  <c r="AD19"/>
  <c r="K19"/>
  <c r="W19"/>
  <c r="AC19"/>
  <c r="P18"/>
  <c r="O18"/>
  <c r="N18"/>
  <c r="M18"/>
  <c r="L18"/>
  <c r="K18"/>
  <c r="Y17"/>
  <c r="P17"/>
  <c r="O17"/>
  <c r="N17"/>
  <c r="M17"/>
  <c r="L17"/>
  <c r="K17"/>
  <c r="B17"/>
  <c r="Y16"/>
  <c r="U16"/>
  <c r="P16"/>
  <c r="O16"/>
  <c r="N16"/>
  <c r="M16"/>
  <c r="L16"/>
  <c r="K16"/>
  <c r="C16"/>
  <c r="C17"/>
  <c r="C18"/>
  <c r="B16"/>
  <c r="V15"/>
  <c r="U15"/>
  <c r="AG15"/>
  <c r="T15"/>
  <c r="S15"/>
  <c r="R15"/>
  <c r="Q15"/>
  <c r="AC15"/>
  <c r="P15"/>
  <c r="AB15"/>
  <c r="AH15"/>
  <c r="O15"/>
  <c r="AA15"/>
  <c r="N15"/>
  <c r="Z15"/>
  <c r="AF15"/>
  <c r="M15"/>
  <c r="Y15"/>
  <c r="AE15"/>
  <c r="L15"/>
  <c r="X15"/>
  <c r="AD15"/>
  <c r="K15"/>
  <c r="W15"/>
  <c r="S14"/>
  <c r="P14"/>
  <c r="O14"/>
  <c r="AA14"/>
  <c r="N14"/>
  <c r="M14"/>
  <c r="L14"/>
  <c r="K14"/>
  <c r="W14"/>
  <c r="C14"/>
  <c r="V14"/>
  <c r="B14"/>
  <c r="AB14"/>
  <c r="AA13"/>
  <c r="AG13"/>
  <c r="V13"/>
  <c r="U13"/>
  <c r="T13"/>
  <c r="S13"/>
  <c r="R13"/>
  <c r="Q13"/>
  <c r="P13"/>
  <c r="AB13"/>
  <c r="AH13"/>
  <c r="O13"/>
  <c r="N13"/>
  <c r="Z13"/>
  <c r="AF13"/>
  <c r="M13"/>
  <c r="Y13"/>
  <c r="AE13"/>
  <c r="L13"/>
  <c r="X13"/>
  <c r="AD13"/>
  <c r="K13"/>
  <c r="W13"/>
  <c r="AC13"/>
  <c r="AI13"/>
  <c r="AJ13"/>
  <c r="N13" i="41"/>
  <c r="O13"/>
  <c r="AG20" i="40"/>
  <c r="AI15"/>
  <c r="AJ15"/>
  <c r="AI22"/>
  <c r="AJ22"/>
  <c r="AC14"/>
  <c r="AI19"/>
  <c r="AJ19"/>
  <c r="AC20"/>
  <c r="AG14"/>
  <c r="O18" i="41"/>
  <c r="N18"/>
  <c r="O20"/>
  <c r="N20"/>
  <c r="O22"/>
  <c r="N22"/>
  <c r="N24"/>
  <c r="O24"/>
  <c r="O26"/>
  <c r="N26"/>
  <c r="N27"/>
  <c r="O27"/>
  <c r="O28"/>
  <c r="N28"/>
  <c r="O30"/>
  <c r="N30"/>
  <c r="O35"/>
  <c r="N35"/>
  <c r="O36"/>
  <c r="N36"/>
  <c r="O43"/>
  <c r="N43"/>
  <c r="O44"/>
  <c r="N44"/>
  <c r="O16"/>
  <c r="N16"/>
  <c r="O34"/>
  <c r="N34"/>
  <c r="O41"/>
  <c r="N41"/>
  <c r="O42"/>
  <c r="N42"/>
  <c r="Z17" i="40"/>
  <c r="V17"/>
  <c r="R17"/>
  <c r="AB17"/>
  <c r="AH17"/>
  <c r="AA17"/>
  <c r="W17"/>
  <c r="S17"/>
  <c r="AE17"/>
  <c r="X17"/>
  <c r="T17"/>
  <c r="Z16"/>
  <c r="V16"/>
  <c r="R16"/>
  <c r="AB16"/>
  <c r="T16"/>
  <c r="AA16"/>
  <c r="AG16"/>
  <c r="W16"/>
  <c r="AC16"/>
  <c r="S16"/>
  <c r="X16"/>
  <c r="Z23"/>
  <c r="V23"/>
  <c r="R23"/>
  <c r="AB23"/>
  <c r="T23"/>
  <c r="AA23"/>
  <c r="AG23"/>
  <c r="W23"/>
  <c r="S23"/>
  <c r="X23"/>
  <c r="AD23"/>
  <c r="O37" i="41"/>
  <c r="N37"/>
  <c r="O38"/>
  <c r="N38"/>
  <c r="O45"/>
  <c r="N45"/>
  <c r="O46"/>
  <c r="N46"/>
  <c r="AE23" i="40"/>
  <c r="O11" i="41"/>
  <c r="U17" i="40"/>
  <c r="U24"/>
  <c r="AH14"/>
  <c r="Q16"/>
  <c r="Q17"/>
  <c r="Q23"/>
  <c r="W32"/>
  <c r="AC32"/>
  <c r="AI32"/>
  <c r="AJ32"/>
  <c r="M14" i="41"/>
  <c r="M71"/>
  <c r="N12"/>
  <c r="O12"/>
  <c r="O19"/>
  <c r="N19"/>
  <c r="N21"/>
  <c r="O21"/>
  <c r="O23"/>
  <c r="N23"/>
  <c r="N25"/>
  <c r="O25"/>
  <c r="N29"/>
  <c r="O29"/>
  <c r="N17"/>
  <c r="O17"/>
  <c r="O33"/>
  <c r="N33"/>
  <c r="Z24" i="40"/>
  <c r="V24"/>
  <c r="R24"/>
  <c r="X24"/>
  <c r="AA24"/>
  <c r="AG24"/>
  <c r="W24"/>
  <c r="AC24"/>
  <c r="S24"/>
  <c r="AE24"/>
  <c r="AB24"/>
  <c r="T24"/>
  <c r="O31" i="41"/>
  <c r="N31"/>
  <c r="O32"/>
  <c r="N32"/>
  <c r="O39"/>
  <c r="N39"/>
  <c r="O40"/>
  <c r="N40"/>
  <c r="AE16" i="40"/>
  <c r="B18"/>
  <c r="B33"/>
  <c r="M15" i="41"/>
  <c r="R14" i="40"/>
  <c r="Z14"/>
  <c r="AF14"/>
  <c r="V20"/>
  <c r="AH20"/>
  <c r="C21"/>
  <c r="V26"/>
  <c r="AH26"/>
  <c r="C27"/>
  <c r="C28"/>
  <c r="C29"/>
  <c r="C30"/>
  <c r="Q14"/>
  <c r="U14"/>
  <c r="Y14"/>
  <c r="AE14"/>
  <c r="Q20"/>
  <c r="U20"/>
  <c r="Y20"/>
  <c r="AE20"/>
  <c r="B21"/>
  <c r="Q26"/>
  <c r="AC26"/>
  <c r="AI26"/>
  <c r="AJ26"/>
  <c r="U26"/>
  <c r="AG26"/>
  <c r="Y26"/>
  <c r="AE26"/>
  <c r="B27"/>
  <c r="W36"/>
  <c r="AC36"/>
  <c r="AI36"/>
  <c r="AJ36"/>
  <c r="B38"/>
  <c r="R20"/>
  <c r="R26"/>
  <c r="C37"/>
  <c r="C38"/>
  <c r="C39"/>
  <c r="C40"/>
  <c r="C41"/>
  <c r="C42"/>
  <c r="C43"/>
  <c r="C44"/>
  <c r="C45"/>
  <c r="C46"/>
  <c r="T14"/>
  <c r="X14"/>
  <c r="AD14"/>
  <c r="T20"/>
  <c r="AF20"/>
  <c r="X20"/>
  <c r="T26"/>
  <c r="AF26"/>
  <c r="X26"/>
  <c r="AD26"/>
  <c r="Q33"/>
  <c r="B34"/>
  <c r="W33"/>
  <c r="AC33"/>
  <c r="AI33"/>
  <c r="AJ33"/>
  <c r="Q38"/>
  <c r="B39"/>
  <c r="W38"/>
  <c r="AC38"/>
  <c r="AI38"/>
  <c r="AJ38"/>
  <c r="N15" i="41"/>
  <c r="O15"/>
  <c r="AF24" i="40"/>
  <c r="AF23"/>
  <c r="AD17"/>
  <c r="W37"/>
  <c r="AC37"/>
  <c r="AI37"/>
  <c r="AJ37"/>
  <c r="AH24"/>
  <c r="AI24"/>
  <c r="AJ24"/>
  <c r="AD24"/>
  <c r="AH23"/>
  <c r="AD16"/>
  <c r="AI16"/>
  <c r="AJ16"/>
  <c r="AF16"/>
  <c r="AC17"/>
  <c r="AB27"/>
  <c r="AH27"/>
  <c r="X27"/>
  <c r="T27"/>
  <c r="V27"/>
  <c r="B28"/>
  <c r="Y27"/>
  <c r="AE27"/>
  <c r="U27"/>
  <c r="Q27"/>
  <c r="Z27"/>
  <c r="R27"/>
  <c r="S27"/>
  <c r="W27"/>
  <c r="AC27"/>
  <c r="AA27"/>
  <c r="AB21"/>
  <c r="AH21"/>
  <c r="X21"/>
  <c r="T21"/>
  <c r="V21"/>
  <c r="Y21"/>
  <c r="AE21"/>
  <c r="U21"/>
  <c r="Q21"/>
  <c r="Z21"/>
  <c r="AF21"/>
  <c r="R21"/>
  <c r="W21"/>
  <c r="AC21"/>
  <c r="AA21"/>
  <c r="S21"/>
  <c r="Z18"/>
  <c r="V18"/>
  <c r="R18"/>
  <c r="X18"/>
  <c r="AD18"/>
  <c r="AA18"/>
  <c r="AG18"/>
  <c r="W18"/>
  <c r="AC18"/>
  <c r="S18"/>
  <c r="AB18"/>
  <c r="T18"/>
  <c r="Y18"/>
  <c r="AE18"/>
  <c r="Q18"/>
  <c r="U18"/>
  <c r="O14" i="41"/>
  <c r="N14"/>
  <c r="AI14" i="40"/>
  <c r="AJ14"/>
  <c r="AD20"/>
  <c r="AI20"/>
  <c r="AJ20"/>
  <c r="Q37"/>
  <c r="AC23"/>
  <c r="AH16"/>
  <c r="AG17"/>
  <c r="AF17"/>
  <c r="AB28"/>
  <c r="AH28"/>
  <c r="X28"/>
  <c r="T28"/>
  <c r="Z28"/>
  <c r="AF28"/>
  <c r="R28"/>
  <c r="B29"/>
  <c r="Y28"/>
  <c r="U28"/>
  <c r="Q28"/>
  <c r="V28"/>
  <c r="S28"/>
  <c r="W28"/>
  <c r="AA28"/>
  <c r="AG28"/>
  <c r="Q39"/>
  <c r="B40"/>
  <c r="W39"/>
  <c r="AD27"/>
  <c r="AI27"/>
  <c r="AJ27"/>
  <c r="AD21"/>
  <c r="AH18"/>
  <c r="AG27"/>
  <c r="AF27"/>
  <c r="Q34"/>
  <c r="W34"/>
  <c r="AC34"/>
  <c r="AI34"/>
  <c r="AJ34"/>
  <c r="B35"/>
  <c r="AF18"/>
  <c r="AI18"/>
  <c r="AJ18"/>
  <c r="AI23"/>
  <c r="AJ23"/>
  <c r="AG21"/>
  <c r="AI21"/>
  <c r="AJ21"/>
  <c r="AI17"/>
  <c r="AJ17"/>
  <c r="Q35"/>
  <c r="W35"/>
  <c r="AC35"/>
  <c r="AI35"/>
  <c r="AJ35"/>
  <c r="Q40"/>
  <c r="B41"/>
  <c r="W40"/>
  <c r="AC40"/>
  <c r="AI40"/>
  <c r="AJ40"/>
  <c r="AD28"/>
  <c r="AE28"/>
  <c r="AB29"/>
  <c r="AH29"/>
  <c r="X29"/>
  <c r="T29"/>
  <c r="V29"/>
  <c r="B30"/>
  <c r="Y29"/>
  <c r="U29"/>
  <c r="Q29"/>
  <c r="Z29"/>
  <c r="R29"/>
  <c r="W29"/>
  <c r="AC29"/>
  <c r="AA29"/>
  <c r="S29"/>
  <c r="AC39"/>
  <c r="AI39"/>
  <c r="AJ39"/>
  <c r="AC28"/>
  <c r="AI28"/>
  <c r="AJ28"/>
  <c r="AB30"/>
  <c r="X30"/>
  <c r="T30"/>
  <c r="Z30"/>
  <c r="AF30"/>
  <c r="R30"/>
  <c r="Y30"/>
  <c r="U30"/>
  <c r="Q30"/>
  <c r="V30"/>
  <c r="S30"/>
  <c r="W30"/>
  <c r="AA30"/>
  <c r="AG30"/>
  <c r="Q41"/>
  <c r="B42"/>
  <c r="W41"/>
  <c r="AF29"/>
  <c r="AE29"/>
  <c r="AD29"/>
  <c r="AI29"/>
  <c r="AJ29"/>
  <c r="AG29"/>
  <c r="AD30"/>
  <c r="AC41"/>
  <c r="AI41"/>
  <c r="AJ41"/>
  <c r="AC30"/>
  <c r="Q42"/>
  <c r="B43"/>
  <c r="W42"/>
  <c r="AC42"/>
  <c r="AI42"/>
  <c r="AJ42"/>
  <c r="AH30"/>
  <c r="AE30"/>
  <c r="Q43"/>
  <c r="B44"/>
  <c r="W43"/>
  <c r="AC43"/>
  <c r="AI43"/>
  <c r="AJ43"/>
  <c r="AI30"/>
  <c r="AJ30"/>
  <c r="Q44"/>
  <c r="B45"/>
  <c r="W44"/>
  <c r="AC44"/>
  <c r="AI44"/>
  <c r="AJ44"/>
  <c r="Q45"/>
  <c r="B46"/>
  <c r="W45"/>
  <c r="Q46"/>
  <c r="W46"/>
  <c r="AC46"/>
  <c r="AI46"/>
  <c r="AJ46"/>
  <c r="AC45"/>
  <c r="AI45"/>
  <c r="AJ45"/>
  <c r="B65" i="8"/>
  <c r="H10" i="45" s="1"/>
  <c r="A65" i="8"/>
  <c r="G10" i="45" s="1"/>
  <c r="B64" i="8"/>
  <c r="H9" i="45" s="1"/>
  <c r="A64" i="8"/>
  <c r="G9" i="45" s="1"/>
  <c r="B63" i="8"/>
  <c r="H8" i="45" s="1"/>
  <c r="A63" i="8"/>
  <c r="G8" i="45" s="1"/>
  <c r="B62" i="8"/>
  <c r="H7" i="45" s="1"/>
  <c r="A62" i="8"/>
  <c r="G7" i="45" s="1"/>
  <c r="C42" i="8"/>
  <c r="C43"/>
  <c r="C44"/>
  <c r="C41"/>
  <c r="C55"/>
  <c r="B59"/>
  <c r="H4" i="45" s="1"/>
  <c r="B61" i="8"/>
  <c r="H6" i="45" s="1"/>
  <c r="A61" i="8"/>
  <c r="G6" i="45" s="1"/>
  <c r="B58" i="8"/>
  <c r="H3" i="45" s="1"/>
  <c r="A58" i="8"/>
  <c r="G3" i="45" s="1"/>
  <c r="A59" i="8"/>
  <c r="G4" i="45" s="1"/>
  <c r="B60" i="8"/>
  <c r="H5" i="45" s="1"/>
  <c r="A60" i="8"/>
  <c r="G5" i="45" s="1"/>
  <c r="X12" i="8"/>
  <c r="W12"/>
  <c r="V12"/>
  <c r="U12"/>
  <c r="T12"/>
  <c r="S12"/>
  <c r="R12"/>
  <c r="Q12"/>
  <c r="P12"/>
  <c r="O12"/>
  <c r="N12"/>
  <c r="M12"/>
  <c r="L12"/>
  <c r="K12"/>
  <c r="J12"/>
  <c r="I12"/>
  <c r="H12"/>
  <c r="G12"/>
  <c r="F12"/>
  <c r="E12"/>
  <c r="X111"/>
  <c r="W111"/>
  <c r="V111"/>
  <c r="U111"/>
  <c r="T111"/>
  <c r="S111"/>
  <c r="R111"/>
  <c r="Q111"/>
  <c r="P111"/>
  <c r="O111"/>
  <c r="N111"/>
  <c r="M111"/>
  <c r="L111"/>
  <c r="K111"/>
  <c r="J111"/>
  <c r="I111"/>
  <c r="H111"/>
  <c r="G111"/>
  <c r="F111"/>
  <c r="E111"/>
  <c r="X74"/>
  <c r="W74"/>
  <c r="V74"/>
  <c r="U74"/>
  <c r="T74"/>
  <c r="S74"/>
  <c r="R74"/>
  <c r="Q74"/>
  <c r="P74"/>
  <c r="O74"/>
  <c r="N74"/>
  <c r="M74"/>
  <c r="L74"/>
  <c r="K74"/>
  <c r="J74"/>
  <c r="I74"/>
  <c r="H74"/>
  <c r="G74"/>
  <c r="F74"/>
  <c r="E74"/>
  <c r="X57"/>
  <c r="W57"/>
  <c r="V57"/>
  <c r="U57"/>
  <c r="T57"/>
  <c r="S57"/>
  <c r="R57"/>
  <c r="Q57"/>
  <c r="P57"/>
  <c r="O57"/>
  <c r="N57"/>
  <c r="M57"/>
  <c r="L57"/>
  <c r="K57"/>
  <c r="J57"/>
  <c r="I57"/>
  <c r="H57"/>
  <c r="G57"/>
  <c r="F57"/>
  <c r="E57"/>
  <c r="X110"/>
  <c r="W110"/>
  <c r="V110"/>
  <c r="U110"/>
  <c r="T110"/>
  <c r="S110"/>
  <c r="R110"/>
  <c r="Q110"/>
  <c r="P110"/>
  <c r="O110"/>
  <c r="N110"/>
  <c r="M110"/>
  <c r="L110"/>
  <c r="K110"/>
  <c r="J110"/>
  <c r="I110"/>
  <c r="H110"/>
  <c r="G110"/>
  <c r="F110"/>
  <c r="E110"/>
  <c r="X73"/>
  <c r="W73"/>
  <c r="V73"/>
  <c r="U73"/>
  <c r="T73"/>
  <c r="S73"/>
  <c r="R73"/>
  <c r="Q73"/>
  <c r="P73"/>
  <c r="O73"/>
  <c r="N73"/>
  <c r="M73"/>
  <c r="L73"/>
  <c r="K73"/>
  <c r="J73"/>
  <c r="I73"/>
  <c r="H73"/>
  <c r="G73"/>
  <c r="F73"/>
  <c r="E73"/>
  <c r="X56"/>
  <c r="W56"/>
  <c r="V56"/>
  <c r="U56"/>
  <c r="T56"/>
  <c r="S56"/>
  <c r="R56"/>
  <c r="Q56"/>
  <c r="P56"/>
  <c r="O56"/>
  <c r="N56"/>
  <c r="M56"/>
  <c r="L56"/>
  <c r="K56"/>
  <c r="J56"/>
  <c r="I56"/>
  <c r="H56"/>
  <c r="G56"/>
  <c r="F56"/>
  <c r="E56"/>
  <c r="C26"/>
  <c r="C40" s="1"/>
  <c r="C9"/>
  <c r="E31" l="1"/>
  <c r="F16"/>
  <c r="G16" s="1"/>
  <c r="H16" s="1"/>
  <c r="I16" s="1"/>
  <c r="J16" s="1"/>
  <c r="K16" s="1"/>
  <c r="L16" s="1"/>
  <c r="M16" s="1"/>
  <c r="N16" s="1"/>
  <c r="O16" s="1"/>
  <c r="P16" s="1"/>
  <c r="Q16" s="1"/>
  <c r="R16" s="1"/>
  <c r="S16" s="1"/>
  <c r="T16" s="1"/>
  <c r="U16" s="1"/>
  <c r="V16" s="1"/>
  <c r="W16" s="1"/>
  <c r="X16" s="1"/>
  <c r="E28"/>
  <c r="F14"/>
  <c r="G14" s="1"/>
  <c r="H14" s="1"/>
  <c r="I14" s="1"/>
  <c r="J14" s="1"/>
  <c r="K14" s="1"/>
  <c r="L14" s="1"/>
  <c r="M14" s="1"/>
  <c r="N14" s="1"/>
  <c r="O14" s="1"/>
  <c r="P14" s="1"/>
  <c r="Q14" s="1"/>
  <c r="R14" s="1"/>
  <c r="S14" s="1"/>
  <c r="T14" s="1"/>
  <c r="U14" s="1"/>
  <c r="V14" s="1"/>
  <c r="W14" s="1"/>
  <c r="X14" s="1"/>
  <c r="E34"/>
  <c r="E30"/>
  <c r="E22"/>
  <c r="U75"/>
  <c r="E76"/>
  <c r="Q76"/>
  <c r="V75"/>
  <c r="V112" s="1"/>
  <c r="Q75"/>
  <c r="Q112" s="1"/>
  <c r="M76"/>
  <c r="U76"/>
  <c r="O75"/>
  <c r="I76"/>
  <c r="F75"/>
  <c r="F112" s="1"/>
  <c r="E75"/>
  <c r="E112" s="1"/>
  <c r="N76"/>
  <c r="V76"/>
  <c r="J75"/>
  <c r="J112" s="1"/>
  <c r="H75"/>
  <c r="H112" s="1"/>
  <c r="Y75"/>
  <c r="X76"/>
  <c r="K76"/>
  <c r="J76"/>
  <c r="F76"/>
  <c r="W76"/>
  <c r="N75"/>
  <c r="N112" s="1"/>
  <c r="P75"/>
  <c r="P112" s="1"/>
  <c r="W75"/>
  <c r="W112" s="1"/>
  <c r="G75"/>
  <c r="G112" s="1"/>
  <c r="Y76"/>
  <c r="O76"/>
  <c r="H76"/>
  <c r="G76"/>
  <c r="G113" s="1"/>
  <c r="S75"/>
  <c r="S112" s="1"/>
  <c r="L75"/>
  <c r="L112" s="1"/>
  <c r="S76"/>
  <c r="L76"/>
  <c r="P76"/>
  <c r="R76"/>
  <c r="T76"/>
  <c r="R75"/>
  <c r="R112" s="1"/>
  <c r="T75"/>
  <c r="T112" s="1"/>
  <c r="M75"/>
  <c r="M112" s="1"/>
  <c r="K75"/>
  <c r="K112" s="1"/>
  <c r="I75"/>
  <c r="X75"/>
  <c r="X112" s="1"/>
  <c r="V40"/>
  <c r="R40"/>
  <c r="N40"/>
  <c r="J40"/>
  <c r="F40"/>
  <c r="W40"/>
  <c r="O40"/>
  <c r="K40"/>
  <c r="G40"/>
  <c r="X40"/>
  <c r="P40"/>
  <c r="L40"/>
  <c r="H40"/>
  <c r="U40"/>
  <c r="Q40"/>
  <c r="M40"/>
  <c r="I40"/>
  <c r="E40"/>
  <c r="E42" s="1"/>
  <c r="E58" s="1"/>
  <c r="A39"/>
  <c r="S40"/>
  <c r="T40"/>
  <c r="A25"/>
  <c r="D110"/>
  <c r="F29"/>
  <c r="F43" s="1"/>
  <c r="F60" s="1"/>
  <c r="L5" i="45" s="1"/>
  <c r="E33" i="8"/>
  <c r="F33"/>
  <c r="F32"/>
  <c r="F46" s="1"/>
  <c r="F64" s="1"/>
  <c r="L9" i="45" s="1"/>
  <c r="E29" i="8"/>
  <c r="E32"/>
  <c r="G33"/>
  <c r="O53" i="43"/>
  <c r="K53"/>
  <c r="D53"/>
  <c r="B14" i="3" s="1"/>
  <c r="F53" i="43"/>
  <c r="D14" i="3" s="1"/>
  <c r="H53" i="43"/>
  <c r="F14" i="3" s="1"/>
  <c r="J53" i="43"/>
  <c r="H14" i="3" s="1"/>
  <c r="P53" i="43"/>
  <c r="L53"/>
  <c r="C53"/>
  <c r="A14" i="3" s="1"/>
  <c r="M53" i="43"/>
  <c r="G53"/>
  <c r="E14" i="3" s="1"/>
  <c r="N53" i="43"/>
  <c r="E53"/>
  <c r="C14" i="3" s="1"/>
  <c r="I53" i="43"/>
  <c r="G14" i="3" s="1"/>
  <c r="O49" i="43"/>
  <c r="K49"/>
  <c r="D49"/>
  <c r="B10" i="3" s="1"/>
  <c r="F49" i="43"/>
  <c r="D10" i="3" s="1"/>
  <c r="H49" i="43"/>
  <c r="F10" i="3" s="1"/>
  <c r="J49" i="43"/>
  <c r="H10" i="3" s="1"/>
  <c r="P49" i="43"/>
  <c r="L49"/>
  <c r="C49"/>
  <c r="A10" i="3" s="1"/>
  <c r="M49" i="43"/>
  <c r="G49"/>
  <c r="E10" i="3" s="1"/>
  <c r="E49" i="43"/>
  <c r="C10" i="3" s="1"/>
  <c r="I49" i="43"/>
  <c r="G10" i="3" s="1"/>
  <c r="H34" i="8"/>
  <c r="O47" i="43"/>
  <c r="K47"/>
  <c r="E47"/>
  <c r="C8" i="3" s="1"/>
  <c r="G47" i="43"/>
  <c r="E8" i="3" s="1"/>
  <c r="I47" i="43"/>
  <c r="G8" i="3" s="1"/>
  <c r="D47" i="43"/>
  <c r="B8" i="3" s="1"/>
  <c r="C47" i="43"/>
  <c r="A8" i="3" s="1"/>
  <c r="P47" i="43"/>
  <c r="L47"/>
  <c r="M47"/>
  <c r="H47"/>
  <c r="F8" i="3" s="1"/>
  <c r="F47" i="43"/>
  <c r="D8" i="3" s="1"/>
  <c r="J47" i="43"/>
  <c r="H8" i="3" s="1"/>
  <c r="N47" i="43"/>
  <c r="G29" i="8"/>
  <c r="C54" i="43"/>
  <c r="A15" i="3" s="1"/>
  <c r="M54" i="43"/>
  <c r="D54"/>
  <c r="B15" i="3" s="1"/>
  <c r="F54" i="43"/>
  <c r="D15" i="3" s="1"/>
  <c r="H54" i="43"/>
  <c r="F15" i="3" s="1"/>
  <c r="J54" i="43"/>
  <c r="H15" i="3" s="1"/>
  <c r="N54" i="43"/>
  <c r="O54"/>
  <c r="K54"/>
  <c r="G54"/>
  <c r="E15" i="3" s="1"/>
  <c r="E54" i="43"/>
  <c r="C15" i="3" s="1"/>
  <c r="L54" i="43"/>
  <c r="I54"/>
  <c r="G15" i="3" s="1"/>
  <c r="C50" i="43"/>
  <c r="A11" i="3" s="1"/>
  <c r="M50" i="43"/>
  <c r="D50"/>
  <c r="B11" i="3" s="1"/>
  <c r="F50" i="43"/>
  <c r="D11" i="3" s="1"/>
  <c r="H50" i="43"/>
  <c r="F11" i="3" s="1"/>
  <c r="J50" i="43"/>
  <c r="H11" i="3" s="1"/>
  <c r="N50" i="43"/>
  <c r="O50"/>
  <c r="K50"/>
  <c r="G50"/>
  <c r="E11" i="3" s="1"/>
  <c r="P50" i="43"/>
  <c r="E50"/>
  <c r="C11" i="3" s="1"/>
  <c r="I50" i="43"/>
  <c r="G11" i="3" s="1"/>
  <c r="L50" i="43"/>
  <c r="O51"/>
  <c r="K51"/>
  <c r="D51"/>
  <c r="B12" i="3" s="1"/>
  <c r="F51" i="43"/>
  <c r="D12" i="3" s="1"/>
  <c r="H51" i="43"/>
  <c r="F12" i="3" s="1"/>
  <c r="J51" i="43"/>
  <c r="H12" i="3" s="1"/>
  <c r="P51" i="43"/>
  <c r="L51"/>
  <c r="C51"/>
  <c r="A12" i="3" s="1"/>
  <c r="M51" i="43"/>
  <c r="G51"/>
  <c r="E12" i="3" s="1"/>
  <c r="E51" i="43"/>
  <c r="C12" i="3" s="1"/>
  <c r="N51" i="43"/>
  <c r="I51"/>
  <c r="G12" i="3" s="1"/>
  <c r="C52" i="43"/>
  <c r="A13" i="3" s="1"/>
  <c r="M52" i="43"/>
  <c r="D52"/>
  <c r="B13" i="3" s="1"/>
  <c r="F52" i="43"/>
  <c r="D13" i="3" s="1"/>
  <c r="H52" i="43"/>
  <c r="F13" i="3" s="1"/>
  <c r="J52" i="43"/>
  <c r="H13" i="3" s="1"/>
  <c r="N52" i="43"/>
  <c r="O52"/>
  <c r="K52"/>
  <c r="G52"/>
  <c r="E13" i="3" s="1"/>
  <c r="E52" i="43"/>
  <c r="C13" i="3" s="1"/>
  <c r="I52" i="43"/>
  <c r="G13" i="3" s="1"/>
  <c r="P52" i="43"/>
  <c r="C48"/>
  <c r="A9" i="3" s="1"/>
  <c r="M48" i="43"/>
  <c r="D48"/>
  <c r="B9" i="3" s="1"/>
  <c r="F48" i="43"/>
  <c r="D9" i="3" s="1"/>
  <c r="H48" i="43"/>
  <c r="F9" i="3" s="1"/>
  <c r="J48" i="43"/>
  <c r="H9" i="3" s="1"/>
  <c r="N48" i="43"/>
  <c r="O48"/>
  <c r="K48"/>
  <c r="G48"/>
  <c r="E9" i="3" s="1"/>
  <c r="L48" i="43"/>
  <c r="E48"/>
  <c r="C9" i="3" s="1"/>
  <c r="P48" i="43"/>
  <c r="I48"/>
  <c r="G9" i="3" s="1"/>
  <c r="I31" i="8"/>
  <c r="G32"/>
  <c r="U112"/>
  <c r="H33"/>
  <c r="E27"/>
  <c r="F27"/>
  <c r="F31"/>
  <c r="G31"/>
  <c r="H31"/>
  <c r="F28"/>
  <c r="G34"/>
  <c r="F34"/>
  <c r="L30" l="1"/>
  <c r="L44" s="1"/>
  <c r="L62" s="1"/>
  <c r="R7" i="45" s="1"/>
  <c r="H30" i="8"/>
  <c r="H44" s="1"/>
  <c r="H62" s="1"/>
  <c r="N7" i="45" s="1"/>
  <c r="G30" i="8"/>
  <c r="F22"/>
  <c r="G28"/>
  <c r="G42" s="1"/>
  <c r="G58" s="1"/>
  <c r="M3" i="45" s="1"/>
  <c r="F30" i="8"/>
  <c r="F36" s="1"/>
  <c r="I30"/>
  <c r="I44" s="1"/>
  <c r="I62" s="1"/>
  <c r="O7" i="45" s="1"/>
  <c r="E43" i="8"/>
  <c r="E60" s="1"/>
  <c r="K5" i="45" s="1"/>
  <c r="J30" i="8"/>
  <c r="J44" s="1"/>
  <c r="J62" s="1"/>
  <c r="P7" i="45" s="1"/>
  <c r="G44" i="8"/>
  <c r="G62" s="1"/>
  <c r="M7" i="45" s="1"/>
  <c r="G45" i="8"/>
  <c r="G61" s="1"/>
  <c r="M6" i="45" s="1"/>
  <c r="H47" i="8"/>
  <c r="H59" s="1"/>
  <c r="N4" i="45" s="1"/>
  <c r="E113" i="8"/>
  <c r="K31"/>
  <c r="K45" s="1"/>
  <c r="K61" s="1"/>
  <c r="Q6" i="45" s="1"/>
  <c r="E47" i="8"/>
  <c r="E59" s="1"/>
  <c r="K4" i="45" s="1"/>
  <c r="E48" i="8"/>
  <c r="E65" s="1"/>
  <c r="K10" i="45" s="1"/>
  <c r="K30" i="8"/>
  <c r="K44" s="1"/>
  <c r="K62" s="1"/>
  <c r="Q7" i="45" s="1"/>
  <c r="L31" i="8"/>
  <c r="L45" s="1"/>
  <c r="L61" s="1"/>
  <c r="R6" i="45" s="1"/>
  <c r="J31" i="8"/>
  <c r="J45" s="1"/>
  <c r="J61" s="1"/>
  <c r="P6" i="45" s="1"/>
  <c r="R113" i="8"/>
  <c r="U113"/>
  <c r="Q113"/>
  <c r="F113"/>
  <c r="T113"/>
  <c r="S113"/>
  <c r="Y113"/>
  <c r="H113"/>
  <c r="O113"/>
  <c r="Y112"/>
  <c r="M113"/>
  <c r="P113"/>
  <c r="O112"/>
  <c r="L113"/>
  <c r="W113"/>
  <c r="X113"/>
  <c r="V113"/>
  <c r="K113"/>
  <c r="I112"/>
  <c r="I113"/>
  <c r="K3" i="45"/>
  <c r="N113" i="8"/>
  <c r="J113"/>
  <c r="F48"/>
  <c r="F65" s="1"/>
  <c r="L10" i="45" s="1"/>
  <c r="G46" i="8"/>
  <c r="G64" s="1"/>
  <c r="M9" i="45" s="1"/>
  <c r="G48" i="8"/>
  <c r="G65" s="1"/>
  <c r="M10" i="45" s="1"/>
  <c r="H45" i="8"/>
  <c r="H61" s="1"/>
  <c r="N6" i="45" s="1"/>
  <c r="F45" i="8"/>
  <c r="F61" s="1"/>
  <c r="L6" i="45" s="1"/>
  <c r="G43" i="8"/>
  <c r="G60" s="1"/>
  <c r="M5" i="45" s="1"/>
  <c r="E46" i="8"/>
  <c r="E64" s="1"/>
  <c r="K9" i="45" s="1"/>
  <c r="E45" i="8"/>
  <c r="E61" s="1"/>
  <c r="K6" i="45" s="1"/>
  <c r="E44" i="8"/>
  <c r="E62" s="1"/>
  <c r="K7" i="45" s="1"/>
  <c r="F44" i="8"/>
  <c r="F62" s="1"/>
  <c r="L7" i="45" s="1"/>
  <c r="F42" i="8"/>
  <c r="F58" s="1"/>
  <c r="L3" i="45" s="1"/>
  <c r="I45" i="8"/>
  <c r="I61" s="1"/>
  <c r="O6" i="45" s="1"/>
  <c r="H48" i="8"/>
  <c r="H65" s="1"/>
  <c r="N10" i="45" s="1"/>
  <c r="G47" i="8"/>
  <c r="G59" s="1"/>
  <c r="M4" i="45" s="1"/>
  <c r="F47" i="8"/>
  <c r="F59" s="1"/>
  <c r="L4" i="45" s="1"/>
  <c r="H32" i="8"/>
  <c r="H46" s="1"/>
  <c r="E41"/>
  <c r="E36"/>
  <c r="I33"/>
  <c r="I47" s="1"/>
  <c r="I59" s="1"/>
  <c r="O4" i="45" s="1"/>
  <c r="G22" i="8"/>
  <c r="M31"/>
  <c r="M45" s="1"/>
  <c r="M61" s="1"/>
  <c r="S6" i="45" s="1"/>
  <c r="H29" i="8"/>
  <c r="H43" s="1"/>
  <c r="H28"/>
  <c r="H42" s="1"/>
  <c r="H58" s="1"/>
  <c r="N3" i="45" s="1"/>
  <c r="F41" i="8"/>
  <c r="I34"/>
  <c r="I48" s="1"/>
  <c r="I65" s="1"/>
  <c r="O10" i="45" s="1"/>
  <c r="G27" i="8"/>
  <c r="M30" l="1"/>
  <c r="M44" s="1"/>
  <c r="M62" s="1"/>
  <c r="S7" i="45" s="1"/>
  <c r="E77" i="8"/>
  <c r="E114" s="1"/>
  <c r="G77"/>
  <c r="G114" s="1"/>
  <c r="G41"/>
  <c r="G36"/>
  <c r="H77"/>
  <c r="H114" s="1"/>
  <c r="N31"/>
  <c r="N45" s="1"/>
  <c r="I32"/>
  <c r="I46" s="1"/>
  <c r="I64" s="1"/>
  <c r="O9" i="45" s="1"/>
  <c r="I29" i="8"/>
  <c r="I43" s="1"/>
  <c r="I60" s="1"/>
  <c r="O5" i="45" s="1"/>
  <c r="E51" i="8"/>
  <c r="E63"/>
  <c r="K8" i="45" s="1"/>
  <c r="H64" i="8"/>
  <c r="N9" i="45" s="1"/>
  <c r="H60" i="8"/>
  <c r="N5" i="45" s="1"/>
  <c r="H22" i="8"/>
  <c r="H27"/>
  <c r="N30"/>
  <c r="N44" s="1"/>
  <c r="F77"/>
  <c r="F114" s="1"/>
  <c r="J34"/>
  <c r="J48" s="1"/>
  <c r="J65" s="1"/>
  <c r="P10" i="45" s="1"/>
  <c r="F63" i="8"/>
  <c r="F51"/>
  <c r="I28"/>
  <c r="I42" s="1"/>
  <c r="J33"/>
  <c r="J47" s="1"/>
  <c r="J59" s="1"/>
  <c r="P4" i="45" s="1"/>
  <c r="F89" i="8" l="1"/>
  <c r="L8" i="45"/>
  <c r="F100" i="8"/>
  <c r="F106"/>
  <c r="F80"/>
  <c r="F94"/>
  <c r="F104"/>
  <c r="F82"/>
  <c r="F101"/>
  <c r="F102"/>
  <c r="F92"/>
  <c r="F99"/>
  <c r="F91"/>
  <c r="F96"/>
  <c r="F93"/>
  <c r="I58"/>
  <c r="O3" i="45" s="1"/>
  <c r="K34" i="8"/>
  <c r="K48" s="1"/>
  <c r="K65" s="1"/>
  <c r="Q10" i="45" s="1"/>
  <c r="J28" i="8"/>
  <c r="J42" s="1"/>
  <c r="J58" s="1"/>
  <c r="P3" i="45" s="1"/>
  <c r="K33" i="8"/>
  <c r="K47" s="1"/>
  <c r="I22"/>
  <c r="I27"/>
  <c r="J32"/>
  <c r="J46" s="1"/>
  <c r="H36"/>
  <c r="H41"/>
  <c r="G63"/>
  <c r="M8" i="45" s="1"/>
  <c r="G51" i="8"/>
  <c r="F83"/>
  <c r="F97"/>
  <c r="F105"/>
  <c r="F84"/>
  <c r="F103"/>
  <c r="F67"/>
  <c r="F88"/>
  <c r="F95"/>
  <c r="F98"/>
  <c r="F79"/>
  <c r="F90"/>
  <c r="F85"/>
  <c r="F87"/>
  <c r="F81"/>
  <c r="O30"/>
  <c r="O44" s="1"/>
  <c r="O62" s="1"/>
  <c r="U7" i="45" s="1"/>
  <c r="E88" i="8"/>
  <c r="E86"/>
  <c r="E98"/>
  <c r="E93"/>
  <c r="E85"/>
  <c r="E99"/>
  <c r="E83"/>
  <c r="E80"/>
  <c r="E95"/>
  <c r="E94"/>
  <c r="E97"/>
  <c r="E92"/>
  <c r="E90"/>
  <c r="E106"/>
  <c r="E82"/>
  <c r="E100"/>
  <c r="E81"/>
  <c r="E104"/>
  <c r="E87"/>
  <c r="E105"/>
  <c r="E96"/>
  <c r="E133" s="1"/>
  <c r="E101"/>
  <c r="E84"/>
  <c r="E121" s="1"/>
  <c r="E103"/>
  <c r="E102"/>
  <c r="E79"/>
  <c r="E89"/>
  <c r="E91"/>
  <c r="E78"/>
  <c r="E115" s="1"/>
  <c r="E67"/>
  <c r="J29"/>
  <c r="J43" s="1"/>
  <c r="J60" s="1"/>
  <c r="P5" i="45" s="1"/>
  <c r="O31" i="8"/>
  <c r="O45" s="1"/>
  <c r="O61" s="1"/>
  <c r="U6" i="45" s="1"/>
  <c r="F86" i="8"/>
  <c r="F78"/>
  <c r="F115" s="1"/>
  <c r="N62"/>
  <c r="T7" i="45" s="1"/>
  <c r="N61" i="8"/>
  <c r="T6" i="45" s="1"/>
  <c r="F121" i="8" l="1"/>
  <c r="E128"/>
  <c r="F142"/>
  <c r="F138"/>
  <c r="F129"/>
  <c r="E126"/>
  <c r="E124"/>
  <c r="F127"/>
  <c r="F126"/>
  <c r="E137"/>
  <c r="F135"/>
  <c r="F132"/>
  <c r="F131"/>
  <c r="F137"/>
  <c r="F143"/>
  <c r="F120"/>
  <c r="F118"/>
  <c r="F139"/>
  <c r="E139"/>
  <c r="E132"/>
  <c r="F133"/>
  <c r="E142"/>
  <c r="E117"/>
  <c r="F130"/>
  <c r="F119"/>
  <c r="F140"/>
  <c r="F123"/>
  <c r="E118"/>
  <c r="E127"/>
  <c r="E122"/>
  <c r="E125"/>
  <c r="F134"/>
  <c r="P31"/>
  <c r="P45" s="1"/>
  <c r="H63"/>
  <c r="N8" i="45" s="1"/>
  <c r="H51" i="8"/>
  <c r="I41"/>
  <c r="I36"/>
  <c r="K59"/>
  <c r="Q4" i="45" s="1"/>
  <c r="L34" i="8"/>
  <c r="L48" s="1"/>
  <c r="E69"/>
  <c r="F69" s="1"/>
  <c r="E108"/>
  <c r="F108" s="1"/>
  <c r="E143"/>
  <c r="P30"/>
  <c r="P44" s="1"/>
  <c r="G98"/>
  <c r="G106"/>
  <c r="G93"/>
  <c r="G79"/>
  <c r="G94"/>
  <c r="G89"/>
  <c r="G78"/>
  <c r="G115" s="1"/>
  <c r="G92"/>
  <c r="G101"/>
  <c r="G85"/>
  <c r="G81"/>
  <c r="G88"/>
  <c r="G97"/>
  <c r="G100"/>
  <c r="G99"/>
  <c r="G90"/>
  <c r="G96"/>
  <c r="G91"/>
  <c r="G102"/>
  <c r="G67"/>
  <c r="G83"/>
  <c r="G87"/>
  <c r="G86"/>
  <c r="G80"/>
  <c r="G117" s="1"/>
  <c r="G105"/>
  <c r="G103"/>
  <c r="G84"/>
  <c r="G95"/>
  <c r="G82"/>
  <c r="G104"/>
  <c r="J64"/>
  <c r="P9" i="45" s="1"/>
  <c r="L33" i="8"/>
  <c r="L47" s="1"/>
  <c r="L59" s="1"/>
  <c r="R4" i="45" s="1"/>
  <c r="F124" i="8"/>
  <c r="E116"/>
  <c r="E138"/>
  <c r="E141"/>
  <c r="E131"/>
  <c r="E136"/>
  <c r="E123"/>
  <c r="F116"/>
  <c r="F136"/>
  <c r="K32"/>
  <c r="K46" s="1"/>
  <c r="K64" s="1"/>
  <c r="Q9" i="45" s="1"/>
  <c r="J22" i="8"/>
  <c r="J27"/>
  <c r="K28"/>
  <c r="K42" s="1"/>
  <c r="K58" s="1"/>
  <c r="Q3" i="45" s="1"/>
  <c r="I77" i="8"/>
  <c r="I114" s="1"/>
  <c r="E119"/>
  <c r="E134"/>
  <c r="E120"/>
  <c r="E135"/>
  <c r="F125"/>
  <c r="F128"/>
  <c r="K29"/>
  <c r="K43" s="1"/>
  <c r="J77"/>
  <c r="J114" s="1"/>
  <c r="E140"/>
  <c r="E129"/>
  <c r="E130"/>
  <c r="F122"/>
  <c r="F117"/>
  <c r="F141"/>
  <c r="G139" l="1"/>
  <c r="G136"/>
  <c r="G132"/>
  <c r="G121"/>
  <c r="E145"/>
  <c r="E146" s="1"/>
  <c r="F145"/>
  <c r="G140"/>
  <c r="G124"/>
  <c r="G128"/>
  <c r="G137"/>
  <c r="G122"/>
  <c r="G126"/>
  <c r="G119"/>
  <c r="L65"/>
  <c r="R10" i="45" s="1"/>
  <c r="L28" i="8"/>
  <c r="L42" s="1"/>
  <c r="L32"/>
  <c r="L46" s="1"/>
  <c r="L64" s="1"/>
  <c r="R9" i="45" s="1"/>
  <c r="P62" i="8"/>
  <c r="V7" i="45" s="1"/>
  <c r="G123" i="8"/>
  <c r="G118"/>
  <c r="G130"/>
  <c r="G108"/>
  <c r="G143"/>
  <c r="H95"/>
  <c r="H98"/>
  <c r="H106"/>
  <c r="H97"/>
  <c r="H104"/>
  <c r="H83"/>
  <c r="H94"/>
  <c r="H91"/>
  <c r="H96"/>
  <c r="H133" s="1"/>
  <c r="H81"/>
  <c r="H88"/>
  <c r="H103"/>
  <c r="H86"/>
  <c r="H101"/>
  <c r="H90"/>
  <c r="H84"/>
  <c r="H100"/>
  <c r="H87"/>
  <c r="H93"/>
  <c r="H67"/>
  <c r="H79"/>
  <c r="H85"/>
  <c r="H80"/>
  <c r="H78"/>
  <c r="H115" s="1"/>
  <c r="H92"/>
  <c r="H102"/>
  <c r="H99"/>
  <c r="H89"/>
  <c r="H82"/>
  <c r="H105"/>
  <c r="K77"/>
  <c r="K114" s="1"/>
  <c r="K22"/>
  <c r="K27"/>
  <c r="Q30"/>
  <c r="Q44" s="1"/>
  <c r="Q62" s="1"/>
  <c r="W7" i="45" s="1"/>
  <c r="Q31" i="8"/>
  <c r="Q45" s="1"/>
  <c r="Q61" s="1"/>
  <c r="W6" i="45" s="1"/>
  <c r="G69" i="8"/>
  <c r="G127"/>
  <c r="G125"/>
  <c r="G129"/>
  <c r="G116"/>
  <c r="J41"/>
  <c r="J36"/>
  <c r="K60"/>
  <c r="Q5" i="45" s="1"/>
  <c r="L29" i="8"/>
  <c r="L43" s="1"/>
  <c r="L60" s="1"/>
  <c r="R5" i="45" s="1"/>
  <c r="M33" i="8"/>
  <c r="M47" s="1"/>
  <c r="M59" s="1"/>
  <c r="S4" i="45" s="1"/>
  <c r="M34" i="8"/>
  <c r="M48" s="1"/>
  <c r="M65" s="1"/>
  <c r="S10" i="45" s="1"/>
  <c r="I51" i="8"/>
  <c r="I63"/>
  <c r="O8" i="45" s="1"/>
  <c r="P61" i="8"/>
  <c r="V6" i="45" s="1"/>
  <c r="G141" i="8"/>
  <c r="G142"/>
  <c r="G120"/>
  <c r="G133"/>
  <c r="G134"/>
  <c r="G138"/>
  <c r="G131"/>
  <c r="G135"/>
  <c r="H129" l="1"/>
  <c r="H122"/>
  <c r="H135"/>
  <c r="H142"/>
  <c r="H124"/>
  <c r="H138"/>
  <c r="H118"/>
  <c r="H117"/>
  <c r="H127"/>
  <c r="H119"/>
  <c r="F146"/>
  <c r="G145"/>
  <c r="H126"/>
  <c r="H140"/>
  <c r="H128"/>
  <c r="H134"/>
  <c r="N34"/>
  <c r="N48" s="1"/>
  <c r="N65" s="1"/>
  <c r="T10" i="45" s="1"/>
  <c r="M29" i="8"/>
  <c r="M43" s="1"/>
  <c r="M60" s="1"/>
  <c r="S5" i="45" s="1"/>
  <c r="J63" i="8"/>
  <c r="P8" i="45" s="1"/>
  <c r="J51" i="8"/>
  <c r="R30"/>
  <c r="R44" s="1"/>
  <c r="R62" s="1"/>
  <c r="X7" i="45" s="1"/>
  <c r="M28" i="8"/>
  <c r="M42" s="1"/>
  <c r="M58" s="1"/>
  <c r="S3" i="45" s="1"/>
  <c r="N33" i="8"/>
  <c r="N47" s="1"/>
  <c r="N59" s="1"/>
  <c r="T4" i="45" s="1"/>
  <c r="R31" i="8"/>
  <c r="R45" s="1"/>
  <c r="L22"/>
  <c r="L27"/>
  <c r="M32"/>
  <c r="M46" s="1"/>
  <c r="I67"/>
  <c r="I79"/>
  <c r="I82"/>
  <c r="I90"/>
  <c r="I100"/>
  <c r="I87"/>
  <c r="I81"/>
  <c r="I95"/>
  <c r="I85"/>
  <c r="I102"/>
  <c r="I91"/>
  <c r="I84"/>
  <c r="I96"/>
  <c r="I89"/>
  <c r="I97"/>
  <c r="I99"/>
  <c r="I101"/>
  <c r="I138" s="1"/>
  <c r="I106"/>
  <c r="I93"/>
  <c r="I104"/>
  <c r="I78"/>
  <c r="I115" s="1"/>
  <c r="I98"/>
  <c r="I103"/>
  <c r="I92"/>
  <c r="I86"/>
  <c r="I123" s="1"/>
  <c r="I83"/>
  <c r="I94"/>
  <c r="I131" s="1"/>
  <c r="I80"/>
  <c r="I88"/>
  <c r="I105"/>
  <c r="K41"/>
  <c r="K36"/>
  <c r="H136"/>
  <c r="H69"/>
  <c r="H121"/>
  <c r="H116"/>
  <c r="H137"/>
  <c r="H123"/>
  <c r="H141"/>
  <c r="H132"/>
  <c r="H143"/>
  <c r="H108"/>
  <c r="L58"/>
  <c r="R3" i="45" s="1"/>
  <c r="H120" i="8"/>
  <c r="H139"/>
  <c r="H130"/>
  <c r="H125"/>
  <c r="H131"/>
  <c r="I120" l="1"/>
  <c r="I135"/>
  <c r="H145"/>
  <c r="I142"/>
  <c r="I130"/>
  <c r="I134"/>
  <c r="I128"/>
  <c r="I118"/>
  <c r="I119"/>
  <c r="G146"/>
  <c r="I126"/>
  <c r="I139"/>
  <c r="I124"/>
  <c r="I116"/>
  <c r="L36"/>
  <c r="L41"/>
  <c r="S31"/>
  <c r="S45" s="1"/>
  <c r="S61" s="1"/>
  <c r="Y6" i="45" s="1"/>
  <c r="J106" i="8"/>
  <c r="J84"/>
  <c r="J82"/>
  <c r="J83"/>
  <c r="J90"/>
  <c r="J79"/>
  <c r="J89"/>
  <c r="J105"/>
  <c r="J85"/>
  <c r="J81"/>
  <c r="J78"/>
  <c r="J115" s="1"/>
  <c r="J103"/>
  <c r="J93"/>
  <c r="J91"/>
  <c r="J86"/>
  <c r="J98"/>
  <c r="J101"/>
  <c r="J67"/>
  <c r="J97"/>
  <c r="J92"/>
  <c r="J95"/>
  <c r="J99"/>
  <c r="J88"/>
  <c r="J87"/>
  <c r="J94"/>
  <c r="J131" s="1"/>
  <c r="J104"/>
  <c r="J80"/>
  <c r="J102"/>
  <c r="J100"/>
  <c r="J96"/>
  <c r="M64"/>
  <c r="S9" i="45" s="1"/>
  <c r="O33" i="8"/>
  <c r="O47" s="1"/>
  <c r="O59" s="1"/>
  <c r="U4" i="45" s="1"/>
  <c r="S30" i="8"/>
  <c r="S44" s="1"/>
  <c r="N29"/>
  <c r="N43" s="1"/>
  <c r="N60" s="1"/>
  <c r="T5" i="45" s="1"/>
  <c r="I117" i="8"/>
  <c r="I141"/>
  <c r="I121"/>
  <c r="I132"/>
  <c r="I127"/>
  <c r="I143"/>
  <c r="I108"/>
  <c r="M77"/>
  <c r="M114" s="1"/>
  <c r="O34"/>
  <c r="O48" s="1"/>
  <c r="O65" s="1"/>
  <c r="U10" i="45" s="1"/>
  <c r="K63" i="8"/>
  <c r="Q8" i="45" s="1"/>
  <c r="K51" i="8"/>
  <c r="N32"/>
  <c r="N46" s="1"/>
  <c r="N64" s="1"/>
  <c r="T9" i="45" s="1"/>
  <c r="R61" i="8"/>
  <c r="X6" i="45" s="1"/>
  <c r="N28" i="8"/>
  <c r="N42" s="1"/>
  <c r="L77"/>
  <c r="L114" s="1"/>
  <c r="I69"/>
  <c r="M22"/>
  <c r="M27"/>
  <c r="I140"/>
  <c r="I129"/>
  <c r="I136"/>
  <c r="I125"/>
  <c r="I133"/>
  <c r="I122"/>
  <c r="I137"/>
  <c r="J139" l="1"/>
  <c r="J125"/>
  <c r="J123"/>
  <c r="J117"/>
  <c r="J134"/>
  <c r="J119"/>
  <c r="J137"/>
  <c r="J122"/>
  <c r="H146"/>
  <c r="I145"/>
  <c r="J129"/>
  <c r="J142"/>
  <c r="O32"/>
  <c r="O46" s="1"/>
  <c r="O64" s="1"/>
  <c r="U9" i="45" s="1"/>
  <c r="O29" i="8"/>
  <c r="O43" s="1"/>
  <c r="O60" s="1"/>
  <c r="U5" i="45" s="1"/>
  <c r="P33" i="8"/>
  <c r="P47" s="1"/>
  <c r="P59" s="1"/>
  <c r="V4" i="45" s="1"/>
  <c r="S62" i="8"/>
  <c r="Y7" i="45" s="1"/>
  <c r="J108" i="8"/>
  <c r="J143"/>
  <c r="J126"/>
  <c r="J140"/>
  <c r="J120"/>
  <c r="J132"/>
  <c r="J138"/>
  <c r="J130"/>
  <c r="J127"/>
  <c r="N58"/>
  <c r="T3" i="45" s="1"/>
  <c r="T31" i="8"/>
  <c r="T45" s="1"/>
  <c r="T61" s="1"/>
  <c r="Z6" i="45" s="1"/>
  <c r="M41" i="8"/>
  <c r="M36"/>
  <c r="K98"/>
  <c r="K106"/>
  <c r="K99"/>
  <c r="K67"/>
  <c r="K96"/>
  <c r="K86"/>
  <c r="K89"/>
  <c r="K102"/>
  <c r="K92"/>
  <c r="K87"/>
  <c r="K81"/>
  <c r="K101"/>
  <c r="K104"/>
  <c r="K85"/>
  <c r="K84"/>
  <c r="K82"/>
  <c r="K100"/>
  <c r="K80"/>
  <c r="K78"/>
  <c r="K115" s="1"/>
  <c r="K95"/>
  <c r="K79"/>
  <c r="K97"/>
  <c r="K105"/>
  <c r="K103"/>
  <c r="K140" s="1"/>
  <c r="K88"/>
  <c r="K83"/>
  <c r="K93"/>
  <c r="K91"/>
  <c r="K94"/>
  <c r="K90"/>
  <c r="T30"/>
  <c r="T44" s="1"/>
  <c r="T62" s="1"/>
  <c r="Z7" i="45" s="1"/>
  <c r="N22" i="8"/>
  <c r="N27"/>
  <c r="O28"/>
  <c r="O42" s="1"/>
  <c r="O58" s="1"/>
  <c r="U3" i="45" s="1"/>
  <c r="P34" i="8"/>
  <c r="P48" s="1"/>
  <c r="P65" s="1"/>
  <c r="V10" i="45" s="1"/>
  <c r="L63" i="8"/>
  <c r="R8" i="45" s="1"/>
  <c r="L51" i="8"/>
  <c r="J124"/>
  <c r="J135"/>
  <c r="J133"/>
  <c r="J141"/>
  <c r="J136"/>
  <c r="J69"/>
  <c r="J128"/>
  <c r="J118"/>
  <c r="J116"/>
  <c r="J121"/>
  <c r="K119" l="1"/>
  <c r="K137"/>
  <c r="K127"/>
  <c r="K124"/>
  <c r="K131"/>
  <c r="K125"/>
  <c r="K116"/>
  <c r="K122"/>
  <c r="K135"/>
  <c r="K128"/>
  <c r="K132"/>
  <c r="K138"/>
  <c r="K139"/>
  <c r="I146"/>
  <c r="J145"/>
  <c r="P28"/>
  <c r="P42" s="1"/>
  <c r="P58" s="1"/>
  <c r="V3" i="45" s="1"/>
  <c r="K69" i="8"/>
  <c r="O77"/>
  <c r="O114" s="1"/>
  <c r="O22"/>
  <c r="O27"/>
  <c r="U31"/>
  <c r="U45" s="1"/>
  <c r="U61" s="1"/>
  <c r="AA6" i="45" s="1"/>
  <c r="Q33" i="8"/>
  <c r="Q47" s="1"/>
  <c r="Q59" s="1"/>
  <c r="W4" i="45" s="1"/>
  <c r="Q34" i="8"/>
  <c r="Q48" s="1"/>
  <c r="Q65" s="1"/>
  <c r="W10" i="45" s="1"/>
  <c r="K108" i="8"/>
  <c r="K143"/>
  <c r="P32"/>
  <c r="P46" s="1"/>
  <c r="P64" s="1"/>
  <c r="V9" i="45" s="1"/>
  <c r="K129" i="8"/>
  <c r="K120"/>
  <c r="K134"/>
  <c r="K117"/>
  <c r="K123"/>
  <c r="L104"/>
  <c r="L100"/>
  <c r="L92"/>
  <c r="L103"/>
  <c r="L83"/>
  <c r="L93"/>
  <c r="L97"/>
  <c r="L94"/>
  <c r="L96"/>
  <c r="L98"/>
  <c r="L91"/>
  <c r="L105"/>
  <c r="L101"/>
  <c r="L88"/>
  <c r="L81"/>
  <c r="L99"/>
  <c r="L85"/>
  <c r="L78"/>
  <c r="L115" s="1"/>
  <c r="L67"/>
  <c r="L80"/>
  <c r="L102"/>
  <c r="L86"/>
  <c r="L90"/>
  <c r="L84"/>
  <c r="L82"/>
  <c r="L95"/>
  <c r="L89"/>
  <c r="L106"/>
  <c r="L87"/>
  <c r="L79"/>
  <c r="L116" s="1"/>
  <c r="U30"/>
  <c r="U44" s="1"/>
  <c r="U62" s="1"/>
  <c r="AA7" i="45" s="1"/>
  <c r="P29" i="8"/>
  <c r="P43" s="1"/>
  <c r="P60" s="1"/>
  <c r="V5" i="45" s="1"/>
  <c r="N36" i="8"/>
  <c r="N41"/>
  <c r="M51"/>
  <c r="M63"/>
  <c r="S8" i="45" s="1"/>
  <c r="N77" i="8"/>
  <c r="N114" s="1"/>
  <c r="K141"/>
  <c r="K133"/>
  <c r="K130"/>
  <c r="K142"/>
  <c r="K121"/>
  <c r="K118"/>
  <c r="K126"/>
  <c r="K136"/>
  <c r="L138" l="1"/>
  <c r="L124"/>
  <c r="L119"/>
  <c r="L141"/>
  <c r="L132"/>
  <c r="L122"/>
  <c r="L133"/>
  <c r="L137"/>
  <c r="L118"/>
  <c r="J146"/>
  <c r="L127"/>
  <c r="L69"/>
  <c r="K145"/>
  <c r="L143"/>
  <c r="L108"/>
  <c r="P77"/>
  <c r="P114" s="1"/>
  <c r="L120"/>
  <c r="L134"/>
  <c r="N63"/>
  <c r="T8" i="45" s="1"/>
  <c r="N51" i="8"/>
  <c r="O41"/>
  <c r="O36"/>
  <c r="M87"/>
  <c r="M89"/>
  <c r="M96"/>
  <c r="M95"/>
  <c r="M86"/>
  <c r="M106"/>
  <c r="M81"/>
  <c r="M99"/>
  <c r="M67"/>
  <c r="M88"/>
  <c r="M97"/>
  <c r="M134" s="1"/>
  <c r="M90"/>
  <c r="M83"/>
  <c r="M79"/>
  <c r="M93"/>
  <c r="M105"/>
  <c r="M104"/>
  <c r="M80"/>
  <c r="M117" s="1"/>
  <c r="M98"/>
  <c r="M135" s="1"/>
  <c r="M100"/>
  <c r="M137" s="1"/>
  <c r="M102"/>
  <c r="M91"/>
  <c r="M78"/>
  <c r="M115" s="1"/>
  <c r="M103"/>
  <c r="M85"/>
  <c r="M82"/>
  <c r="M84"/>
  <c r="M94"/>
  <c r="M101"/>
  <c r="M92"/>
  <c r="M129" s="1"/>
  <c r="V30"/>
  <c r="V44" s="1"/>
  <c r="V62" s="1"/>
  <c r="AB7" i="45" s="1"/>
  <c r="R33" i="8"/>
  <c r="R47" s="1"/>
  <c r="R59" s="1"/>
  <c r="X4" i="45" s="1"/>
  <c r="P22" i="8"/>
  <c r="P27"/>
  <c r="Q28"/>
  <c r="Q42" s="1"/>
  <c r="Q58" s="1"/>
  <c r="W3" i="45" s="1"/>
  <c r="L139" i="8"/>
  <c r="L128"/>
  <c r="L129"/>
  <c r="L126"/>
  <c r="L121"/>
  <c r="L117"/>
  <c r="L136"/>
  <c r="L142"/>
  <c r="L131"/>
  <c r="L140"/>
  <c r="Q29"/>
  <c r="Q43" s="1"/>
  <c r="Q60" s="1"/>
  <c r="W5" i="45" s="1"/>
  <c r="Q32" i="8"/>
  <c r="Q46" s="1"/>
  <c r="Q64" s="1"/>
  <c r="W9" i="45" s="1"/>
  <c r="R34" i="8"/>
  <c r="R48" s="1"/>
  <c r="R65" s="1"/>
  <c r="X10" i="45" s="1"/>
  <c r="V31" i="8"/>
  <c r="V45" s="1"/>
  <c r="V61" s="1"/>
  <c r="AB6" i="45" s="1"/>
  <c r="L123" i="8"/>
  <c r="L125"/>
  <c r="L135"/>
  <c r="L130"/>
  <c r="M69" l="1"/>
  <c r="M119"/>
  <c r="M131"/>
  <c r="L145"/>
  <c r="M122"/>
  <c r="M116"/>
  <c r="K146"/>
  <c r="M125"/>
  <c r="M140"/>
  <c r="M142"/>
  <c r="M127"/>
  <c r="M136"/>
  <c r="Q77"/>
  <c r="Q114" s="1"/>
  <c r="M108"/>
  <c r="M143"/>
  <c r="S34"/>
  <c r="S48" s="1"/>
  <c r="S65" s="1"/>
  <c r="Y10" i="45" s="1"/>
  <c r="R29" i="8"/>
  <c r="R43" s="1"/>
  <c r="R60" s="1"/>
  <c r="X5" i="45" s="1"/>
  <c r="R28" i="8"/>
  <c r="R42" s="1"/>
  <c r="R58" s="1"/>
  <c r="X3" i="45" s="1"/>
  <c r="W30" i="8"/>
  <c r="W44" s="1"/>
  <c r="W62" s="1"/>
  <c r="AC7" i="45" s="1"/>
  <c r="O63" i="8"/>
  <c r="U8" i="45" s="1"/>
  <c r="O51" i="8"/>
  <c r="M132"/>
  <c r="M128"/>
  <c r="M126"/>
  <c r="M121"/>
  <c r="M130"/>
  <c r="M118"/>
  <c r="M133"/>
  <c r="Q22"/>
  <c r="Q27"/>
  <c r="W31"/>
  <c r="W45" s="1"/>
  <c r="W61" s="1"/>
  <c r="AC6" i="45" s="1"/>
  <c r="R32" i="8"/>
  <c r="R46" s="1"/>
  <c r="R64" s="1"/>
  <c r="X9" i="45" s="1"/>
  <c r="P36" i="8"/>
  <c r="P41"/>
  <c r="S33"/>
  <c r="S47" s="1"/>
  <c r="S59" s="1"/>
  <c r="Y4" i="45" s="1"/>
  <c r="N80" i="8"/>
  <c r="N79"/>
  <c r="N103"/>
  <c r="N96"/>
  <c r="N97"/>
  <c r="N100"/>
  <c r="N91"/>
  <c r="N85"/>
  <c r="N93"/>
  <c r="N101"/>
  <c r="N138" s="1"/>
  <c r="N81"/>
  <c r="N84"/>
  <c r="N98"/>
  <c r="N99"/>
  <c r="N89"/>
  <c r="N87"/>
  <c r="N83"/>
  <c r="N105"/>
  <c r="N90"/>
  <c r="N127" s="1"/>
  <c r="N82"/>
  <c r="N102"/>
  <c r="N95"/>
  <c r="N94"/>
  <c r="N67"/>
  <c r="N106"/>
  <c r="N88"/>
  <c r="N86"/>
  <c r="N104"/>
  <c r="N78"/>
  <c r="N115" s="1"/>
  <c r="N92"/>
  <c r="M138"/>
  <c r="M139"/>
  <c r="M141"/>
  <c r="M120"/>
  <c r="M123"/>
  <c r="M124"/>
  <c r="N135" l="1"/>
  <c r="N69"/>
  <c r="L146"/>
  <c r="N123"/>
  <c r="N131"/>
  <c r="N118"/>
  <c r="N140"/>
  <c r="N139"/>
  <c r="N120"/>
  <c r="N130"/>
  <c r="N134"/>
  <c r="N117"/>
  <c r="N126"/>
  <c r="N133"/>
  <c r="M145"/>
  <c r="M146" s="1"/>
  <c r="O101"/>
  <c r="O98"/>
  <c r="O82"/>
  <c r="O103"/>
  <c r="O94"/>
  <c r="O95"/>
  <c r="O79"/>
  <c r="O99"/>
  <c r="O96"/>
  <c r="O81"/>
  <c r="O86"/>
  <c r="O105"/>
  <c r="O80"/>
  <c r="O67"/>
  <c r="O78"/>
  <c r="O115" s="1"/>
  <c r="O104"/>
  <c r="O141" s="1"/>
  <c r="O91"/>
  <c r="O97"/>
  <c r="O93"/>
  <c r="O88"/>
  <c r="O84"/>
  <c r="O89"/>
  <c r="O92"/>
  <c r="O102"/>
  <c r="O106"/>
  <c r="O85"/>
  <c r="O87"/>
  <c r="O124" s="1"/>
  <c r="O90"/>
  <c r="O83"/>
  <c r="O100"/>
  <c r="S28"/>
  <c r="S42" s="1"/>
  <c r="S58" s="1"/>
  <c r="Y3" i="45" s="1"/>
  <c r="T34" i="8"/>
  <c r="T48" s="1"/>
  <c r="T65" s="1"/>
  <c r="Z10" i="45" s="1"/>
  <c r="N143" i="8"/>
  <c r="N108"/>
  <c r="X31"/>
  <c r="X45" s="1"/>
  <c r="AA31"/>
  <c r="Y61" s="1"/>
  <c r="AE6" i="45" s="1"/>
  <c r="X30" i="8"/>
  <c r="X44" s="1"/>
  <c r="AA30"/>
  <c r="Y62" s="1"/>
  <c r="AE7" i="45" s="1"/>
  <c r="P63" i="8"/>
  <c r="V8" i="45" s="1"/>
  <c r="P51" i="8"/>
  <c r="R22"/>
  <c r="R27"/>
  <c r="S29"/>
  <c r="S43" s="1"/>
  <c r="S60" s="1"/>
  <c r="Y5" i="45" s="1"/>
  <c r="N129" i="8"/>
  <c r="N125"/>
  <c r="N132"/>
  <c r="N142"/>
  <c r="N136"/>
  <c r="N137"/>
  <c r="N116"/>
  <c r="T33"/>
  <c r="T47" s="1"/>
  <c r="T59" s="1"/>
  <c r="Z4" i="45" s="1"/>
  <c r="S32" i="8"/>
  <c r="S46" s="1"/>
  <c r="S64" s="1"/>
  <c r="Y9" i="45" s="1"/>
  <c r="Q41" i="8"/>
  <c r="Q36"/>
  <c r="R77"/>
  <c r="R114" s="1"/>
  <c r="N128"/>
  <c r="N141"/>
  <c r="N119"/>
  <c r="N124"/>
  <c r="N121"/>
  <c r="N122"/>
  <c r="O120" l="1"/>
  <c r="O117"/>
  <c r="O69"/>
  <c r="N145"/>
  <c r="N146" s="1"/>
  <c r="O125"/>
  <c r="O133"/>
  <c r="O131"/>
  <c r="O138"/>
  <c r="O128"/>
  <c r="O137"/>
  <c r="O126"/>
  <c r="T32"/>
  <c r="T46" s="1"/>
  <c r="T64" s="1"/>
  <c r="Z9" i="45" s="1"/>
  <c r="S77" i="8"/>
  <c r="S114" s="1"/>
  <c r="O127"/>
  <c r="O139"/>
  <c r="O142"/>
  <c r="O136"/>
  <c r="O140"/>
  <c r="Q63"/>
  <c r="W8" i="45" s="1"/>
  <c r="Q51" i="8"/>
  <c r="U33"/>
  <c r="U47" s="1"/>
  <c r="U59" s="1"/>
  <c r="AA4" i="45" s="1"/>
  <c r="R36" i="8"/>
  <c r="R41"/>
  <c r="P95"/>
  <c r="P90"/>
  <c r="P99"/>
  <c r="P102"/>
  <c r="P100"/>
  <c r="P83"/>
  <c r="P67"/>
  <c r="P94"/>
  <c r="P91"/>
  <c r="P88"/>
  <c r="P96"/>
  <c r="P80"/>
  <c r="P81"/>
  <c r="P103"/>
  <c r="P93"/>
  <c r="P106"/>
  <c r="P79"/>
  <c r="P104"/>
  <c r="P141" s="1"/>
  <c r="P78"/>
  <c r="P115" s="1"/>
  <c r="P87"/>
  <c r="P82"/>
  <c r="P119" s="1"/>
  <c r="P92"/>
  <c r="P86"/>
  <c r="P84"/>
  <c r="P85"/>
  <c r="P101"/>
  <c r="P105"/>
  <c r="P89"/>
  <c r="P97"/>
  <c r="P98"/>
  <c r="X61"/>
  <c r="AA45"/>
  <c r="U34"/>
  <c r="U48" s="1"/>
  <c r="U65" s="1"/>
  <c r="AA10" i="45" s="1"/>
  <c r="O143" i="8"/>
  <c r="O108"/>
  <c r="T29"/>
  <c r="T43" s="1"/>
  <c r="T60" s="1"/>
  <c r="Z5" i="45" s="1"/>
  <c r="S22" i="8"/>
  <c r="S27"/>
  <c r="X62"/>
  <c r="AA44"/>
  <c r="T28"/>
  <c r="T42" s="1"/>
  <c r="T58" s="1"/>
  <c r="Z3" i="45" s="1"/>
  <c r="O121" i="8"/>
  <c r="O122"/>
  <c r="O134"/>
  <c r="O118"/>
  <c r="O132"/>
  <c r="O135"/>
  <c r="O129"/>
  <c r="O130"/>
  <c r="O123"/>
  <c r="O116"/>
  <c r="O119"/>
  <c r="P69" l="1"/>
  <c r="P140"/>
  <c r="AA62"/>
  <c r="AD7" i="45"/>
  <c r="AA61" i="8"/>
  <c r="AD6" i="45"/>
  <c r="P126" i="8"/>
  <c r="P121"/>
  <c r="P124"/>
  <c r="P131"/>
  <c r="O145"/>
  <c r="O146" s="1"/>
  <c r="P134"/>
  <c r="P122"/>
  <c r="P116"/>
  <c r="P118"/>
  <c r="P128"/>
  <c r="P137"/>
  <c r="P132"/>
  <c r="T77"/>
  <c r="T114" s="1"/>
  <c r="T22"/>
  <c r="T27"/>
  <c r="P143"/>
  <c r="P108"/>
  <c r="R51"/>
  <c r="R63"/>
  <c r="X8" i="45" s="1"/>
  <c r="P117" i="8"/>
  <c r="P139"/>
  <c r="U28"/>
  <c r="U42" s="1"/>
  <c r="U58" s="1"/>
  <c r="AA3" i="45" s="1"/>
  <c r="S41" i="8"/>
  <c r="S36"/>
  <c r="U29"/>
  <c r="U43" s="1"/>
  <c r="U60" s="1"/>
  <c r="AA5" i="45" s="1"/>
  <c r="V33" i="8"/>
  <c r="V47" s="1"/>
  <c r="V59" s="1"/>
  <c r="AB4" i="45" s="1"/>
  <c r="U32" i="8"/>
  <c r="U46" s="1"/>
  <c r="U64" s="1"/>
  <c r="AA9" i="45" s="1"/>
  <c r="V34" i="8"/>
  <c r="V48" s="1"/>
  <c r="V65" s="1"/>
  <c r="AB10" i="45" s="1"/>
  <c r="Q88" i="8"/>
  <c r="Q83"/>
  <c r="Q101"/>
  <c r="Q90"/>
  <c r="Q104"/>
  <c r="Q85"/>
  <c r="Q89"/>
  <c r="Q95"/>
  <c r="Q86"/>
  <c r="Q91"/>
  <c r="Q106"/>
  <c r="Q82"/>
  <c r="Q99"/>
  <c r="Q98"/>
  <c r="Q102"/>
  <c r="Q139" s="1"/>
  <c r="Q100"/>
  <c r="Q93"/>
  <c r="Q80"/>
  <c r="Q97"/>
  <c r="Q79"/>
  <c r="Q92"/>
  <c r="Q105"/>
  <c r="Q84"/>
  <c r="Q94"/>
  <c r="Q103"/>
  <c r="Q96"/>
  <c r="Q87"/>
  <c r="Q81"/>
  <c r="Q67"/>
  <c r="Q78"/>
  <c r="Q115" s="1"/>
  <c r="P135"/>
  <c r="P138"/>
  <c r="P129"/>
  <c r="P125"/>
  <c r="P120"/>
  <c r="P127"/>
  <c r="P142"/>
  <c r="P123"/>
  <c r="P130"/>
  <c r="P133"/>
  <c r="P136"/>
  <c r="Q69" l="1"/>
  <c r="Q133"/>
  <c r="Q128"/>
  <c r="Q117"/>
  <c r="Q135"/>
  <c r="Q122"/>
  <c r="Q120"/>
  <c r="Q142"/>
  <c r="Q126"/>
  <c r="P145"/>
  <c r="P146" s="1"/>
  <c r="Q124"/>
  <c r="Q131"/>
  <c r="Q137"/>
  <c r="Q127"/>
  <c r="V28"/>
  <c r="V42" s="1"/>
  <c r="V58" s="1"/>
  <c r="AB3" i="45" s="1"/>
  <c r="R78" i="8"/>
  <c r="R115" s="1"/>
  <c r="R102"/>
  <c r="R88"/>
  <c r="R92"/>
  <c r="R90"/>
  <c r="R96"/>
  <c r="R89"/>
  <c r="R126" s="1"/>
  <c r="R106"/>
  <c r="R87"/>
  <c r="R94"/>
  <c r="R95"/>
  <c r="R93"/>
  <c r="R130" s="1"/>
  <c r="R91"/>
  <c r="R128" s="1"/>
  <c r="R84"/>
  <c r="R86"/>
  <c r="R79"/>
  <c r="R97"/>
  <c r="R81"/>
  <c r="R67"/>
  <c r="R82"/>
  <c r="R103"/>
  <c r="R98"/>
  <c r="R101"/>
  <c r="R85"/>
  <c r="R104"/>
  <c r="R141" s="1"/>
  <c r="R80"/>
  <c r="R99"/>
  <c r="R100"/>
  <c r="R105"/>
  <c r="R83"/>
  <c r="T36"/>
  <c r="T41"/>
  <c r="V32"/>
  <c r="V46" s="1"/>
  <c r="V64" s="1"/>
  <c r="AB9" i="45" s="1"/>
  <c r="V29" i="8"/>
  <c r="V43" s="1"/>
  <c r="V60" s="1"/>
  <c r="AB5" i="45" s="1"/>
  <c r="U77" i="8"/>
  <c r="U114" s="1"/>
  <c r="U22"/>
  <c r="U27"/>
  <c r="Q118"/>
  <c r="Q116"/>
  <c r="Q119"/>
  <c r="Q132"/>
  <c r="Q140"/>
  <c r="Q129"/>
  <c r="Q130"/>
  <c r="Q136"/>
  <c r="Q123"/>
  <c r="Q141"/>
  <c r="Q125"/>
  <c r="Q143"/>
  <c r="Q108"/>
  <c r="W34"/>
  <c r="W48" s="1"/>
  <c r="W65" s="1"/>
  <c r="AC10" i="45" s="1"/>
  <c r="W33" i="8"/>
  <c r="W47" s="1"/>
  <c r="W59" s="1"/>
  <c r="AC4" i="45" s="1"/>
  <c r="S51" i="8"/>
  <c r="S63"/>
  <c r="Y8" i="45" s="1"/>
  <c r="Q121" i="8"/>
  <c r="Q134"/>
  <c r="Q138"/>
  <c r="R69" l="1"/>
  <c r="R140"/>
  <c r="R134"/>
  <c r="R137"/>
  <c r="R124"/>
  <c r="R127"/>
  <c r="Q145"/>
  <c r="Q146" s="1"/>
  <c r="R120"/>
  <c r="R117"/>
  <c r="R131"/>
  <c r="R133"/>
  <c r="R139"/>
  <c r="X34"/>
  <c r="X48" s="1"/>
  <c r="AA34"/>
  <c r="Y65" s="1"/>
  <c r="AE10" i="45" s="1"/>
  <c r="W32" i="8"/>
  <c r="W46" s="1"/>
  <c r="W64" s="1"/>
  <c r="AC9" i="45" s="1"/>
  <c r="W28" i="8"/>
  <c r="W42" s="1"/>
  <c r="W58" s="1"/>
  <c r="AC3" i="45" s="1"/>
  <c r="R142" i="8"/>
  <c r="R135"/>
  <c r="R118"/>
  <c r="R121"/>
  <c r="R136"/>
  <c r="R138"/>
  <c r="R123"/>
  <c r="R132"/>
  <c r="R125"/>
  <c r="S102"/>
  <c r="S96"/>
  <c r="S91"/>
  <c r="S93"/>
  <c r="S98"/>
  <c r="S85"/>
  <c r="S83"/>
  <c r="S103"/>
  <c r="S94"/>
  <c r="S86"/>
  <c r="S123" s="1"/>
  <c r="S67"/>
  <c r="S79"/>
  <c r="S78"/>
  <c r="S115" s="1"/>
  <c r="S88"/>
  <c r="S80"/>
  <c r="S95"/>
  <c r="S90"/>
  <c r="S104"/>
  <c r="S92"/>
  <c r="S84"/>
  <c r="S105"/>
  <c r="S99"/>
  <c r="S87"/>
  <c r="S89"/>
  <c r="S101"/>
  <c r="S106"/>
  <c r="S82"/>
  <c r="S97"/>
  <c r="S81"/>
  <c r="S100"/>
  <c r="S137" s="1"/>
  <c r="U41"/>
  <c r="U36"/>
  <c r="AA33"/>
  <c r="Y59" s="1"/>
  <c r="AE4" i="45" s="1"/>
  <c r="X33" i="8"/>
  <c r="X47" s="1"/>
  <c r="V22"/>
  <c r="V27"/>
  <c r="W29"/>
  <c r="W43" s="1"/>
  <c r="W60" s="1"/>
  <c r="AC5" i="45" s="1"/>
  <c r="T51" i="8"/>
  <c r="T63"/>
  <c r="Z8" i="45" s="1"/>
  <c r="R108" i="8"/>
  <c r="R143"/>
  <c r="V77"/>
  <c r="V114" s="1"/>
  <c r="R122"/>
  <c r="R119"/>
  <c r="R116"/>
  <c r="R129"/>
  <c r="S129" l="1"/>
  <c r="S69"/>
  <c r="S117"/>
  <c r="R145"/>
  <c r="R146" s="1"/>
  <c r="S119"/>
  <c r="S124"/>
  <c r="S128"/>
  <c r="S134"/>
  <c r="S126"/>
  <c r="S121"/>
  <c r="S132"/>
  <c r="S116"/>
  <c r="S140"/>
  <c r="S136"/>
  <c r="AA32"/>
  <c r="Y64" s="1"/>
  <c r="AE9" i="45" s="1"/>
  <c r="X32" i="8"/>
  <c r="X46" s="1"/>
  <c r="T83"/>
  <c r="T106"/>
  <c r="T67"/>
  <c r="T101"/>
  <c r="T84"/>
  <c r="T121" s="1"/>
  <c r="T87"/>
  <c r="T78"/>
  <c r="T115" s="1"/>
  <c r="T82"/>
  <c r="T88"/>
  <c r="T92"/>
  <c r="T89"/>
  <c r="T98"/>
  <c r="T94"/>
  <c r="T97"/>
  <c r="T105"/>
  <c r="T93"/>
  <c r="T79"/>
  <c r="T80"/>
  <c r="T103"/>
  <c r="T91"/>
  <c r="T96"/>
  <c r="T81"/>
  <c r="T104"/>
  <c r="T141" s="1"/>
  <c r="T86"/>
  <c r="T100"/>
  <c r="T99"/>
  <c r="T95"/>
  <c r="T90"/>
  <c r="T85"/>
  <c r="T122" s="1"/>
  <c r="T102"/>
  <c r="V41"/>
  <c r="V36"/>
  <c r="AA28"/>
  <c r="Y58" s="1"/>
  <c r="AE3" i="45" s="1"/>
  <c r="X28" i="8"/>
  <c r="X42" s="1"/>
  <c r="X65"/>
  <c r="AA48"/>
  <c r="S130"/>
  <c r="S118"/>
  <c r="S138"/>
  <c r="S142"/>
  <c r="S127"/>
  <c r="S131"/>
  <c r="S135"/>
  <c r="S139"/>
  <c r="X59"/>
  <c r="AA47"/>
  <c r="S143"/>
  <c r="S108"/>
  <c r="W77"/>
  <c r="W114" s="1"/>
  <c r="S141"/>
  <c r="S125"/>
  <c r="S122"/>
  <c r="S133"/>
  <c r="AA29"/>
  <c r="Y60" s="1"/>
  <c r="AE5" i="45" s="1"/>
  <c r="X29" i="8"/>
  <c r="X43" s="1"/>
  <c r="W22"/>
  <c r="W27"/>
  <c r="U63"/>
  <c r="AA8" i="45" s="1"/>
  <c r="U51" i="8"/>
  <c r="S120"/>
  <c r="T69" l="1"/>
  <c r="T125"/>
  <c r="T118"/>
  <c r="T130"/>
  <c r="AA59"/>
  <c r="AD4" i="45"/>
  <c r="T116" i="8"/>
  <c r="AA65"/>
  <c r="AD10" i="45"/>
  <c r="T127" i="8"/>
  <c r="T123"/>
  <c r="T135"/>
  <c r="T119"/>
  <c r="T138"/>
  <c r="T133"/>
  <c r="S145"/>
  <c r="S146" s="1"/>
  <c r="T117"/>
  <c r="W41"/>
  <c r="W36"/>
  <c r="T108"/>
  <c r="T143"/>
  <c r="T139"/>
  <c r="T136"/>
  <c r="T134"/>
  <c r="T129"/>
  <c r="T124"/>
  <c r="X64"/>
  <c r="AA46"/>
  <c r="X22"/>
  <c r="X27"/>
  <c r="AA27"/>
  <c r="Y63" s="1"/>
  <c r="AE8" i="45" s="1"/>
  <c r="X58" i="8"/>
  <c r="AD3" i="45" s="1"/>
  <c r="AA42" i="8"/>
  <c r="U94"/>
  <c r="U105"/>
  <c r="U79"/>
  <c r="U89"/>
  <c r="U91"/>
  <c r="U103"/>
  <c r="U85"/>
  <c r="U78"/>
  <c r="U115" s="1"/>
  <c r="U100"/>
  <c r="U106"/>
  <c r="U67"/>
  <c r="U84"/>
  <c r="U90"/>
  <c r="U95"/>
  <c r="U96"/>
  <c r="U83"/>
  <c r="U80"/>
  <c r="U88"/>
  <c r="U97"/>
  <c r="U134" s="1"/>
  <c r="U98"/>
  <c r="U82"/>
  <c r="U93"/>
  <c r="U81"/>
  <c r="U87"/>
  <c r="U86"/>
  <c r="U101"/>
  <c r="U102"/>
  <c r="U92"/>
  <c r="U99"/>
  <c r="U104"/>
  <c r="U141" s="1"/>
  <c r="X60"/>
  <c r="AA43"/>
  <c r="V51"/>
  <c r="V63"/>
  <c r="AB8" i="45" s="1"/>
  <c r="T128" i="8"/>
  <c r="T132"/>
  <c r="T140"/>
  <c r="T142"/>
  <c r="T126"/>
  <c r="Y77"/>
  <c r="Y114" s="1"/>
  <c r="Y96"/>
  <c r="T137"/>
  <c r="T131"/>
  <c r="T120"/>
  <c r="U69" l="1"/>
  <c r="Y105"/>
  <c r="Y90"/>
  <c r="Y98"/>
  <c r="Y86"/>
  <c r="Y106"/>
  <c r="Y143" s="1"/>
  <c r="Y97"/>
  <c r="Y134" s="1"/>
  <c r="Y104"/>
  <c r="Y100"/>
  <c r="Y101"/>
  <c r="Y84"/>
  <c r="Y79"/>
  <c r="Y88"/>
  <c r="Y94"/>
  <c r="Y78"/>
  <c r="Y85"/>
  <c r="Y103"/>
  <c r="Y93"/>
  <c r="Y67"/>
  <c r="Y89"/>
  <c r="Y81"/>
  <c r="Y92"/>
  <c r="Y87"/>
  <c r="Y95"/>
  <c r="Y133" s="1"/>
  <c r="Y82"/>
  <c r="Y119" s="1"/>
  <c r="Y83"/>
  <c r="Y102"/>
  <c r="Y80"/>
  <c r="Y117" s="1"/>
  <c r="Y91"/>
  <c r="Y99"/>
  <c r="AA64"/>
  <c r="AD9" i="45"/>
  <c r="AA60" i="8"/>
  <c r="AD5" i="45"/>
  <c r="U138" i="8"/>
  <c r="U132"/>
  <c r="U129"/>
  <c r="U118"/>
  <c r="U124"/>
  <c r="U120"/>
  <c r="U126"/>
  <c r="T145"/>
  <c r="T146" s="1"/>
  <c r="U123"/>
  <c r="U117"/>
  <c r="U135"/>
  <c r="X41"/>
  <c r="X36"/>
  <c r="AA36" s="1"/>
  <c r="W51"/>
  <c r="W63"/>
  <c r="AC8" i="45" s="1"/>
  <c r="U121" i="8"/>
  <c r="U136"/>
  <c r="U119"/>
  <c r="U127"/>
  <c r="U137"/>
  <c r="U128"/>
  <c r="U131"/>
  <c r="V91"/>
  <c r="V90"/>
  <c r="V95"/>
  <c r="V96"/>
  <c r="V104"/>
  <c r="V100"/>
  <c r="V67"/>
  <c r="V103"/>
  <c r="V105"/>
  <c r="V142" s="1"/>
  <c r="V94"/>
  <c r="V85"/>
  <c r="V101"/>
  <c r="V79"/>
  <c r="V89"/>
  <c r="V81"/>
  <c r="V92"/>
  <c r="V88"/>
  <c r="V80"/>
  <c r="V97"/>
  <c r="V78"/>
  <c r="V115" s="1"/>
  <c r="V83"/>
  <c r="V93"/>
  <c r="V102"/>
  <c r="V87"/>
  <c r="V98"/>
  <c r="V99"/>
  <c r="V82"/>
  <c r="V84"/>
  <c r="V86"/>
  <c r="V106"/>
  <c r="U108"/>
  <c r="U143"/>
  <c r="U130"/>
  <c r="U125"/>
  <c r="U140"/>
  <c r="U142"/>
  <c r="X77"/>
  <c r="X114" s="1"/>
  <c r="AA58"/>
  <c r="U139"/>
  <c r="U133"/>
  <c r="U122"/>
  <c r="U116"/>
  <c r="V69" l="1"/>
  <c r="Y116"/>
  <c r="Y142"/>
  <c r="V119"/>
  <c r="Y135"/>
  <c r="Y127"/>
  <c r="Y118"/>
  <c r="Y128"/>
  <c r="Y141"/>
  <c r="Y121"/>
  <c r="Y126"/>
  <c r="Y123"/>
  <c r="Y115"/>
  <c r="Y138"/>
  <c r="Y124"/>
  <c r="Y125"/>
  <c r="Y139"/>
  <c r="Y122"/>
  <c r="Y137"/>
  <c r="Y129"/>
  <c r="V123"/>
  <c r="V135"/>
  <c r="Y140"/>
  <c r="Y130"/>
  <c r="Y120"/>
  <c r="Y136"/>
  <c r="Y131"/>
  <c r="Y132"/>
  <c r="V121"/>
  <c r="V129"/>
  <c r="V138"/>
  <c r="V120"/>
  <c r="V124"/>
  <c r="V140"/>
  <c r="V133"/>
  <c r="U145"/>
  <c r="U146" s="1"/>
  <c r="V117"/>
  <c r="W89"/>
  <c r="W80"/>
  <c r="W94"/>
  <c r="W106"/>
  <c r="W102"/>
  <c r="W101"/>
  <c r="W88"/>
  <c r="W84"/>
  <c r="W79"/>
  <c r="W93"/>
  <c r="W104"/>
  <c r="W90"/>
  <c r="W97"/>
  <c r="W100"/>
  <c r="W95"/>
  <c r="W132" s="1"/>
  <c r="W103"/>
  <c r="W98"/>
  <c r="W92"/>
  <c r="W87"/>
  <c r="W67"/>
  <c r="W69" s="1"/>
  <c r="W86"/>
  <c r="W85"/>
  <c r="W81"/>
  <c r="W83"/>
  <c r="W82"/>
  <c r="W99"/>
  <c r="W91"/>
  <c r="W78"/>
  <c r="W115" s="1"/>
  <c r="W96"/>
  <c r="W105"/>
  <c r="V136"/>
  <c r="V130"/>
  <c r="V126"/>
  <c r="V131"/>
  <c r="V137"/>
  <c r="V127"/>
  <c r="V108"/>
  <c r="V143"/>
  <c r="X51"/>
  <c r="AA51" s="1"/>
  <c r="X63"/>
  <c r="AD8" i="45" s="1"/>
  <c r="AA41" i="8"/>
  <c r="V139"/>
  <c r="V134"/>
  <c r="V118"/>
  <c r="V122"/>
  <c r="V132"/>
  <c r="V125"/>
  <c r="V116"/>
  <c r="V141"/>
  <c r="V128"/>
  <c r="W135" l="1"/>
  <c r="W128"/>
  <c r="Y145"/>
  <c r="W122"/>
  <c r="W140"/>
  <c r="W127"/>
  <c r="W142"/>
  <c r="W136"/>
  <c r="W124"/>
  <c r="W118"/>
  <c r="W120"/>
  <c r="V145"/>
  <c r="V146" s="1"/>
  <c r="W143"/>
  <c r="W108"/>
  <c r="W121"/>
  <c r="W133"/>
  <c r="W119"/>
  <c r="W123"/>
  <c r="W134"/>
  <c r="W116"/>
  <c r="W139"/>
  <c r="W126"/>
  <c r="W129"/>
  <c r="W137"/>
  <c r="W130"/>
  <c r="W138"/>
  <c r="W117"/>
  <c r="AA63"/>
  <c r="X101"/>
  <c r="X88"/>
  <c r="X102"/>
  <c r="X100"/>
  <c r="X103"/>
  <c r="X91"/>
  <c r="X79"/>
  <c r="X84"/>
  <c r="X93"/>
  <c r="X85"/>
  <c r="X90"/>
  <c r="X78"/>
  <c r="X115" s="1"/>
  <c r="X87"/>
  <c r="X96"/>
  <c r="X105"/>
  <c r="X82"/>
  <c r="X99"/>
  <c r="X106"/>
  <c r="X98"/>
  <c r="X81"/>
  <c r="X104"/>
  <c r="X141" s="1"/>
  <c r="X95"/>
  <c r="X92"/>
  <c r="X86"/>
  <c r="X67"/>
  <c r="X89"/>
  <c r="X126" s="1"/>
  <c r="X83"/>
  <c r="X94"/>
  <c r="X80"/>
  <c r="X97"/>
  <c r="X134" s="1"/>
  <c r="W141"/>
  <c r="W125"/>
  <c r="W131"/>
  <c r="X120" l="1"/>
  <c r="X131"/>
  <c r="X139"/>
  <c r="X135"/>
  <c r="X123"/>
  <c r="X118"/>
  <c r="X137"/>
  <c r="W145"/>
  <c r="W146" s="1"/>
  <c r="X129"/>
  <c r="X117"/>
  <c r="X140"/>
  <c r="X142"/>
  <c r="X127"/>
  <c r="X116"/>
  <c r="X130"/>
  <c r="X138"/>
  <c r="X69"/>
  <c r="AA67"/>
  <c r="B67" s="1"/>
  <c r="X143"/>
  <c r="X108"/>
  <c r="X119"/>
  <c r="X121"/>
  <c r="X136"/>
  <c r="X124"/>
  <c r="X132"/>
  <c r="X133"/>
  <c r="X122"/>
  <c r="X128"/>
  <c r="X125"/>
  <c r="X145" l="1"/>
  <c r="X146"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5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s>
  <commentList>
    <comment ref="K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C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7" authorId="0">
      <text>
        <r>
          <rPr>
            <b/>
            <sz val="8"/>
            <color indexed="81"/>
            <rFont val="Tahoma"/>
            <family val="2"/>
          </rPr>
          <t xml:space="preserve"> :ProCost</t>
        </r>
        <r>
          <rPr>
            <sz val="8"/>
            <color indexed="81"/>
            <rFont val="Tahoma"/>
            <family val="2"/>
          </rPr>
          <t xml:space="preserve">
Physical life of the measure in years.  Must be &gt;=1.</t>
        </r>
      </text>
    </comment>
    <comment ref="G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I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J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7" authorId="0">
      <text>
        <r>
          <rPr>
            <b/>
            <sz val="8"/>
            <color indexed="81"/>
            <rFont val="Tahoma"/>
            <family val="2"/>
          </rPr>
          <t xml:space="preserve"> :</t>
        </r>
        <r>
          <rPr>
            <sz val="8"/>
            <color indexed="81"/>
            <rFont val="Tahoma"/>
            <family val="2"/>
          </rPr>
          <t xml:space="preserve">
Annual gas savings, or increases, in therms.</t>
        </r>
      </text>
    </comment>
    <comment ref="R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K45"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Q45"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C4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D4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E4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F46" authorId="0">
      <text>
        <r>
          <rPr>
            <b/>
            <sz val="8"/>
            <color indexed="81"/>
            <rFont val="Tahoma"/>
            <family val="2"/>
          </rPr>
          <t xml:space="preserve"> :ProCost</t>
        </r>
        <r>
          <rPr>
            <sz val="8"/>
            <color indexed="81"/>
            <rFont val="Tahoma"/>
            <family val="2"/>
          </rPr>
          <t xml:space="preserve">
Physical life of the measure in years.  Must be &gt;=1.</t>
        </r>
      </text>
    </comment>
    <comment ref="G4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H46"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I4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J4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K4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L4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M4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N4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O4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P4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Q46" authorId="0">
      <text>
        <r>
          <rPr>
            <b/>
            <sz val="8"/>
            <color indexed="81"/>
            <rFont val="Tahoma"/>
            <family val="2"/>
          </rPr>
          <t xml:space="preserve"> :</t>
        </r>
        <r>
          <rPr>
            <sz val="8"/>
            <color indexed="81"/>
            <rFont val="Tahoma"/>
            <family val="2"/>
          </rPr>
          <t xml:space="preserve">
Annual gas savings, or increases, in therms.</t>
        </r>
      </text>
    </comment>
    <comment ref="R4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3.xml><?xml version="1.0" encoding="utf-8"?>
<comments xmlns="http://schemas.openxmlformats.org/spreadsheetml/2006/main">
  <authors>
    <author xml:space="preserve"> </author>
    <author>Tina Jayaweera</author>
    <author>Tom Eckman</author>
  </authors>
  <commentList>
    <comment ref="J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F42" authorId="1">
      <text>
        <r>
          <rPr>
            <b/>
            <sz val="9"/>
            <color indexed="81"/>
            <rFont val="Tahoma"/>
            <family val="2"/>
          </rPr>
          <t>Tina Jayaweera:</t>
        </r>
        <r>
          <rPr>
            <sz val="9"/>
            <color indexed="81"/>
            <rFont val="Tahoma"/>
            <family val="2"/>
          </rPr>
          <t xml:space="preserve">
6th Plan assumption, inflated from 2006$</t>
        </r>
      </text>
    </comment>
    <comment ref="I4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3" authorId="1">
      <text>
        <r>
          <rPr>
            <b/>
            <sz val="9"/>
            <color indexed="81"/>
            <rFont val="Tahoma"/>
            <family val="2"/>
          </rPr>
          <t>Tina Jayaweera:</t>
        </r>
        <r>
          <rPr>
            <sz val="9"/>
            <color indexed="81"/>
            <rFont val="Tahoma"/>
            <family val="2"/>
          </rPr>
          <t xml:space="preserve">
6th Plan assumption, inflated from 2006$</t>
        </r>
      </text>
    </comment>
    <comment ref="I4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4" authorId="1">
      <text>
        <r>
          <rPr>
            <b/>
            <sz val="9"/>
            <color indexed="81"/>
            <rFont val="Tahoma"/>
            <family val="2"/>
          </rPr>
          <t>Tina Jayaweera:</t>
        </r>
        <r>
          <rPr>
            <sz val="9"/>
            <color indexed="81"/>
            <rFont val="Tahoma"/>
            <family val="2"/>
          </rPr>
          <t xml:space="preserve">
6th Plan assumption, inflated from 2006$</t>
        </r>
      </text>
    </comment>
    <comment ref="I4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5" authorId="1">
      <text>
        <r>
          <rPr>
            <b/>
            <sz val="9"/>
            <color indexed="81"/>
            <rFont val="Tahoma"/>
            <family val="2"/>
          </rPr>
          <t>Tina Jayaweera:</t>
        </r>
        <r>
          <rPr>
            <sz val="9"/>
            <color indexed="81"/>
            <rFont val="Tahoma"/>
            <family val="2"/>
          </rPr>
          <t xml:space="preserve">
6th Plan assumption, inflated from 2006$</t>
        </r>
      </text>
    </comment>
    <comment ref="I4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6" authorId="1">
      <text>
        <r>
          <rPr>
            <b/>
            <sz val="9"/>
            <color indexed="81"/>
            <rFont val="Tahoma"/>
            <family val="2"/>
          </rPr>
          <t>Tina Jayaweera:</t>
        </r>
        <r>
          <rPr>
            <sz val="9"/>
            <color indexed="81"/>
            <rFont val="Tahoma"/>
            <family val="2"/>
          </rPr>
          <t xml:space="preserve">
6th Plan assumption, inflated from 2006$</t>
        </r>
      </text>
    </comment>
    <comment ref="I4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7" authorId="1">
      <text>
        <r>
          <rPr>
            <b/>
            <sz val="9"/>
            <color indexed="81"/>
            <rFont val="Tahoma"/>
            <family val="2"/>
          </rPr>
          <t>Tina Jayaweera:</t>
        </r>
        <r>
          <rPr>
            <sz val="9"/>
            <color indexed="81"/>
            <rFont val="Tahoma"/>
            <family val="2"/>
          </rPr>
          <t xml:space="preserve">
6th Plan assumption, inflated from 2006$</t>
        </r>
      </text>
    </comment>
    <comment ref="I4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8" authorId="1">
      <text>
        <r>
          <rPr>
            <b/>
            <sz val="9"/>
            <color indexed="81"/>
            <rFont val="Tahoma"/>
            <family val="2"/>
          </rPr>
          <t>Tina Jayaweera:</t>
        </r>
        <r>
          <rPr>
            <sz val="9"/>
            <color indexed="81"/>
            <rFont val="Tahoma"/>
            <family val="2"/>
          </rPr>
          <t xml:space="preserve">
6th Plan assumption, inflated from 2006$</t>
        </r>
      </text>
    </comment>
    <comment ref="I4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49" authorId="1">
      <text>
        <r>
          <rPr>
            <b/>
            <sz val="9"/>
            <color indexed="81"/>
            <rFont val="Tahoma"/>
            <family val="2"/>
          </rPr>
          <t>Tina Jayaweera:</t>
        </r>
        <r>
          <rPr>
            <sz val="9"/>
            <color indexed="81"/>
            <rFont val="Tahoma"/>
            <family val="2"/>
          </rPr>
          <t xml:space="preserve">
6th Plan assumption, inflated from 2006$</t>
        </r>
      </text>
    </comment>
    <comment ref="I4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0" authorId="1">
      <text>
        <r>
          <rPr>
            <b/>
            <sz val="9"/>
            <color indexed="81"/>
            <rFont val="Tahoma"/>
            <family val="2"/>
          </rPr>
          <t>Tina Jayaweera:</t>
        </r>
        <r>
          <rPr>
            <sz val="9"/>
            <color indexed="81"/>
            <rFont val="Tahoma"/>
            <family val="2"/>
          </rPr>
          <t xml:space="preserve">
6th Plan assumption, inflated from 2006$</t>
        </r>
      </text>
    </comment>
    <comment ref="I5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1" authorId="1">
      <text>
        <r>
          <rPr>
            <b/>
            <sz val="9"/>
            <color indexed="81"/>
            <rFont val="Tahoma"/>
            <family val="2"/>
          </rPr>
          <t>Tina Jayaweera:</t>
        </r>
        <r>
          <rPr>
            <sz val="9"/>
            <color indexed="81"/>
            <rFont val="Tahoma"/>
            <family val="2"/>
          </rPr>
          <t xml:space="preserve">
6th Plan assumption, inflated from 2006$</t>
        </r>
      </text>
    </comment>
    <comment ref="I5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2" authorId="1">
      <text>
        <r>
          <rPr>
            <b/>
            <sz val="9"/>
            <color indexed="81"/>
            <rFont val="Tahoma"/>
            <family val="2"/>
          </rPr>
          <t>Tina Jayaweera:</t>
        </r>
        <r>
          <rPr>
            <sz val="9"/>
            <color indexed="81"/>
            <rFont val="Tahoma"/>
            <family val="2"/>
          </rPr>
          <t xml:space="preserve">
6th Plan assumption, inflated from 2006$</t>
        </r>
      </text>
    </comment>
    <comment ref="I5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3" authorId="1">
      <text>
        <r>
          <rPr>
            <b/>
            <sz val="9"/>
            <color indexed="81"/>
            <rFont val="Tahoma"/>
            <family val="2"/>
          </rPr>
          <t>Tina Jayaweera:</t>
        </r>
        <r>
          <rPr>
            <sz val="9"/>
            <color indexed="81"/>
            <rFont val="Tahoma"/>
            <family val="2"/>
          </rPr>
          <t xml:space="preserve">
6th Plan assumption, inflated from 2006$</t>
        </r>
      </text>
    </comment>
    <comment ref="I5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4" authorId="1">
      <text>
        <r>
          <rPr>
            <b/>
            <sz val="9"/>
            <color indexed="81"/>
            <rFont val="Tahoma"/>
            <family val="2"/>
          </rPr>
          <t>Tina Jayaweera:</t>
        </r>
        <r>
          <rPr>
            <sz val="9"/>
            <color indexed="81"/>
            <rFont val="Tahoma"/>
            <family val="2"/>
          </rPr>
          <t xml:space="preserve">
6th Plan assumption, inflated from 2006$</t>
        </r>
      </text>
    </comment>
    <comment ref="I5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5" authorId="1">
      <text>
        <r>
          <rPr>
            <b/>
            <sz val="9"/>
            <color indexed="81"/>
            <rFont val="Tahoma"/>
            <family val="2"/>
          </rPr>
          <t>Tina Jayaweera:</t>
        </r>
        <r>
          <rPr>
            <sz val="9"/>
            <color indexed="81"/>
            <rFont val="Tahoma"/>
            <family val="2"/>
          </rPr>
          <t xml:space="preserve">
6th Plan assumption, inflated from 2006$</t>
        </r>
      </text>
    </comment>
    <comment ref="I5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6" authorId="1">
      <text>
        <r>
          <rPr>
            <b/>
            <sz val="9"/>
            <color indexed="81"/>
            <rFont val="Tahoma"/>
            <family val="2"/>
          </rPr>
          <t>Tina Jayaweera:</t>
        </r>
        <r>
          <rPr>
            <sz val="9"/>
            <color indexed="81"/>
            <rFont val="Tahoma"/>
            <family val="2"/>
          </rPr>
          <t xml:space="preserve">
6th Plan assumption, inflated from 2006$</t>
        </r>
      </text>
    </comment>
    <comment ref="I5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7" authorId="1">
      <text>
        <r>
          <rPr>
            <b/>
            <sz val="9"/>
            <color indexed="81"/>
            <rFont val="Tahoma"/>
            <family val="2"/>
          </rPr>
          <t>Tina Jayaweera:</t>
        </r>
        <r>
          <rPr>
            <sz val="9"/>
            <color indexed="81"/>
            <rFont val="Tahoma"/>
            <family val="2"/>
          </rPr>
          <t xml:space="preserve">
6th Plan assumption, inflated from 2006$</t>
        </r>
      </text>
    </comment>
    <comment ref="I5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8" authorId="1">
      <text>
        <r>
          <rPr>
            <b/>
            <sz val="9"/>
            <color indexed="81"/>
            <rFont val="Tahoma"/>
            <family val="2"/>
          </rPr>
          <t>Tina Jayaweera:</t>
        </r>
        <r>
          <rPr>
            <sz val="9"/>
            <color indexed="81"/>
            <rFont val="Tahoma"/>
            <family val="2"/>
          </rPr>
          <t xml:space="preserve">
6th Plan assumption, inflated from 2006$</t>
        </r>
      </text>
    </comment>
    <comment ref="I5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59" authorId="1">
      <text>
        <r>
          <rPr>
            <b/>
            <sz val="9"/>
            <color indexed="81"/>
            <rFont val="Tahoma"/>
            <family val="2"/>
          </rPr>
          <t>Tina Jayaweera:</t>
        </r>
        <r>
          <rPr>
            <sz val="9"/>
            <color indexed="81"/>
            <rFont val="Tahoma"/>
            <family val="2"/>
          </rPr>
          <t xml:space="preserve">
6th Plan assumption, inflated from 2006$</t>
        </r>
      </text>
    </comment>
    <comment ref="I5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0" authorId="1">
      <text>
        <r>
          <rPr>
            <b/>
            <sz val="9"/>
            <color indexed="81"/>
            <rFont val="Tahoma"/>
            <family val="2"/>
          </rPr>
          <t>Tina Jayaweera:</t>
        </r>
        <r>
          <rPr>
            <sz val="9"/>
            <color indexed="81"/>
            <rFont val="Tahoma"/>
            <family val="2"/>
          </rPr>
          <t xml:space="preserve">
6th Plan assumption, inflated from 2006$</t>
        </r>
      </text>
    </comment>
    <comment ref="I6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1" authorId="1">
      <text>
        <r>
          <rPr>
            <b/>
            <sz val="9"/>
            <color indexed="81"/>
            <rFont val="Tahoma"/>
            <family val="2"/>
          </rPr>
          <t>Tina Jayaweera:</t>
        </r>
        <r>
          <rPr>
            <sz val="9"/>
            <color indexed="81"/>
            <rFont val="Tahoma"/>
            <family val="2"/>
          </rPr>
          <t xml:space="preserve">
6th Plan assumption, inflated from 2006$</t>
        </r>
      </text>
    </comment>
    <comment ref="I6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2" authorId="1">
      <text>
        <r>
          <rPr>
            <b/>
            <sz val="9"/>
            <color indexed="81"/>
            <rFont val="Tahoma"/>
            <family val="2"/>
          </rPr>
          <t>Tina Jayaweera:</t>
        </r>
        <r>
          <rPr>
            <sz val="9"/>
            <color indexed="81"/>
            <rFont val="Tahoma"/>
            <family val="2"/>
          </rPr>
          <t xml:space="preserve">
6th Plan assumption, inflated from 2006$</t>
        </r>
      </text>
    </comment>
    <comment ref="I6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3" authorId="1">
      <text>
        <r>
          <rPr>
            <b/>
            <sz val="9"/>
            <color indexed="81"/>
            <rFont val="Tahoma"/>
            <family val="2"/>
          </rPr>
          <t>Tina Jayaweera:</t>
        </r>
        <r>
          <rPr>
            <sz val="9"/>
            <color indexed="81"/>
            <rFont val="Tahoma"/>
            <family val="2"/>
          </rPr>
          <t xml:space="preserve">
6th Plan assumption, inflated from 2006$</t>
        </r>
      </text>
    </comment>
    <comment ref="I6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4" authorId="1">
      <text>
        <r>
          <rPr>
            <b/>
            <sz val="9"/>
            <color indexed="81"/>
            <rFont val="Tahoma"/>
            <family val="2"/>
          </rPr>
          <t>Tina Jayaweera:</t>
        </r>
        <r>
          <rPr>
            <sz val="9"/>
            <color indexed="81"/>
            <rFont val="Tahoma"/>
            <family val="2"/>
          </rPr>
          <t xml:space="preserve">
6th Plan assumption, inflated from 2006$</t>
        </r>
      </text>
    </comment>
    <comment ref="I6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5" authorId="1">
      <text>
        <r>
          <rPr>
            <b/>
            <sz val="9"/>
            <color indexed="81"/>
            <rFont val="Tahoma"/>
            <family val="2"/>
          </rPr>
          <t>Tina Jayaweera:</t>
        </r>
        <r>
          <rPr>
            <sz val="9"/>
            <color indexed="81"/>
            <rFont val="Tahoma"/>
            <family val="2"/>
          </rPr>
          <t xml:space="preserve">
6th Plan assumption, inflated from 2006$</t>
        </r>
      </text>
    </comment>
    <comment ref="I6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6" authorId="1">
      <text>
        <r>
          <rPr>
            <b/>
            <sz val="9"/>
            <color indexed="81"/>
            <rFont val="Tahoma"/>
            <family val="2"/>
          </rPr>
          <t>Tina Jayaweera:</t>
        </r>
        <r>
          <rPr>
            <sz val="9"/>
            <color indexed="81"/>
            <rFont val="Tahoma"/>
            <family val="2"/>
          </rPr>
          <t xml:space="preserve">
6th Plan assumption, inflated from 2006$</t>
        </r>
      </text>
    </comment>
    <comment ref="I6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7" authorId="1">
      <text>
        <r>
          <rPr>
            <b/>
            <sz val="9"/>
            <color indexed="81"/>
            <rFont val="Tahoma"/>
            <family val="2"/>
          </rPr>
          <t>Tina Jayaweera:</t>
        </r>
        <r>
          <rPr>
            <sz val="9"/>
            <color indexed="81"/>
            <rFont val="Tahoma"/>
            <family val="2"/>
          </rPr>
          <t xml:space="preserve">
6th Plan assumption, inflated from 2006$</t>
        </r>
      </text>
    </comment>
    <comment ref="I6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8" authorId="1">
      <text>
        <r>
          <rPr>
            <b/>
            <sz val="9"/>
            <color indexed="81"/>
            <rFont val="Tahoma"/>
            <family val="2"/>
          </rPr>
          <t>Tina Jayaweera:</t>
        </r>
        <r>
          <rPr>
            <sz val="9"/>
            <color indexed="81"/>
            <rFont val="Tahoma"/>
            <family val="2"/>
          </rPr>
          <t xml:space="preserve">
6th Plan assumption, inflated from 2006$</t>
        </r>
      </text>
    </comment>
    <comment ref="I6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69" authorId="1">
      <text>
        <r>
          <rPr>
            <b/>
            <sz val="9"/>
            <color indexed="81"/>
            <rFont val="Tahoma"/>
            <family val="2"/>
          </rPr>
          <t>Tina Jayaweera:</t>
        </r>
        <r>
          <rPr>
            <sz val="9"/>
            <color indexed="81"/>
            <rFont val="Tahoma"/>
            <family val="2"/>
          </rPr>
          <t xml:space="preserve">
6th Plan assumption, inflated from 2006$</t>
        </r>
      </text>
    </comment>
    <comment ref="I6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0" authorId="1">
      <text>
        <r>
          <rPr>
            <b/>
            <sz val="9"/>
            <color indexed="81"/>
            <rFont val="Tahoma"/>
            <family val="2"/>
          </rPr>
          <t>Tina Jayaweera:</t>
        </r>
        <r>
          <rPr>
            <sz val="9"/>
            <color indexed="81"/>
            <rFont val="Tahoma"/>
            <family val="2"/>
          </rPr>
          <t xml:space="preserve">
6th Plan assumption, inflated from 2006$</t>
        </r>
      </text>
    </comment>
    <comment ref="I7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1" authorId="1">
      <text>
        <r>
          <rPr>
            <b/>
            <sz val="9"/>
            <color indexed="81"/>
            <rFont val="Tahoma"/>
            <family val="2"/>
          </rPr>
          <t>Tina Jayaweera:</t>
        </r>
        <r>
          <rPr>
            <sz val="9"/>
            <color indexed="81"/>
            <rFont val="Tahoma"/>
            <family val="2"/>
          </rPr>
          <t xml:space="preserve">
6th Plan assumption, inflated from 2006$</t>
        </r>
      </text>
    </comment>
    <comment ref="I7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2" authorId="1">
      <text>
        <r>
          <rPr>
            <b/>
            <sz val="9"/>
            <color indexed="81"/>
            <rFont val="Tahoma"/>
            <family val="2"/>
          </rPr>
          <t>Tina Jayaweera:</t>
        </r>
        <r>
          <rPr>
            <sz val="9"/>
            <color indexed="81"/>
            <rFont val="Tahoma"/>
            <family val="2"/>
          </rPr>
          <t xml:space="preserve">
6th Plan assumption, inflated from 2006$</t>
        </r>
      </text>
    </comment>
    <comment ref="I7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3" authorId="1">
      <text>
        <r>
          <rPr>
            <b/>
            <sz val="9"/>
            <color indexed="81"/>
            <rFont val="Tahoma"/>
            <family val="2"/>
          </rPr>
          <t>Tina Jayaweera:</t>
        </r>
        <r>
          <rPr>
            <sz val="9"/>
            <color indexed="81"/>
            <rFont val="Tahoma"/>
            <family val="2"/>
          </rPr>
          <t xml:space="preserve">
6th Plan assumption, inflated from 2006$</t>
        </r>
      </text>
    </comment>
    <comment ref="I7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4" authorId="1">
      <text>
        <r>
          <rPr>
            <b/>
            <sz val="9"/>
            <color indexed="81"/>
            <rFont val="Tahoma"/>
            <family val="2"/>
          </rPr>
          <t>Tina Jayaweera:</t>
        </r>
        <r>
          <rPr>
            <sz val="9"/>
            <color indexed="81"/>
            <rFont val="Tahoma"/>
            <family val="2"/>
          </rPr>
          <t xml:space="preserve">
6th Plan assumption, inflated from 2006$</t>
        </r>
      </text>
    </comment>
    <comment ref="I7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5" authorId="1">
      <text>
        <r>
          <rPr>
            <b/>
            <sz val="9"/>
            <color indexed="81"/>
            <rFont val="Tahoma"/>
            <family val="2"/>
          </rPr>
          <t>Tina Jayaweera:</t>
        </r>
        <r>
          <rPr>
            <sz val="9"/>
            <color indexed="81"/>
            <rFont val="Tahoma"/>
            <family val="2"/>
          </rPr>
          <t xml:space="preserve">
6th Plan assumption, inflated from 2006$</t>
        </r>
      </text>
    </comment>
    <comment ref="I75"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6" authorId="1">
      <text>
        <r>
          <rPr>
            <b/>
            <sz val="9"/>
            <color indexed="81"/>
            <rFont val="Tahoma"/>
            <family val="2"/>
          </rPr>
          <t>Tina Jayaweera:</t>
        </r>
        <r>
          <rPr>
            <sz val="9"/>
            <color indexed="81"/>
            <rFont val="Tahoma"/>
            <family val="2"/>
          </rPr>
          <t xml:space="preserve">
6th Plan assumption, inflated from 2006$</t>
        </r>
      </text>
    </comment>
    <comment ref="I76"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7" authorId="1">
      <text>
        <r>
          <rPr>
            <b/>
            <sz val="9"/>
            <color indexed="81"/>
            <rFont val="Tahoma"/>
            <family val="2"/>
          </rPr>
          <t>Tina Jayaweera:</t>
        </r>
        <r>
          <rPr>
            <sz val="9"/>
            <color indexed="81"/>
            <rFont val="Tahoma"/>
            <family val="2"/>
          </rPr>
          <t xml:space="preserve">
6th Plan assumption, inflated from 2006$</t>
        </r>
      </text>
    </comment>
    <comment ref="I77"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8" authorId="1">
      <text>
        <r>
          <rPr>
            <b/>
            <sz val="9"/>
            <color indexed="81"/>
            <rFont val="Tahoma"/>
            <family val="2"/>
          </rPr>
          <t>Tina Jayaweera:</t>
        </r>
        <r>
          <rPr>
            <sz val="9"/>
            <color indexed="81"/>
            <rFont val="Tahoma"/>
            <family val="2"/>
          </rPr>
          <t xml:space="preserve">
6th Plan assumption, inflated from 2006$</t>
        </r>
      </text>
    </comment>
    <comment ref="I78"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79" authorId="1">
      <text>
        <r>
          <rPr>
            <b/>
            <sz val="9"/>
            <color indexed="81"/>
            <rFont val="Tahoma"/>
            <family val="2"/>
          </rPr>
          <t>Tina Jayaweera:</t>
        </r>
        <r>
          <rPr>
            <sz val="9"/>
            <color indexed="81"/>
            <rFont val="Tahoma"/>
            <family val="2"/>
          </rPr>
          <t xml:space="preserve">
6th Plan assumption, inflated from 2006$</t>
        </r>
      </text>
    </comment>
    <comment ref="I79"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0" authorId="1">
      <text>
        <r>
          <rPr>
            <b/>
            <sz val="9"/>
            <color indexed="81"/>
            <rFont val="Tahoma"/>
            <family val="2"/>
          </rPr>
          <t>Tina Jayaweera:</t>
        </r>
        <r>
          <rPr>
            <sz val="9"/>
            <color indexed="81"/>
            <rFont val="Tahoma"/>
            <family val="2"/>
          </rPr>
          <t xml:space="preserve">
6th Plan assumption, inflated from 2006$</t>
        </r>
      </text>
    </comment>
    <comment ref="I80"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1" authorId="1">
      <text>
        <r>
          <rPr>
            <b/>
            <sz val="9"/>
            <color indexed="81"/>
            <rFont val="Tahoma"/>
            <family val="2"/>
          </rPr>
          <t>Tina Jayaweera:</t>
        </r>
        <r>
          <rPr>
            <sz val="9"/>
            <color indexed="81"/>
            <rFont val="Tahoma"/>
            <family val="2"/>
          </rPr>
          <t xml:space="preserve">
6th Plan assumption, inflated from 2006$</t>
        </r>
      </text>
    </comment>
    <comment ref="I81"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2" authorId="1">
      <text>
        <r>
          <rPr>
            <b/>
            <sz val="9"/>
            <color indexed="81"/>
            <rFont val="Tahoma"/>
            <family val="2"/>
          </rPr>
          <t>Tina Jayaweera:</t>
        </r>
        <r>
          <rPr>
            <sz val="9"/>
            <color indexed="81"/>
            <rFont val="Tahoma"/>
            <family val="2"/>
          </rPr>
          <t xml:space="preserve">
6th Plan assumption, inflated from 2006$</t>
        </r>
      </text>
    </comment>
    <comment ref="I82"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3" authorId="1">
      <text>
        <r>
          <rPr>
            <b/>
            <sz val="9"/>
            <color indexed="81"/>
            <rFont val="Tahoma"/>
            <family val="2"/>
          </rPr>
          <t>Tina Jayaweera:</t>
        </r>
        <r>
          <rPr>
            <sz val="9"/>
            <color indexed="81"/>
            <rFont val="Tahoma"/>
            <family val="2"/>
          </rPr>
          <t xml:space="preserve">
6th Plan assumption, inflated from 2006$</t>
        </r>
      </text>
    </comment>
    <comment ref="I83"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4" authorId="1">
      <text>
        <r>
          <rPr>
            <b/>
            <sz val="9"/>
            <color indexed="81"/>
            <rFont val="Tahoma"/>
            <family val="2"/>
          </rPr>
          <t>Tina Jayaweera:</t>
        </r>
        <r>
          <rPr>
            <sz val="9"/>
            <color indexed="81"/>
            <rFont val="Tahoma"/>
            <family val="2"/>
          </rPr>
          <t xml:space="preserve">
6th Plan assumption, inflated from 2006$</t>
        </r>
      </text>
    </comment>
    <comment ref="I84" authorId="2">
      <text>
        <r>
          <rPr>
            <b/>
            <sz val="10"/>
            <color indexed="81"/>
            <rFont val="Tahoma"/>
            <family val="2"/>
          </rPr>
          <t>Tom Eckman:</t>
        </r>
        <r>
          <rPr>
            <sz val="10"/>
            <color indexed="81"/>
            <rFont val="Tahoma"/>
            <family val="2"/>
          </rPr>
          <t xml:space="preserve">
Based on GWMA pilot findings of fertilizer savings associated with less water application.</t>
        </r>
      </text>
    </comment>
    <comment ref="F85" authorId="1">
      <text>
        <r>
          <rPr>
            <b/>
            <sz val="9"/>
            <color indexed="81"/>
            <rFont val="Tahoma"/>
            <family val="2"/>
          </rPr>
          <t>Tina Jayaweera:</t>
        </r>
        <r>
          <rPr>
            <sz val="9"/>
            <color indexed="81"/>
            <rFont val="Tahoma"/>
            <family val="2"/>
          </rPr>
          <t xml:space="preserve">
6th Plan assumption, inflated from 2006$</t>
        </r>
      </text>
    </comment>
    <comment ref="F86" authorId="1">
      <text>
        <r>
          <rPr>
            <b/>
            <sz val="9"/>
            <color indexed="81"/>
            <rFont val="Tahoma"/>
            <family val="2"/>
          </rPr>
          <t>Tina Jayaweera:</t>
        </r>
        <r>
          <rPr>
            <sz val="9"/>
            <color indexed="81"/>
            <rFont val="Tahoma"/>
            <family val="2"/>
          </rPr>
          <t xml:space="preserve">
6th Plan assumption, inflated from 2006$</t>
        </r>
      </text>
    </comment>
    <comment ref="F87" authorId="1">
      <text>
        <r>
          <rPr>
            <b/>
            <sz val="9"/>
            <color indexed="81"/>
            <rFont val="Tahoma"/>
            <family val="2"/>
          </rPr>
          <t>Tina Jayaweera:</t>
        </r>
        <r>
          <rPr>
            <sz val="9"/>
            <color indexed="81"/>
            <rFont val="Tahoma"/>
            <family val="2"/>
          </rPr>
          <t xml:space="preserve">
6th Plan assumption, inflated from 2006$</t>
        </r>
      </text>
    </comment>
    <comment ref="F88" authorId="1">
      <text>
        <r>
          <rPr>
            <b/>
            <sz val="9"/>
            <color indexed="81"/>
            <rFont val="Tahoma"/>
            <family val="2"/>
          </rPr>
          <t>Tina Jayaweera:</t>
        </r>
        <r>
          <rPr>
            <sz val="9"/>
            <color indexed="81"/>
            <rFont val="Tahoma"/>
            <family val="2"/>
          </rPr>
          <t xml:space="preserve">
6th Plan assumption, inflated from 2006$</t>
        </r>
      </text>
    </comment>
    <comment ref="F89" authorId="1">
      <text>
        <r>
          <rPr>
            <b/>
            <sz val="9"/>
            <color indexed="81"/>
            <rFont val="Tahoma"/>
            <family val="2"/>
          </rPr>
          <t>Tina Jayaweera:</t>
        </r>
        <r>
          <rPr>
            <sz val="9"/>
            <color indexed="81"/>
            <rFont val="Tahoma"/>
            <family val="2"/>
          </rPr>
          <t xml:space="preserve">
6th Plan assumption, inflated from 2006$</t>
        </r>
      </text>
    </comment>
    <comment ref="F90" authorId="1">
      <text>
        <r>
          <rPr>
            <b/>
            <sz val="9"/>
            <color indexed="81"/>
            <rFont val="Tahoma"/>
            <family val="2"/>
          </rPr>
          <t>Tina Jayaweera:</t>
        </r>
        <r>
          <rPr>
            <sz val="9"/>
            <color indexed="81"/>
            <rFont val="Tahoma"/>
            <family val="2"/>
          </rPr>
          <t xml:space="preserve">
6th Plan assumption, inflated from 2006$</t>
        </r>
      </text>
    </comment>
    <comment ref="F91" authorId="1">
      <text>
        <r>
          <rPr>
            <b/>
            <sz val="9"/>
            <color indexed="81"/>
            <rFont val="Tahoma"/>
            <family val="2"/>
          </rPr>
          <t>Tina Jayaweera:</t>
        </r>
        <r>
          <rPr>
            <sz val="9"/>
            <color indexed="81"/>
            <rFont val="Tahoma"/>
            <family val="2"/>
          </rPr>
          <t xml:space="preserve">
6th Plan assumption, inflated from 2006$</t>
        </r>
      </text>
    </comment>
    <comment ref="F92" authorId="1">
      <text>
        <r>
          <rPr>
            <b/>
            <sz val="9"/>
            <color indexed="81"/>
            <rFont val="Tahoma"/>
            <family val="2"/>
          </rPr>
          <t>Tina Jayaweera:</t>
        </r>
        <r>
          <rPr>
            <sz val="9"/>
            <color indexed="81"/>
            <rFont val="Tahoma"/>
            <family val="2"/>
          </rPr>
          <t xml:space="preserve">
6th Plan assumption, inflated from 2006$</t>
        </r>
      </text>
    </comment>
    <comment ref="F93" authorId="1">
      <text>
        <r>
          <rPr>
            <b/>
            <sz val="9"/>
            <color indexed="81"/>
            <rFont val="Tahoma"/>
            <family val="2"/>
          </rPr>
          <t>Tina Jayaweera:</t>
        </r>
        <r>
          <rPr>
            <sz val="9"/>
            <color indexed="81"/>
            <rFont val="Tahoma"/>
            <family val="2"/>
          </rPr>
          <t xml:space="preserve">
6th Plan assumption, inflated from 2006$</t>
        </r>
      </text>
    </comment>
    <comment ref="F94" authorId="1">
      <text>
        <r>
          <rPr>
            <b/>
            <sz val="9"/>
            <color indexed="81"/>
            <rFont val="Tahoma"/>
            <family val="2"/>
          </rPr>
          <t>Tina Jayaweera:</t>
        </r>
        <r>
          <rPr>
            <sz val="9"/>
            <color indexed="81"/>
            <rFont val="Tahoma"/>
            <family val="2"/>
          </rPr>
          <t xml:space="preserve">
6th Plan assumption, inflated from 2006$</t>
        </r>
      </text>
    </comment>
    <comment ref="F95" authorId="1">
      <text>
        <r>
          <rPr>
            <b/>
            <sz val="9"/>
            <color indexed="81"/>
            <rFont val="Tahoma"/>
            <family val="2"/>
          </rPr>
          <t>Tina Jayaweera:</t>
        </r>
        <r>
          <rPr>
            <sz val="9"/>
            <color indexed="81"/>
            <rFont val="Tahoma"/>
            <family val="2"/>
          </rPr>
          <t xml:space="preserve">
6th Plan assumption, inflated from 2006$</t>
        </r>
      </text>
    </comment>
    <comment ref="F96" authorId="1">
      <text>
        <r>
          <rPr>
            <b/>
            <sz val="9"/>
            <color indexed="81"/>
            <rFont val="Tahoma"/>
            <family val="2"/>
          </rPr>
          <t>Tina Jayaweera:</t>
        </r>
        <r>
          <rPr>
            <sz val="9"/>
            <color indexed="81"/>
            <rFont val="Tahoma"/>
            <family val="2"/>
          </rPr>
          <t xml:space="preserve">
6th Plan assumption, inflated from 2006$</t>
        </r>
      </text>
    </comment>
    <comment ref="F97" authorId="1">
      <text>
        <r>
          <rPr>
            <b/>
            <sz val="9"/>
            <color indexed="81"/>
            <rFont val="Tahoma"/>
            <family val="2"/>
          </rPr>
          <t>Tina Jayaweera:</t>
        </r>
        <r>
          <rPr>
            <sz val="9"/>
            <color indexed="81"/>
            <rFont val="Tahoma"/>
            <family val="2"/>
          </rPr>
          <t xml:space="preserve">
6th Plan assumption, inflated from 2006$</t>
        </r>
      </text>
    </comment>
    <comment ref="F98" authorId="1">
      <text>
        <r>
          <rPr>
            <b/>
            <sz val="9"/>
            <color indexed="81"/>
            <rFont val="Tahoma"/>
            <family val="2"/>
          </rPr>
          <t>Tina Jayaweera:</t>
        </r>
        <r>
          <rPr>
            <sz val="9"/>
            <color indexed="81"/>
            <rFont val="Tahoma"/>
            <family val="2"/>
          </rPr>
          <t xml:space="preserve">
6th Plan assumption, inflated from 2006$</t>
        </r>
      </text>
    </comment>
    <comment ref="F99" authorId="1">
      <text>
        <r>
          <rPr>
            <b/>
            <sz val="9"/>
            <color indexed="81"/>
            <rFont val="Tahoma"/>
            <family val="2"/>
          </rPr>
          <t>Tina Jayaweera:</t>
        </r>
        <r>
          <rPr>
            <sz val="9"/>
            <color indexed="81"/>
            <rFont val="Tahoma"/>
            <family val="2"/>
          </rPr>
          <t xml:space="preserve">
6th Plan assumption, inflated from 2006$</t>
        </r>
      </text>
    </comment>
    <comment ref="F100" authorId="1">
      <text>
        <r>
          <rPr>
            <b/>
            <sz val="9"/>
            <color indexed="81"/>
            <rFont val="Tahoma"/>
            <family val="2"/>
          </rPr>
          <t>Tina Jayaweera:</t>
        </r>
        <r>
          <rPr>
            <sz val="9"/>
            <color indexed="81"/>
            <rFont val="Tahoma"/>
            <family val="2"/>
          </rPr>
          <t xml:space="preserve">
6th Plan assumption, inflated from 2006$</t>
        </r>
      </text>
    </comment>
    <comment ref="F101" authorId="1">
      <text>
        <r>
          <rPr>
            <b/>
            <sz val="9"/>
            <color indexed="81"/>
            <rFont val="Tahoma"/>
            <family val="2"/>
          </rPr>
          <t>Tina Jayaweera:</t>
        </r>
        <r>
          <rPr>
            <sz val="9"/>
            <color indexed="81"/>
            <rFont val="Tahoma"/>
            <family val="2"/>
          </rPr>
          <t xml:space="preserve">
6th Plan assumption, inflated from 2006$</t>
        </r>
      </text>
    </comment>
    <comment ref="F102" authorId="1">
      <text>
        <r>
          <rPr>
            <b/>
            <sz val="9"/>
            <color indexed="81"/>
            <rFont val="Tahoma"/>
            <family val="2"/>
          </rPr>
          <t>Tina Jayaweera:</t>
        </r>
        <r>
          <rPr>
            <sz val="9"/>
            <color indexed="81"/>
            <rFont val="Tahoma"/>
            <family val="2"/>
          </rPr>
          <t xml:space="preserve">
6th Plan assumption, inflated from 2006$</t>
        </r>
      </text>
    </comment>
    <comment ref="F103" authorId="1">
      <text>
        <r>
          <rPr>
            <b/>
            <sz val="9"/>
            <color indexed="81"/>
            <rFont val="Tahoma"/>
            <family val="2"/>
          </rPr>
          <t>Tina Jayaweera:</t>
        </r>
        <r>
          <rPr>
            <sz val="9"/>
            <color indexed="81"/>
            <rFont val="Tahoma"/>
            <family val="2"/>
          </rPr>
          <t xml:space="preserve">
6th Plan assumption, inflated from 2006$</t>
        </r>
      </text>
    </comment>
    <comment ref="F104" authorId="1">
      <text>
        <r>
          <rPr>
            <b/>
            <sz val="9"/>
            <color indexed="81"/>
            <rFont val="Tahoma"/>
            <family val="2"/>
          </rPr>
          <t>Tina Jayaweera:</t>
        </r>
        <r>
          <rPr>
            <sz val="9"/>
            <color indexed="81"/>
            <rFont val="Tahoma"/>
            <family val="2"/>
          </rPr>
          <t xml:space="preserve">
6th Plan assumption, inflated from 2006$</t>
        </r>
      </text>
    </comment>
    <comment ref="F105" authorId="1">
      <text>
        <r>
          <rPr>
            <b/>
            <sz val="9"/>
            <color indexed="81"/>
            <rFont val="Tahoma"/>
            <family val="2"/>
          </rPr>
          <t>Tina Jayaweera:</t>
        </r>
        <r>
          <rPr>
            <sz val="9"/>
            <color indexed="81"/>
            <rFont val="Tahoma"/>
            <family val="2"/>
          </rPr>
          <t xml:space="preserve">
6th Plan assumption, inflated from 2006$</t>
        </r>
      </text>
    </comment>
    <comment ref="F106" authorId="1">
      <text>
        <r>
          <rPr>
            <b/>
            <sz val="9"/>
            <color indexed="81"/>
            <rFont val="Tahoma"/>
            <family val="2"/>
          </rPr>
          <t>Tina Jayaweera:</t>
        </r>
        <r>
          <rPr>
            <sz val="9"/>
            <color indexed="81"/>
            <rFont val="Tahoma"/>
            <family val="2"/>
          </rPr>
          <t xml:space="preserve">
6th Plan assumption, inflated from 2006$</t>
        </r>
      </text>
    </comment>
    <comment ref="F107" authorId="1">
      <text>
        <r>
          <rPr>
            <b/>
            <sz val="9"/>
            <color indexed="81"/>
            <rFont val="Tahoma"/>
            <family val="2"/>
          </rPr>
          <t>Tina Jayaweera:</t>
        </r>
        <r>
          <rPr>
            <sz val="9"/>
            <color indexed="81"/>
            <rFont val="Tahoma"/>
            <family val="2"/>
          </rPr>
          <t xml:space="preserve">
6th Plan assumption, inflated from 2006$</t>
        </r>
      </text>
    </comment>
    <comment ref="F108" authorId="1">
      <text>
        <r>
          <rPr>
            <b/>
            <sz val="9"/>
            <color indexed="81"/>
            <rFont val="Tahoma"/>
            <family val="2"/>
          </rPr>
          <t>Tina Jayaweera:</t>
        </r>
        <r>
          <rPr>
            <sz val="9"/>
            <color indexed="81"/>
            <rFont val="Tahoma"/>
            <family val="2"/>
          </rPr>
          <t xml:space="preserve">
6th Plan assumption, inflated from 2006$</t>
        </r>
      </text>
    </comment>
    <comment ref="F109" authorId="1">
      <text>
        <r>
          <rPr>
            <b/>
            <sz val="9"/>
            <color indexed="81"/>
            <rFont val="Tahoma"/>
            <family val="2"/>
          </rPr>
          <t>Tina Jayaweera:</t>
        </r>
        <r>
          <rPr>
            <sz val="9"/>
            <color indexed="81"/>
            <rFont val="Tahoma"/>
            <family val="2"/>
          </rPr>
          <t xml:space="preserve">
6th Plan assumption, inflated from 2006$</t>
        </r>
      </text>
    </comment>
    <comment ref="F110" authorId="1">
      <text>
        <r>
          <rPr>
            <b/>
            <sz val="9"/>
            <color indexed="81"/>
            <rFont val="Tahoma"/>
            <family val="2"/>
          </rPr>
          <t>Tina Jayaweera:</t>
        </r>
        <r>
          <rPr>
            <sz val="9"/>
            <color indexed="81"/>
            <rFont val="Tahoma"/>
            <family val="2"/>
          </rPr>
          <t xml:space="preserve">
6th Plan assumption, inflated from 2006$</t>
        </r>
      </text>
    </comment>
    <comment ref="F111" authorId="1">
      <text>
        <r>
          <rPr>
            <b/>
            <sz val="9"/>
            <color indexed="81"/>
            <rFont val="Tahoma"/>
            <family val="2"/>
          </rPr>
          <t>Tina Jayaweera:</t>
        </r>
        <r>
          <rPr>
            <sz val="9"/>
            <color indexed="81"/>
            <rFont val="Tahoma"/>
            <family val="2"/>
          </rPr>
          <t xml:space="preserve">
6th Plan assumption, inflated from 2006$</t>
        </r>
      </text>
    </comment>
    <comment ref="F112" authorId="1">
      <text>
        <r>
          <rPr>
            <b/>
            <sz val="9"/>
            <color indexed="81"/>
            <rFont val="Tahoma"/>
            <family val="2"/>
          </rPr>
          <t>Tina Jayaweera:</t>
        </r>
        <r>
          <rPr>
            <sz val="9"/>
            <color indexed="81"/>
            <rFont val="Tahoma"/>
            <family val="2"/>
          </rPr>
          <t xml:space="preserve">
6th Plan assumption, inflated from 2006$</t>
        </r>
      </text>
    </comment>
    <comment ref="F113" authorId="1">
      <text>
        <r>
          <rPr>
            <b/>
            <sz val="9"/>
            <color indexed="81"/>
            <rFont val="Tahoma"/>
            <family val="2"/>
          </rPr>
          <t>Tina Jayaweera:</t>
        </r>
        <r>
          <rPr>
            <sz val="9"/>
            <color indexed="81"/>
            <rFont val="Tahoma"/>
            <family val="2"/>
          </rPr>
          <t xml:space="preserve">
6th Plan assumption, inflated from 2006$</t>
        </r>
      </text>
    </comment>
    <comment ref="F114" authorId="1">
      <text>
        <r>
          <rPr>
            <b/>
            <sz val="9"/>
            <color indexed="81"/>
            <rFont val="Tahoma"/>
            <family val="2"/>
          </rPr>
          <t>Tina Jayaweera:</t>
        </r>
        <r>
          <rPr>
            <sz val="9"/>
            <color indexed="81"/>
            <rFont val="Tahoma"/>
            <family val="2"/>
          </rPr>
          <t xml:space="preserve">
6th Plan assumption, inflated from 2006$</t>
        </r>
      </text>
    </comment>
    <comment ref="F115" authorId="1">
      <text>
        <r>
          <rPr>
            <b/>
            <sz val="9"/>
            <color indexed="81"/>
            <rFont val="Tahoma"/>
            <family val="2"/>
          </rPr>
          <t>Tina Jayaweera:</t>
        </r>
        <r>
          <rPr>
            <sz val="9"/>
            <color indexed="81"/>
            <rFont val="Tahoma"/>
            <family val="2"/>
          </rPr>
          <t xml:space="preserve">
6th Plan assumption, inflated from 2006$</t>
        </r>
      </text>
    </comment>
    <comment ref="F116" authorId="1">
      <text>
        <r>
          <rPr>
            <b/>
            <sz val="9"/>
            <color indexed="81"/>
            <rFont val="Tahoma"/>
            <family val="2"/>
          </rPr>
          <t>Tina Jayaweera:</t>
        </r>
        <r>
          <rPr>
            <sz val="9"/>
            <color indexed="81"/>
            <rFont val="Tahoma"/>
            <family val="2"/>
          </rPr>
          <t xml:space="preserve">
6th Plan assumption, inflated from 2006$</t>
        </r>
      </text>
    </comment>
    <comment ref="F117" authorId="1">
      <text>
        <r>
          <rPr>
            <b/>
            <sz val="9"/>
            <color indexed="81"/>
            <rFont val="Tahoma"/>
            <family val="2"/>
          </rPr>
          <t>Tina Jayaweera:</t>
        </r>
        <r>
          <rPr>
            <sz val="9"/>
            <color indexed="81"/>
            <rFont val="Tahoma"/>
            <family val="2"/>
          </rPr>
          <t xml:space="preserve">
6th Plan assumption, inflated from 2006$</t>
        </r>
      </text>
    </comment>
    <comment ref="F118" authorId="1">
      <text>
        <r>
          <rPr>
            <b/>
            <sz val="9"/>
            <color indexed="81"/>
            <rFont val="Tahoma"/>
            <family val="2"/>
          </rPr>
          <t>Tina Jayaweera:</t>
        </r>
        <r>
          <rPr>
            <sz val="9"/>
            <color indexed="81"/>
            <rFont val="Tahoma"/>
            <family val="2"/>
          </rPr>
          <t xml:space="preserve">
6th Plan assumption, inflated from 2006$</t>
        </r>
      </text>
    </comment>
    <comment ref="F119" authorId="1">
      <text>
        <r>
          <rPr>
            <b/>
            <sz val="9"/>
            <color indexed="81"/>
            <rFont val="Tahoma"/>
            <family val="2"/>
          </rPr>
          <t>Tina Jayaweera:</t>
        </r>
        <r>
          <rPr>
            <sz val="9"/>
            <color indexed="81"/>
            <rFont val="Tahoma"/>
            <family val="2"/>
          </rPr>
          <t xml:space="preserve">
6th Plan assumption, inflated from 2006$</t>
        </r>
      </text>
    </comment>
    <comment ref="F120" authorId="1">
      <text>
        <r>
          <rPr>
            <b/>
            <sz val="9"/>
            <color indexed="81"/>
            <rFont val="Tahoma"/>
            <family val="2"/>
          </rPr>
          <t>Tina Jayaweera:</t>
        </r>
        <r>
          <rPr>
            <sz val="9"/>
            <color indexed="81"/>
            <rFont val="Tahoma"/>
            <family val="2"/>
          </rPr>
          <t xml:space="preserve">
6th Plan assumption, inflated from 2006$</t>
        </r>
      </text>
    </comment>
    <comment ref="F121" authorId="1">
      <text>
        <r>
          <rPr>
            <b/>
            <sz val="9"/>
            <color indexed="81"/>
            <rFont val="Tahoma"/>
            <family val="2"/>
          </rPr>
          <t>Tina Jayaweera:</t>
        </r>
        <r>
          <rPr>
            <sz val="9"/>
            <color indexed="81"/>
            <rFont val="Tahoma"/>
            <family val="2"/>
          </rPr>
          <t xml:space="preserve">
6th Plan assumption, inflated from 2006$</t>
        </r>
      </text>
    </comment>
    <comment ref="F122" authorId="1">
      <text>
        <r>
          <rPr>
            <b/>
            <sz val="9"/>
            <color indexed="81"/>
            <rFont val="Tahoma"/>
            <family val="2"/>
          </rPr>
          <t>Tina Jayaweera:</t>
        </r>
        <r>
          <rPr>
            <sz val="9"/>
            <color indexed="81"/>
            <rFont val="Tahoma"/>
            <family val="2"/>
          </rPr>
          <t xml:space="preserve">
6th Plan assumption, inflated from 2006$</t>
        </r>
      </text>
    </comment>
    <comment ref="F123" authorId="1">
      <text>
        <r>
          <rPr>
            <b/>
            <sz val="9"/>
            <color indexed="81"/>
            <rFont val="Tahoma"/>
            <family val="2"/>
          </rPr>
          <t>Tina Jayaweera:</t>
        </r>
        <r>
          <rPr>
            <sz val="9"/>
            <color indexed="81"/>
            <rFont val="Tahoma"/>
            <family val="2"/>
          </rPr>
          <t xml:space="preserve">
6th Plan assumption, inflated from 2006$</t>
        </r>
      </text>
    </comment>
    <comment ref="F124" authorId="1">
      <text>
        <r>
          <rPr>
            <b/>
            <sz val="9"/>
            <color indexed="81"/>
            <rFont val="Tahoma"/>
            <family val="2"/>
          </rPr>
          <t>Tina Jayaweera:</t>
        </r>
        <r>
          <rPr>
            <sz val="9"/>
            <color indexed="81"/>
            <rFont val="Tahoma"/>
            <family val="2"/>
          </rPr>
          <t xml:space="preserve">
6th Plan assumption, inflated from 2006$</t>
        </r>
      </text>
    </comment>
    <comment ref="F125" authorId="1">
      <text>
        <r>
          <rPr>
            <b/>
            <sz val="9"/>
            <color indexed="81"/>
            <rFont val="Tahoma"/>
            <family val="2"/>
          </rPr>
          <t>Tina Jayaweera:</t>
        </r>
        <r>
          <rPr>
            <sz val="9"/>
            <color indexed="81"/>
            <rFont val="Tahoma"/>
            <family val="2"/>
          </rPr>
          <t xml:space="preserve">
6th Plan assumption, inflated from 2006$</t>
        </r>
      </text>
    </comment>
    <comment ref="F126" authorId="1">
      <text>
        <r>
          <rPr>
            <b/>
            <sz val="9"/>
            <color indexed="81"/>
            <rFont val="Tahoma"/>
            <family val="2"/>
          </rPr>
          <t>Tina Jayaweera:</t>
        </r>
        <r>
          <rPr>
            <sz val="9"/>
            <color indexed="81"/>
            <rFont val="Tahoma"/>
            <family val="2"/>
          </rPr>
          <t xml:space="preserve">
6th Plan assumption, inflated from 2006$</t>
        </r>
      </text>
    </comment>
    <comment ref="F127" authorId="1">
      <text>
        <r>
          <rPr>
            <b/>
            <sz val="9"/>
            <color indexed="81"/>
            <rFont val="Tahoma"/>
            <family val="2"/>
          </rPr>
          <t>Tina Jayaweera:</t>
        </r>
        <r>
          <rPr>
            <sz val="9"/>
            <color indexed="81"/>
            <rFont val="Tahoma"/>
            <family val="2"/>
          </rPr>
          <t xml:space="preserve">
6th Plan assumption, inflated from 2006$</t>
        </r>
      </text>
    </comment>
    <comment ref="F128" authorId="1">
      <text>
        <r>
          <rPr>
            <b/>
            <sz val="9"/>
            <color indexed="81"/>
            <rFont val="Tahoma"/>
            <family val="2"/>
          </rPr>
          <t>Tina Jayaweera:</t>
        </r>
        <r>
          <rPr>
            <sz val="9"/>
            <color indexed="81"/>
            <rFont val="Tahoma"/>
            <family val="2"/>
          </rPr>
          <t xml:space="preserve">
6th Plan assumption, inflated from 2006$</t>
        </r>
      </text>
    </comment>
    <comment ref="F129" authorId="1">
      <text>
        <r>
          <rPr>
            <b/>
            <sz val="9"/>
            <color indexed="81"/>
            <rFont val="Tahoma"/>
            <family val="2"/>
          </rPr>
          <t>Tina Jayaweera:</t>
        </r>
        <r>
          <rPr>
            <sz val="9"/>
            <color indexed="81"/>
            <rFont val="Tahoma"/>
            <family val="2"/>
          </rPr>
          <t xml:space="preserve">
6th Plan assumption, inflated from 2006$</t>
        </r>
      </text>
    </comment>
    <comment ref="F130" authorId="1">
      <text>
        <r>
          <rPr>
            <b/>
            <sz val="9"/>
            <color indexed="81"/>
            <rFont val="Tahoma"/>
            <family val="2"/>
          </rPr>
          <t>Tina Jayaweera:</t>
        </r>
        <r>
          <rPr>
            <sz val="9"/>
            <color indexed="81"/>
            <rFont val="Tahoma"/>
            <family val="2"/>
          </rPr>
          <t xml:space="preserve">
6th Plan assumption, inflated from 2006$</t>
        </r>
      </text>
    </comment>
    <comment ref="F131" authorId="1">
      <text>
        <r>
          <rPr>
            <b/>
            <sz val="9"/>
            <color indexed="81"/>
            <rFont val="Tahoma"/>
            <family val="2"/>
          </rPr>
          <t>Tina Jayaweera:</t>
        </r>
        <r>
          <rPr>
            <sz val="9"/>
            <color indexed="81"/>
            <rFont val="Tahoma"/>
            <family val="2"/>
          </rPr>
          <t xml:space="preserve">
6th Plan assumption, inflated from 2006$</t>
        </r>
      </text>
    </comment>
    <comment ref="F132" authorId="1">
      <text>
        <r>
          <rPr>
            <b/>
            <sz val="9"/>
            <color indexed="81"/>
            <rFont val="Tahoma"/>
            <family val="2"/>
          </rPr>
          <t>Tina Jayaweera:</t>
        </r>
        <r>
          <rPr>
            <sz val="9"/>
            <color indexed="81"/>
            <rFont val="Tahoma"/>
            <family val="2"/>
          </rPr>
          <t xml:space="preserve">
6th Plan assumption, inflated from 2006$</t>
        </r>
      </text>
    </comment>
    <comment ref="F133" authorId="1">
      <text>
        <r>
          <rPr>
            <b/>
            <sz val="9"/>
            <color indexed="81"/>
            <rFont val="Tahoma"/>
            <family val="2"/>
          </rPr>
          <t>Tina Jayaweera:</t>
        </r>
        <r>
          <rPr>
            <sz val="9"/>
            <color indexed="81"/>
            <rFont val="Tahoma"/>
            <family val="2"/>
          </rPr>
          <t xml:space="preserve">
6th Plan assumption, inflated from 2006$</t>
        </r>
      </text>
    </comment>
    <comment ref="F134" authorId="1">
      <text>
        <r>
          <rPr>
            <b/>
            <sz val="9"/>
            <color indexed="81"/>
            <rFont val="Tahoma"/>
            <family val="2"/>
          </rPr>
          <t>Tina Jayaweera:</t>
        </r>
        <r>
          <rPr>
            <sz val="9"/>
            <color indexed="81"/>
            <rFont val="Tahoma"/>
            <family val="2"/>
          </rPr>
          <t xml:space="preserve">
6th Plan assumption, inflated from 2006$</t>
        </r>
      </text>
    </comment>
    <comment ref="F135" authorId="1">
      <text>
        <r>
          <rPr>
            <b/>
            <sz val="9"/>
            <color indexed="81"/>
            <rFont val="Tahoma"/>
            <family val="2"/>
          </rPr>
          <t>Tina Jayaweera:</t>
        </r>
        <r>
          <rPr>
            <sz val="9"/>
            <color indexed="81"/>
            <rFont val="Tahoma"/>
            <family val="2"/>
          </rPr>
          <t xml:space="preserve">
6th Plan assumption, inflated from 2006$</t>
        </r>
      </text>
    </comment>
    <comment ref="F136" authorId="1">
      <text>
        <r>
          <rPr>
            <b/>
            <sz val="9"/>
            <color indexed="81"/>
            <rFont val="Tahoma"/>
            <family val="2"/>
          </rPr>
          <t>Tina Jayaweera:</t>
        </r>
        <r>
          <rPr>
            <sz val="9"/>
            <color indexed="81"/>
            <rFont val="Tahoma"/>
            <family val="2"/>
          </rPr>
          <t xml:space="preserve">
6th Plan assumption, inflated from 2006$</t>
        </r>
      </text>
    </comment>
    <comment ref="F137" authorId="1">
      <text>
        <r>
          <rPr>
            <b/>
            <sz val="9"/>
            <color indexed="81"/>
            <rFont val="Tahoma"/>
            <family val="2"/>
          </rPr>
          <t>Tina Jayaweera:</t>
        </r>
        <r>
          <rPr>
            <sz val="9"/>
            <color indexed="81"/>
            <rFont val="Tahoma"/>
            <family val="2"/>
          </rPr>
          <t xml:space="preserve">
6th Plan assumption, inflated from 2006$</t>
        </r>
      </text>
    </comment>
    <comment ref="F138" authorId="1">
      <text>
        <r>
          <rPr>
            <b/>
            <sz val="9"/>
            <color indexed="81"/>
            <rFont val="Tahoma"/>
            <family val="2"/>
          </rPr>
          <t>Tina Jayaweera:</t>
        </r>
        <r>
          <rPr>
            <sz val="9"/>
            <color indexed="81"/>
            <rFont val="Tahoma"/>
            <family val="2"/>
          </rPr>
          <t xml:space="preserve">
6th Plan assumption, inflated from 2006$</t>
        </r>
      </text>
    </comment>
    <comment ref="F139" authorId="1">
      <text>
        <r>
          <rPr>
            <b/>
            <sz val="9"/>
            <color indexed="81"/>
            <rFont val="Tahoma"/>
            <family val="2"/>
          </rPr>
          <t>Tina Jayaweera:</t>
        </r>
        <r>
          <rPr>
            <sz val="9"/>
            <color indexed="81"/>
            <rFont val="Tahoma"/>
            <family val="2"/>
          </rPr>
          <t xml:space="preserve">
6th Plan assumption, inflated from 2006$</t>
        </r>
      </text>
    </comment>
    <comment ref="F140" authorId="1">
      <text>
        <r>
          <rPr>
            <b/>
            <sz val="9"/>
            <color indexed="81"/>
            <rFont val="Tahoma"/>
            <family val="2"/>
          </rPr>
          <t>Tina Jayaweera:</t>
        </r>
        <r>
          <rPr>
            <sz val="9"/>
            <color indexed="81"/>
            <rFont val="Tahoma"/>
            <family val="2"/>
          </rPr>
          <t xml:space="preserve">
6th Plan assumption, inflated from 2006$</t>
        </r>
      </text>
    </comment>
    <comment ref="F141" authorId="1">
      <text>
        <r>
          <rPr>
            <b/>
            <sz val="9"/>
            <color indexed="81"/>
            <rFont val="Tahoma"/>
            <family val="2"/>
          </rPr>
          <t>Tina Jayaweera:</t>
        </r>
        <r>
          <rPr>
            <sz val="9"/>
            <color indexed="81"/>
            <rFont val="Tahoma"/>
            <family val="2"/>
          </rPr>
          <t xml:space="preserve">
6th Plan assumption, inflated from 2006$</t>
        </r>
      </text>
    </comment>
    <comment ref="F142" authorId="1">
      <text>
        <r>
          <rPr>
            <b/>
            <sz val="9"/>
            <color indexed="81"/>
            <rFont val="Tahoma"/>
            <family val="2"/>
          </rPr>
          <t>Tina Jayaweera:</t>
        </r>
        <r>
          <rPr>
            <sz val="9"/>
            <color indexed="81"/>
            <rFont val="Tahoma"/>
            <family val="2"/>
          </rPr>
          <t xml:space="preserve">
6th Plan assumption, inflated from 2006$</t>
        </r>
      </text>
    </comment>
    <comment ref="F143" authorId="1">
      <text>
        <r>
          <rPr>
            <b/>
            <sz val="9"/>
            <color indexed="81"/>
            <rFont val="Tahoma"/>
            <family val="2"/>
          </rPr>
          <t>Tina Jayaweera:</t>
        </r>
        <r>
          <rPr>
            <sz val="9"/>
            <color indexed="81"/>
            <rFont val="Tahoma"/>
            <family val="2"/>
          </rPr>
          <t xml:space="preserve">
6th Plan assumption, inflated from 2006$</t>
        </r>
      </text>
    </comment>
    <comment ref="F144" authorId="1">
      <text>
        <r>
          <rPr>
            <b/>
            <sz val="9"/>
            <color indexed="81"/>
            <rFont val="Tahoma"/>
            <family val="2"/>
          </rPr>
          <t>Tina Jayaweera:</t>
        </r>
        <r>
          <rPr>
            <sz val="9"/>
            <color indexed="81"/>
            <rFont val="Tahoma"/>
            <family val="2"/>
          </rPr>
          <t xml:space="preserve">
6th Plan assumption, inflated from 2006$</t>
        </r>
      </text>
    </comment>
    <comment ref="F145" authorId="1">
      <text>
        <r>
          <rPr>
            <b/>
            <sz val="9"/>
            <color indexed="81"/>
            <rFont val="Tahoma"/>
            <family val="2"/>
          </rPr>
          <t>Tina Jayaweera:</t>
        </r>
        <r>
          <rPr>
            <sz val="9"/>
            <color indexed="81"/>
            <rFont val="Tahoma"/>
            <family val="2"/>
          </rPr>
          <t xml:space="preserve">
6th Plan assumption, inflated from 2006$</t>
        </r>
      </text>
    </comment>
    <comment ref="F146" authorId="1">
      <text>
        <r>
          <rPr>
            <b/>
            <sz val="9"/>
            <color indexed="81"/>
            <rFont val="Tahoma"/>
            <family val="2"/>
          </rPr>
          <t>Tina Jayaweera:</t>
        </r>
        <r>
          <rPr>
            <sz val="9"/>
            <color indexed="81"/>
            <rFont val="Tahoma"/>
            <family val="2"/>
          </rPr>
          <t xml:space="preserve">
6th Plan assumption, inflated from 2006$</t>
        </r>
      </text>
    </comment>
    <comment ref="F147" authorId="1">
      <text>
        <r>
          <rPr>
            <b/>
            <sz val="9"/>
            <color indexed="81"/>
            <rFont val="Tahoma"/>
            <family val="2"/>
          </rPr>
          <t>Tina Jayaweera:</t>
        </r>
        <r>
          <rPr>
            <sz val="9"/>
            <color indexed="81"/>
            <rFont val="Tahoma"/>
            <family val="2"/>
          </rPr>
          <t xml:space="preserve">
6th Plan assumption, inflated from 2006$</t>
        </r>
      </text>
    </comment>
    <comment ref="F148" authorId="1">
      <text>
        <r>
          <rPr>
            <b/>
            <sz val="9"/>
            <color indexed="81"/>
            <rFont val="Tahoma"/>
            <family val="2"/>
          </rPr>
          <t>Tina Jayaweera:</t>
        </r>
        <r>
          <rPr>
            <sz val="9"/>
            <color indexed="81"/>
            <rFont val="Tahoma"/>
            <family val="2"/>
          </rPr>
          <t xml:space="preserve">
6th Plan assumption, inflated from 2006$</t>
        </r>
      </text>
    </comment>
    <comment ref="F149" authorId="1">
      <text>
        <r>
          <rPr>
            <b/>
            <sz val="9"/>
            <color indexed="81"/>
            <rFont val="Tahoma"/>
            <family val="2"/>
          </rPr>
          <t>Tina Jayaweera:</t>
        </r>
        <r>
          <rPr>
            <sz val="9"/>
            <color indexed="81"/>
            <rFont val="Tahoma"/>
            <family val="2"/>
          </rPr>
          <t xml:space="preserve">
6th Plan assumption, inflated from 2006$</t>
        </r>
      </text>
    </comment>
    <comment ref="F150" authorId="1">
      <text>
        <r>
          <rPr>
            <b/>
            <sz val="9"/>
            <color indexed="81"/>
            <rFont val="Tahoma"/>
            <family val="2"/>
          </rPr>
          <t>Tina Jayaweera:</t>
        </r>
        <r>
          <rPr>
            <sz val="9"/>
            <color indexed="81"/>
            <rFont val="Tahoma"/>
            <family val="2"/>
          </rPr>
          <t xml:space="preserve">
6th Plan assumption, inflated from 2006$</t>
        </r>
      </text>
    </comment>
    <comment ref="F151" authorId="1">
      <text>
        <r>
          <rPr>
            <b/>
            <sz val="9"/>
            <color indexed="81"/>
            <rFont val="Tahoma"/>
            <family val="2"/>
          </rPr>
          <t>Tina Jayaweera:</t>
        </r>
        <r>
          <rPr>
            <sz val="9"/>
            <color indexed="81"/>
            <rFont val="Tahoma"/>
            <family val="2"/>
          </rPr>
          <t xml:space="preserve">
6th Plan assumption, inflated from 2006$</t>
        </r>
      </text>
    </comment>
    <comment ref="F152" authorId="1">
      <text>
        <r>
          <rPr>
            <b/>
            <sz val="9"/>
            <color indexed="81"/>
            <rFont val="Tahoma"/>
            <family val="2"/>
          </rPr>
          <t>Tina Jayaweera:</t>
        </r>
        <r>
          <rPr>
            <sz val="9"/>
            <color indexed="81"/>
            <rFont val="Tahoma"/>
            <family val="2"/>
          </rPr>
          <t xml:space="preserve">
6th Plan assumption, inflated from 2006$</t>
        </r>
      </text>
    </comment>
    <comment ref="F153" authorId="1">
      <text>
        <r>
          <rPr>
            <b/>
            <sz val="9"/>
            <color indexed="81"/>
            <rFont val="Tahoma"/>
            <family val="2"/>
          </rPr>
          <t>Tina Jayaweera:</t>
        </r>
        <r>
          <rPr>
            <sz val="9"/>
            <color indexed="81"/>
            <rFont val="Tahoma"/>
            <family val="2"/>
          </rPr>
          <t xml:space="preserve">
6th Plan assumption, inflated from 2006$</t>
        </r>
      </text>
    </comment>
    <comment ref="F154" authorId="1">
      <text>
        <r>
          <rPr>
            <b/>
            <sz val="9"/>
            <color indexed="81"/>
            <rFont val="Tahoma"/>
            <family val="2"/>
          </rPr>
          <t>Tina Jayaweera:</t>
        </r>
        <r>
          <rPr>
            <sz val="9"/>
            <color indexed="81"/>
            <rFont val="Tahoma"/>
            <family val="2"/>
          </rPr>
          <t xml:space="preserve">
6th Plan assumption, inflated from 2006$</t>
        </r>
      </text>
    </comment>
    <comment ref="F155" authorId="1">
      <text>
        <r>
          <rPr>
            <b/>
            <sz val="9"/>
            <color indexed="81"/>
            <rFont val="Tahoma"/>
            <family val="2"/>
          </rPr>
          <t>Tina Jayaweera:</t>
        </r>
        <r>
          <rPr>
            <sz val="9"/>
            <color indexed="81"/>
            <rFont val="Tahoma"/>
            <family val="2"/>
          </rPr>
          <t xml:space="preserve">
6th Plan assumption, inflated from 2006$</t>
        </r>
      </text>
    </comment>
    <comment ref="F156" authorId="1">
      <text>
        <r>
          <rPr>
            <b/>
            <sz val="9"/>
            <color indexed="81"/>
            <rFont val="Tahoma"/>
            <family val="2"/>
          </rPr>
          <t>Tina Jayaweera:</t>
        </r>
        <r>
          <rPr>
            <sz val="9"/>
            <color indexed="81"/>
            <rFont val="Tahoma"/>
            <family val="2"/>
          </rPr>
          <t xml:space="preserve">
6th Plan assumption, inflated from 2006$</t>
        </r>
      </text>
    </comment>
    <comment ref="F157" authorId="1">
      <text>
        <r>
          <rPr>
            <b/>
            <sz val="9"/>
            <color indexed="81"/>
            <rFont val="Tahoma"/>
            <family val="2"/>
          </rPr>
          <t>Tina Jayaweera:</t>
        </r>
        <r>
          <rPr>
            <sz val="9"/>
            <color indexed="81"/>
            <rFont val="Tahoma"/>
            <family val="2"/>
          </rPr>
          <t xml:space="preserve">
6th Plan assumption, inflated from 2006$</t>
        </r>
      </text>
    </comment>
    <comment ref="F158" authorId="1">
      <text>
        <r>
          <rPr>
            <b/>
            <sz val="9"/>
            <color indexed="81"/>
            <rFont val="Tahoma"/>
            <family val="2"/>
          </rPr>
          <t>Tina Jayaweera:</t>
        </r>
        <r>
          <rPr>
            <sz val="9"/>
            <color indexed="81"/>
            <rFont val="Tahoma"/>
            <family val="2"/>
          </rPr>
          <t xml:space="preserve">
6th Plan assumption, inflated from 2006$</t>
        </r>
      </text>
    </comment>
    <comment ref="F159" authorId="1">
      <text>
        <r>
          <rPr>
            <b/>
            <sz val="9"/>
            <color indexed="81"/>
            <rFont val="Tahoma"/>
            <family val="2"/>
          </rPr>
          <t>Tina Jayaweera:</t>
        </r>
        <r>
          <rPr>
            <sz val="9"/>
            <color indexed="81"/>
            <rFont val="Tahoma"/>
            <family val="2"/>
          </rPr>
          <t xml:space="preserve">
6th Plan assumption, inflated from 2006$</t>
        </r>
      </text>
    </comment>
    <comment ref="F160" authorId="1">
      <text>
        <r>
          <rPr>
            <b/>
            <sz val="9"/>
            <color indexed="81"/>
            <rFont val="Tahoma"/>
            <family val="2"/>
          </rPr>
          <t>Tina Jayaweera:</t>
        </r>
        <r>
          <rPr>
            <sz val="9"/>
            <color indexed="81"/>
            <rFont val="Tahoma"/>
            <family val="2"/>
          </rPr>
          <t xml:space="preserve">
6th Plan assumption, inflated from 2006$</t>
        </r>
      </text>
    </comment>
    <comment ref="F161" authorId="1">
      <text>
        <r>
          <rPr>
            <b/>
            <sz val="9"/>
            <color indexed="81"/>
            <rFont val="Tahoma"/>
            <family val="2"/>
          </rPr>
          <t>Tina Jayaweera:</t>
        </r>
        <r>
          <rPr>
            <sz val="9"/>
            <color indexed="81"/>
            <rFont val="Tahoma"/>
            <family val="2"/>
          </rPr>
          <t xml:space="preserve">
6th Plan assumption, inflated from 2006$</t>
        </r>
      </text>
    </comment>
    <comment ref="F162" authorId="1">
      <text>
        <r>
          <rPr>
            <b/>
            <sz val="9"/>
            <color indexed="81"/>
            <rFont val="Tahoma"/>
            <family val="2"/>
          </rPr>
          <t>Tina Jayaweera:</t>
        </r>
        <r>
          <rPr>
            <sz val="9"/>
            <color indexed="81"/>
            <rFont val="Tahoma"/>
            <family val="2"/>
          </rPr>
          <t xml:space="preserve">
6th Plan assumption, inflated from 2006$</t>
        </r>
      </text>
    </comment>
    <comment ref="F163" authorId="1">
      <text>
        <r>
          <rPr>
            <b/>
            <sz val="9"/>
            <color indexed="81"/>
            <rFont val="Tahoma"/>
            <family val="2"/>
          </rPr>
          <t>Tina Jayaweera:</t>
        </r>
        <r>
          <rPr>
            <sz val="9"/>
            <color indexed="81"/>
            <rFont val="Tahoma"/>
            <family val="2"/>
          </rPr>
          <t xml:space="preserve">
6th Plan assumption, inflated from 2006$</t>
        </r>
      </text>
    </comment>
    <comment ref="F164" authorId="1">
      <text>
        <r>
          <rPr>
            <b/>
            <sz val="9"/>
            <color indexed="81"/>
            <rFont val="Tahoma"/>
            <family val="2"/>
          </rPr>
          <t>Tina Jayaweera:</t>
        </r>
        <r>
          <rPr>
            <sz val="9"/>
            <color indexed="81"/>
            <rFont val="Tahoma"/>
            <family val="2"/>
          </rPr>
          <t xml:space="preserve">
6th Plan assumption, inflated from 2006$</t>
        </r>
      </text>
    </comment>
    <comment ref="F165" authorId="1">
      <text>
        <r>
          <rPr>
            <b/>
            <sz val="9"/>
            <color indexed="81"/>
            <rFont val="Tahoma"/>
            <family val="2"/>
          </rPr>
          <t>Tina Jayaweera:</t>
        </r>
        <r>
          <rPr>
            <sz val="9"/>
            <color indexed="81"/>
            <rFont val="Tahoma"/>
            <family val="2"/>
          </rPr>
          <t xml:space="preserve">
6th Plan assumption, inflated from 2006$</t>
        </r>
      </text>
    </comment>
    <comment ref="F166" authorId="1">
      <text>
        <r>
          <rPr>
            <b/>
            <sz val="9"/>
            <color indexed="81"/>
            <rFont val="Tahoma"/>
            <family val="2"/>
          </rPr>
          <t>Tina Jayaweera:</t>
        </r>
        <r>
          <rPr>
            <sz val="9"/>
            <color indexed="81"/>
            <rFont val="Tahoma"/>
            <family val="2"/>
          </rPr>
          <t xml:space="preserve">
6th Plan assumption, inflated from 2006$</t>
        </r>
      </text>
    </comment>
    <comment ref="F167" authorId="1">
      <text>
        <r>
          <rPr>
            <b/>
            <sz val="9"/>
            <color indexed="81"/>
            <rFont val="Tahoma"/>
            <family val="2"/>
          </rPr>
          <t>Tina Jayaweera:</t>
        </r>
        <r>
          <rPr>
            <sz val="9"/>
            <color indexed="81"/>
            <rFont val="Tahoma"/>
            <family val="2"/>
          </rPr>
          <t xml:space="preserve">
6th Plan assumption, inflated from 2006$</t>
        </r>
      </text>
    </comment>
    <comment ref="F168" authorId="1">
      <text>
        <r>
          <rPr>
            <b/>
            <sz val="9"/>
            <color indexed="81"/>
            <rFont val="Tahoma"/>
            <family val="2"/>
          </rPr>
          <t>Tina Jayaweera:</t>
        </r>
        <r>
          <rPr>
            <sz val="9"/>
            <color indexed="81"/>
            <rFont val="Tahoma"/>
            <family val="2"/>
          </rPr>
          <t xml:space="preserve">
6th Plan assumption, inflated from 2006$</t>
        </r>
      </text>
    </comment>
    <comment ref="F169" authorId="1">
      <text>
        <r>
          <rPr>
            <b/>
            <sz val="9"/>
            <color indexed="81"/>
            <rFont val="Tahoma"/>
            <family val="2"/>
          </rPr>
          <t>Tina Jayaweera:</t>
        </r>
        <r>
          <rPr>
            <sz val="9"/>
            <color indexed="81"/>
            <rFont val="Tahoma"/>
            <family val="2"/>
          </rPr>
          <t xml:space="preserve">
6th Plan assumption, inflated from 2006$</t>
        </r>
      </text>
    </comment>
    <comment ref="F170" authorId="1">
      <text>
        <r>
          <rPr>
            <b/>
            <sz val="9"/>
            <color indexed="81"/>
            <rFont val="Tahoma"/>
            <family val="2"/>
          </rPr>
          <t>Tina Jayaweera:</t>
        </r>
        <r>
          <rPr>
            <sz val="9"/>
            <color indexed="81"/>
            <rFont val="Tahoma"/>
            <family val="2"/>
          </rPr>
          <t xml:space="preserve">
6th Plan assumption, inflated from 2006$</t>
        </r>
      </text>
    </comment>
    <comment ref="F171" authorId="1">
      <text>
        <r>
          <rPr>
            <b/>
            <sz val="9"/>
            <color indexed="81"/>
            <rFont val="Tahoma"/>
            <family val="2"/>
          </rPr>
          <t>Tina Jayaweera:</t>
        </r>
        <r>
          <rPr>
            <sz val="9"/>
            <color indexed="81"/>
            <rFont val="Tahoma"/>
            <family val="2"/>
          </rPr>
          <t xml:space="preserve">
6th Plan assumption, inflated from 2006$</t>
        </r>
      </text>
    </comment>
    <comment ref="F172" authorId="1">
      <text>
        <r>
          <rPr>
            <b/>
            <sz val="9"/>
            <color indexed="81"/>
            <rFont val="Tahoma"/>
            <family val="2"/>
          </rPr>
          <t>Tina Jayaweera:</t>
        </r>
        <r>
          <rPr>
            <sz val="9"/>
            <color indexed="81"/>
            <rFont val="Tahoma"/>
            <family val="2"/>
          </rPr>
          <t xml:space="preserve">
6th Plan assumption, inflated from 2006$</t>
        </r>
      </text>
    </comment>
    <comment ref="F173" authorId="1">
      <text>
        <r>
          <rPr>
            <b/>
            <sz val="9"/>
            <color indexed="81"/>
            <rFont val="Tahoma"/>
            <family val="2"/>
          </rPr>
          <t>Tina Jayaweera:</t>
        </r>
        <r>
          <rPr>
            <sz val="9"/>
            <color indexed="81"/>
            <rFont val="Tahoma"/>
            <family val="2"/>
          </rPr>
          <t xml:space="preserve">
6th Plan assumption, inflated from 2006$</t>
        </r>
      </text>
    </comment>
    <comment ref="F174" authorId="1">
      <text>
        <r>
          <rPr>
            <b/>
            <sz val="9"/>
            <color indexed="81"/>
            <rFont val="Tahoma"/>
            <family val="2"/>
          </rPr>
          <t>Tina Jayaweera:</t>
        </r>
        <r>
          <rPr>
            <sz val="9"/>
            <color indexed="81"/>
            <rFont val="Tahoma"/>
            <family val="2"/>
          </rPr>
          <t xml:space="preserve">
6th Plan assumption, inflated from 2006$</t>
        </r>
      </text>
    </comment>
    <comment ref="F175" authorId="1">
      <text>
        <r>
          <rPr>
            <b/>
            <sz val="9"/>
            <color indexed="81"/>
            <rFont val="Tahoma"/>
            <family val="2"/>
          </rPr>
          <t>Tina Jayaweera:</t>
        </r>
        <r>
          <rPr>
            <sz val="9"/>
            <color indexed="81"/>
            <rFont val="Tahoma"/>
            <family val="2"/>
          </rPr>
          <t xml:space="preserve">
6th Plan assumption, inflated from 2006$</t>
        </r>
      </text>
    </comment>
  </commentList>
</comments>
</file>

<file path=xl/sharedStrings.xml><?xml version="1.0" encoding="utf-8"?>
<sst xmlns="http://schemas.openxmlformats.org/spreadsheetml/2006/main" count="1165" uniqueCount="540">
  <si>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</si>
  <si>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</si>
  <si>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</si>
  <si>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</si>
  <si>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</si>
  <si>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</si>
  <si>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</si>
  <si>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</si>
  <si>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</si>
  <si>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</si>
  <si>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</si>
  <si>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</si>
  <si>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</si>
  <si>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</si>
  <si>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</si>
  <si>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</si>
  <si>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</si>
  <si>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</si>
  <si>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</si>
  <si>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</si>
  <si>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</si>
  <si>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TRC Net Levelized Cost (Net of All Benefits) in mills/kWh</t>
  </si>
  <si>
    <t>Busbar Savings</t>
  </si>
  <si>
    <t>Vintage</t>
  </si>
  <si>
    <t>Methodology</t>
  </si>
  <si>
    <t>Retrofit</t>
  </si>
  <si>
    <t>Retro</t>
  </si>
  <si>
    <t>Measure Bundle</t>
  </si>
  <si>
    <t>Report Year</t>
  </si>
  <si>
    <t>Output Range</t>
  </si>
  <si>
    <t>Total Regional Stock</t>
  </si>
  <si>
    <t>Applicability</t>
  </si>
  <si>
    <t>MAX</t>
  </si>
  <si>
    <t>Achievability =&gt;</t>
  </si>
  <si>
    <t>SUPPLY CURVE SAVINGS BY BUNDLE</t>
  </si>
  <si>
    <t>kWh per home</t>
  </si>
  <si>
    <t>lvlcost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</si>
  <si>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</si>
  <si>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</si>
  <si>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</si>
  <si>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</si>
  <si>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</si>
  <si>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</si>
  <si>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</si>
  <si>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</si>
  <si>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</si>
  <si>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</si>
  <si>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</si>
  <si>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</si>
  <si>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</si>
  <si>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</si>
  <si>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</si>
  <si>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</si>
  <si>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</si>
  <si>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</si>
  <si>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</si>
  <si>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</si>
  <si>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</si>
  <si>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</si>
  <si>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</si>
  <si>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</si>
  <si>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</si>
  <si>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</si>
  <si>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</si>
  <si>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</si>
  <si>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</si>
  <si>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</si>
  <si>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</si>
  <si>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</si>
  <si>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</si>
  <si>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</si>
  <si>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</si>
  <si>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</si>
  <si>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</si>
  <si>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</si>
  <si>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</si>
  <si>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</si>
  <si>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</si>
  <si>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</si>
  <si>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</si>
  <si>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</si>
  <si>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</si>
  <si>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</si>
  <si>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</si>
  <si>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</si>
  <si>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</si>
  <si>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</si>
  <si>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</si>
  <si>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</si>
  <si>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</si>
  <si>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</si>
  <si>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</si>
  <si>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</si>
  <si>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</si>
  <si>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</si>
  <si>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</si>
  <si>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</si>
  <si>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</si>
  <si>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</si>
  <si>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</si>
  <si>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</si>
  <si>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</si>
  <si>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&gt;200</t>
  </si>
  <si>
    <t>&lt;=9999</t>
  </si>
  <si>
    <t>RECOMBINE MEASURE BUNDLES INTO SUPPLY CURVE INCREMENTAL</t>
  </si>
  <si>
    <t>Total per Year</t>
  </si>
  <si>
    <t>Total Cumulative</t>
  </si>
  <si>
    <t>Region</t>
  </si>
  <si>
    <t>Measure:</t>
  </si>
  <si>
    <t>Item</t>
  </si>
  <si>
    <t>Measures Described</t>
  </si>
  <si>
    <t>Energy Savings Calculation Basis</t>
  </si>
  <si>
    <t>Applicable Stock</t>
  </si>
  <si>
    <t>Baseline Saturation</t>
  </si>
  <si>
    <t>Baseline HVAC Loads</t>
  </si>
  <si>
    <t>Permutations</t>
  </si>
  <si>
    <t>Costs</t>
  </si>
  <si>
    <t>Measure Life</t>
  </si>
  <si>
    <t>Savings Shape</t>
  </si>
  <si>
    <t>Achievability Ramp Rate</t>
  </si>
  <si>
    <t>Retro or LO</t>
  </si>
  <si>
    <t>Early Retrofit Parameters</t>
  </si>
  <si>
    <t>R or L</t>
  </si>
  <si>
    <t>Savings 2
(kWh)</t>
  </si>
  <si>
    <t>Remaining
Life (yrs)</t>
  </si>
  <si>
    <t>Salvage Value ($)</t>
  </si>
  <si>
    <t>R</t>
  </si>
  <si>
    <t>aMW</t>
  </si>
  <si>
    <t>Existing</t>
  </si>
  <si>
    <t>Montana</t>
  </si>
  <si>
    <t>Idaho</t>
  </si>
  <si>
    <t>Oregon</t>
  </si>
  <si>
    <t>Washington</t>
  </si>
  <si>
    <t>='[7P Forecasts D2.xlsx]Ag Forecast (Base Case)'!$BD$20</t>
  </si>
  <si>
    <t>Irrigation</t>
  </si>
  <si>
    <t>state</t>
  </si>
  <si>
    <t>Acres Treated Max</t>
  </si>
  <si>
    <t>A-Irr-Irr-Irrigation-All-All-E</t>
  </si>
  <si>
    <t>Category</t>
  </si>
  <si>
    <t>Measure</t>
  </si>
  <si>
    <t>TRC B/C Ratio</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</si>
  <si>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</si>
  <si>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</si>
  <si>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</si>
  <si>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</si>
  <si>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</si>
  <si>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</si>
  <si>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</si>
  <si>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</si>
  <si>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</si>
  <si>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</si>
  <si>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</si>
  <si>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</si>
  <si>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</si>
  <si>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</si>
  <si>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</si>
  <si>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</si>
  <si>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</si>
  <si>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</si>
  <si>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</si>
  <si>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</si>
  <si>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</si>
  <si>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</si>
  <si>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</si>
  <si>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</si>
  <si>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</si>
  <si>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</si>
  <si>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</si>
  <si>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</si>
  <si>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</si>
  <si>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</si>
  <si>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</si>
  <si>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</si>
  <si>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</si>
  <si>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</si>
  <si>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</si>
  <si>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</si>
  <si>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</si>
  <si>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</si>
  <si>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</si>
  <si>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</si>
  <si>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</si>
  <si>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</si>
  <si>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</si>
  <si>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</si>
  <si>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</si>
  <si>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</si>
  <si>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</si>
  <si>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</si>
  <si>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</si>
  <si>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</si>
  <si>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</si>
  <si>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</si>
  <si>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Savings Allocation by Category and Month for Segments 1</t>
  </si>
  <si>
    <t>Savings Allocation by Category and Month for Segments 2</t>
  </si>
  <si>
    <t>Wholesale KW</t>
  </si>
  <si>
    <t>Motor Size</t>
  </si>
  <si>
    <t>Savings over Standard Rewind</t>
  </si>
  <si>
    <t>25 HP</t>
  </si>
  <si>
    <t>30 HP</t>
  </si>
  <si>
    <t>40 HP</t>
  </si>
  <si>
    <t>50 HP</t>
  </si>
  <si>
    <t>60 HP</t>
  </si>
  <si>
    <t>75 HP</t>
  </si>
  <si>
    <t>Weighted Average Efficiency GPMG Rewind</t>
  </si>
  <si>
    <t>Weighted Average Efficiency after Standard Rewind</t>
  </si>
  <si>
    <t>Weighted Average Energy Consumption GMPG Rewind</t>
  </si>
  <si>
    <t>Weighted Average Energy Consumption w/Standard Rewind</t>
  </si>
  <si>
    <t>Energy Savings for GMPG Rewind</t>
  </si>
  <si>
    <t>ODP</t>
  </si>
  <si>
    <t>TEFC</t>
  </si>
  <si>
    <t>HP Average annual</t>
  </si>
  <si>
    <t>Average Loading</t>
  </si>
  <si>
    <t>Average hours of Operation</t>
  </si>
  <si>
    <t xml:space="preserve">Non-GMPG Nameplate Efficiency Loss </t>
  </si>
  <si>
    <t>1200 RPM</t>
  </si>
  <si>
    <t>1800 RPM</t>
  </si>
  <si>
    <t>3600 RPM</t>
  </si>
  <si>
    <t>Average Savings</t>
  </si>
  <si>
    <t>Savings kWh/HP</t>
  </si>
  <si>
    <r>
      <rPr>
        <u/>
        <sz val="10"/>
        <rFont val="Arial"/>
        <family val="2"/>
      </rPr>
      <t>Note</t>
    </r>
    <r>
      <rPr>
        <sz val="10"/>
        <rFont val="Arial"/>
        <family val="2"/>
      </rPr>
      <t>: Efficiencies of motors 600HP and greater reflect a single efficiency value for each HP rating in this range. Motors 600 HP and larger are not covered by NEMA Premium® published standards</t>
    </r>
  </si>
  <si>
    <t>or by Department of Energy minimum efficiency standards. The published efficiency for motors 600 to 5,000 HP from two of the larger manufacturers of motors in this HP range (Siemens and General Electric)</t>
  </si>
  <si>
    <t>is provided here. Source: Green Motors Practices Group (GMPG), 2012. Green Motor Initiative Rewind Savings. Submitted to the RTF.</t>
  </si>
  <si>
    <t>From:</t>
  </si>
  <si>
    <t>AgGreenMotorRewind_v2_0.xlsm</t>
  </si>
  <si>
    <t>Motor Rewind Costs</t>
  </si>
  <si>
    <t>Standard Versus Green Motor Program Costs</t>
  </si>
  <si>
    <t xml:space="preserve">Source:  </t>
  </si>
  <si>
    <t>Green Motors Program Participant survey, summer 2007 as reported in the RTF submittal. (Quality Motor Rewinding an Energy Efficiency Measure, RTF Submittal, Post-Approval Revision 1.2 - May 2008, Page 7: http://www.reedelectric.tv/images/RTFSubmittalMay_08__2_.pdf)</t>
  </si>
  <si>
    <t>Council Deflator</t>
  </si>
  <si>
    <t>Standard Rewind</t>
  </si>
  <si>
    <t>Green Motors Rewind</t>
  </si>
  <si>
    <t>Incremental Cost</t>
  </si>
  <si>
    <t>Average Motor</t>
  </si>
  <si>
    <t>6-Pole</t>
  </si>
  <si>
    <t>4-Pole</t>
  </si>
  <si>
    <t>2-Pole</t>
  </si>
  <si>
    <t>Incremental Cost Factor</t>
  </si>
  <si>
    <t>Incremental Cost Year 2007 $</t>
  </si>
  <si>
    <t>Inc. Cost/HP</t>
  </si>
  <si>
    <t>Medium Voltage, 1200-3600 RPM, ODP, TEFC, VHS, and Special Motors &gt;500 HP</t>
  </si>
  <si>
    <t>HP</t>
  </si>
  <si>
    <t>National Average Rewind Price (approx 2006 pricing)</t>
  </si>
  <si>
    <t>NW Average Rewind Price (standard 20% discount on 2006 pricing)</t>
  </si>
  <si>
    <t>Average GREEN REWIND Price</t>
  </si>
  <si>
    <t>Estimated Incremental Difference</t>
  </si>
  <si>
    <t>Northwest Discount</t>
  </si>
  <si>
    <t>Green Rewind Adder</t>
  </si>
  <si>
    <t xml:space="preserve">$2 Incentive per HP per motor </t>
  </si>
  <si>
    <t>Incentive X HP</t>
  </si>
  <si>
    <t>Estimated # of rewinds per year</t>
  </si>
  <si>
    <t>Reduced estimate by 30%</t>
  </si>
  <si>
    <t>Annual kWh savings</t>
  </si>
  <si>
    <t>Non-GMPG Eff. Loss</t>
  </si>
  <si>
    <t>Annual</t>
  </si>
  <si>
    <t>kWh Savings</t>
  </si>
  <si>
    <t>&lt;-- Convert 2007 dollars to 2012 dollars</t>
  </si>
  <si>
    <t>Incremental Cost Year 2012 $</t>
  </si>
  <si>
    <t>Green Motors Program Rewind vs. Standard Practice:  Motor size 15HP, Agricultural</t>
  </si>
  <si>
    <t>Green Motors Program Rewind vs. Standard Practice:  Motor size 20HP, Agricultural</t>
  </si>
  <si>
    <t>Green Motors Program Rewind vs. Standard Practice:  Motor size 25HP, Agricultural</t>
  </si>
  <si>
    <t>Green Motors Program Rewind vs. Standard Practice:  Motor size 30HP, Agricultural</t>
  </si>
  <si>
    <t>Green Motors Program Rewind vs. Standard Practice:  Motor size 40HP, Agricultural</t>
  </si>
  <si>
    <t>Green Motors Program Rewind vs. Standard Practice:  Motor size 50HP, Agricultural</t>
  </si>
  <si>
    <t>Green Motors Program Rewind vs. Standard Practice:  Motor size 60HP, Agricultural</t>
  </si>
  <si>
    <t>Green Motors Program Rewind vs. Standard Practice:  Motor size 75HP, Agricultural</t>
  </si>
  <si>
    <t>Green Motors Program Rewind vs. Standard Practice:  Motor size 100HP, Agricultural</t>
  </si>
  <si>
    <t>Green Motors Program Rewind vs. Standard Practice:  Motor size 125HP, Agricultural</t>
  </si>
  <si>
    <t>Green Motors Program Rewind vs. Standard Practice:  Motor size 150HP, Agricultural</t>
  </si>
  <si>
    <t>Green Motors Program Rewind vs. Standard Practice:  Motor size 200HP, Agricultural</t>
  </si>
  <si>
    <t>Green Motors Program Rewind vs. Standard Practice:  Motor size 250HP, Agricultural</t>
  </si>
  <si>
    <t>Green Motors Program Rewind vs. Standard Practice:  Motor size 300HP, Agricultural</t>
  </si>
  <si>
    <t>Green Motors Program Rewind vs. Standard Practice:  Motor size 350HP, Agricultural</t>
  </si>
  <si>
    <t>Green Motors Program Rewind vs. Standard Practice:  Motor size 400HP, Agricultural</t>
  </si>
  <si>
    <t>Green Motors Program Rewind vs. Standard Practice:  Motor size 450HP, Agricultural</t>
  </si>
  <si>
    <t>Green Motors Program Rewind vs. Standard Practice:  Motor size 500HP, Agricultural</t>
  </si>
  <si>
    <t>Green Motors Program Rewind vs. Standard Practice:  Motor size 600HP, Agricultural</t>
  </si>
  <si>
    <t>Green Motors Program Rewind vs. Standard Practice:  Motor size 700HP, Agricultural</t>
  </si>
  <si>
    <t>Green Motors Program Rewind vs. Standard Practice:  Motor size 800HP, Agricultural</t>
  </si>
  <si>
    <t>Green Motors Program Rewind vs. Standard Practice:  Motor size 900HP, Agricultural</t>
  </si>
  <si>
    <t>Green Motors Program Rewind vs. Standard Practice:  Motor size 1000HP, Agricultural</t>
  </si>
  <si>
    <t>Green Motors Program Rewind vs. Standard Practice:  Motor size 1250HP, Agricultural</t>
  </si>
  <si>
    <t>Green Motors Program Rewind vs. Standard Practice:  Motor size 1500HP, Agricultural</t>
  </si>
  <si>
    <t>Green Motors Program Rewind vs. Standard Practice:  Motor size 1750HP, Agricultural</t>
  </si>
  <si>
    <t>Green Motors Program Rewind vs. Standard Practice:  Motor size 2000HP, Agricultural</t>
  </si>
  <si>
    <t>Green Motors Program Rewind vs. Standard Practice:  Motor size 2250HP, Agricultural</t>
  </si>
  <si>
    <t>Green Motors Program Rewind vs. Standard Practice:  Motor size 2500HP, Agricultural</t>
  </si>
  <si>
    <t>Green Motors Program Rewind vs. Standard Practice:  Motor size 3000HP, Agricultural</t>
  </si>
  <si>
    <t>Green Motors Program Rewind vs. Standard Practice:  Motor size 3500HP, Agricultural</t>
  </si>
  <si>
    <t>Green Motors Program Rewind vs. Standard Practice:  Motor size 4000HP, Agricultural</t>
  </si>
  <si>
    <t>Green Motors Program Rewind vs. Standard Practice:  Motor size 4500HP, Agricultural</t>
  </si>
  <si>
    <t>Green Motors Program Rewind vs. Standard Practice:  Motor size 5000HP, Agricultural</t>
  </si>
  <si>
    <r>
      <rPr>
        <b/>
        <sz val="10"/>
        <rFont val="Arial"/>
        <family val="2"/>
      </rPr>
      <t>Agricultural</t>
    </r>
    <r>
      <rPr>
        <sz val="10"/>
        <rFont val="Arial"/>
        <family val="2"/>
      </rPr>
      <t xml:space="preserve"> Motor Life based on best engineering judgment of design motor life</t>
    </r>
  </si>
  <si>
    <t>Hours</t>
  </si>
  <si>
    <t>Motor Life</t>
  </si>
  <si>
    <t>Lifetime (yrs)</t>
  </si>
  <si>
    <t>Motor Rewind</t>
  </si>
  <si>
    <t>Collapse to single average HP by state and pumping type</t>
  </si>
  <si>
    <t>Idaho Wells</t>
  </si>
  <si>
    <t>Montana Wells</t>
  </si>
  <si>
    <t>Oregon Wells</t>
  </si>
  <si>
    <t>Washington Wells</t>
  </si>
  <si>
    <t>Idaho River</t>
  </si>
  <si>
    <t>Montana River</t>
  </si>
  <si>
    <t>Oregon River</t>
  </si>
  <si>
    <t>Washington River</t>
  </si>
  <si>
    <t>Size</t>
  </si>
  <si>
    <t>Region/Pump type</t>
  </si>
  <si>
    <t>avg HP</t>
  </si>
  <si>
    <t>rounded HP</t>
  </si>
  <si>
    <t>Breakout size, trim name</t>
  </si>
  <si>
    <t>Saturation</t>
  </si>
  <si>
    <t>Wells</t>
  </si>
  <si>
    <t>Idaho Wells Green Motors Program Rewind vs. Standard Practice:  Motor size 150HP</t>
  </si>
  <si>
    <t>Montana Wells Green Motors Program Rewind vs. Standard Practice:  Motor size 50HP</t>
  </si>
  <si>
    <t>Oregon Wells Green Motors Program Rewind vs. Standard Practice:  Motor size 60HP</t>
  </si>
  <si>
    <t>Washington Wells Green Motors Program Rewind vs. Standard Practice:  Motor size 100HP</t>
  </si>
  <si>
    <t>Idaho River Green Motors Program Rewind vs. Standard Practice:  Motor size 60HP</t>
  </si>
  <si>
    <t>Montana River Green Motors Program Rewind vs. Standard Practice:  Motor size 40HP</t>
  </si>
  <si>
    <t>Oregon River Green Motors Program Rewind vs. Standard Practice:  Motor size 50HP</t>
  </si>
  <si>
    <t>Washington River Green Motors Program Rewind vs. Standard Practice:  Motor size 75HP</t>
  </si>
  <si>
    <t>River</t>
  </si>
  <si>
    <t># pumps</t>
  </si>
  <si>
    <t>REG_TOTAL_STOCK_# PUMPS</t>
  </si>
  <si>
    <t>Methods &amp; Sources</t>
  </si>
  <si>
    <t>Note</t>
  </si>
  <si>
    <t>7P Updates</t>
  </si>
  <si>
    <t>Irrigation Motors</t>
  </si>
  <si>
    <t>Motors are not explicitly broken out in 6 going on 7</t>
  </si>
  <si>
    <t>Ramp Rate</t>
  </si>
  <si>
    <t>Resource Type</t>
  </si>
  <si>
    <t>Measure Category</t>
  </si>
  <si>
    <t>Sector</t>
  </si>
  <si>
    <t>End Use</t>
  </si>
  <si>
    <t>kW per unit</t>
  </si>
  <si>
    <t>kWh per unit</t>
  </si>
  <si>
    <t>TRC Net Levelized Cost (Net of All Benefits)</t>
  </si>
  <si>
    <t>segment</t>
  </si>
  <si>
    <t>Agriculture</t>
  </si>
  <si>
    <t>Irr Motor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</si>
  <si>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</si>
  <si>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</si>
  <si>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</si>
  <si>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</si>
  <si>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</si>
  <si>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</si>
  <si>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</si>
  <si>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</si>
  <si>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</si>
  <si>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</si>
  <si>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</si>
  <si>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</si>
  <si>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</si>
  <si>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\\nas2\Q\SeventhPlan\Conservation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</si>
  <si>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</si>
  <si>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</si>
  <si>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</si>
  <si>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</si>
  <si>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</si>
  <si>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</si>
  <si>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</si>
  <si>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</si>
  <si>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</si>
  <si>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</si>
  <si>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</si>
  <si>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</si>
  <si>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</si>
  <si>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</si>
  <si>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</si>
  <si>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</si>
  <si>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</si>
  <si>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</si>
  <si>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</si>
  <si>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</si>
  <si>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</si>
  <si>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</si>
  <si>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</si>
  <si>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</si>
  <si>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</si>
  <si>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</si>
  <si>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</si>
  <si>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</si>
  <si>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</si>
  <si>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</si>
  <si>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</si>
  <si>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</si>
  <si>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</si>
  <si>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</si>
  <si>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</si>
  <si>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</si>
  <si>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</si>
  <si>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</si>
  <si>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</si>
  <si>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</si>
  <si>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</si>
  <si>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</si>
  <si>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</si>
  <si>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</si>
  <si>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</si>
  <si>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</si>
  <si>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</si>
  <si>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</si>
  <si>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</si>
  <si>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</si>
  <si>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</si>
  <si>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</si>
  <si>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</si>
  <si>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</si>
  <si>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</si>
  <si>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</si>
  <si>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</si>
  <si>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</si>
  <si>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</si>
  <si>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</si>
  <si>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</si>
  <si>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</si>
  <si>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</si>
  <si>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</si>
  <si>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</si>
  <si>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</si>
  <si>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</si>
  <si>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</si>
  <si>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</si>
  <si>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</si>
  <si>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</si>
  <si>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</si>
  <si>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</si>
  <si>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</si>
  <si>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</si>
  <si>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</si>
  <si>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</si>
  <si>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</si>
  <si>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</si>
  <si>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</si>
  <si>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</si>
  <si>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</si>
  <si>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</si>
  <si>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</si>
  <si>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</si>
  <si>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</si>
  <si>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</si>
  <si>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</si>
  <si>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</si>
  <si>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</si>
  <si>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</si>
  <si>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</si>
  <si>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</si>
  <si>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</si>
  <si>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</si>
  <si>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</si>
  <si>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</si>
  <si>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</si>
  <si>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</si>
  <si>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</si>
  <si>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</si>
  <si>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</si>
  <si>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</si>
  <si>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</si>
  <si>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</si>
  <si>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</si>
  <si>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</si>
  <si>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</si>
  <si>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</si>
  <si>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</si>
  <si>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</si>
  <si>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</si>
  <si>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</si>
  <si>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</si>
  <si>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</si>
  <si>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</si>
  <si>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</si>
  <si>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</si>
  <si>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</si>
  <si>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</si>
  <si>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</si>
  <si>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</si>
  <si>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</si>
  <si>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</si>
  <si>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</si>
  <si>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</si>
  <si>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</si>
  <si>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</si>
  <si>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</si>
  <si>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</si>
  <si>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</si>
  <si>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</si>
  <si>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</si>
  <si>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</si>
  <si>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</si>
  <si>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</si>
  <si>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</si>
  <si>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</si>
  <si>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</si>
  <si>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</si>
  <si>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</si>
  <si>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</si>
  <si>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</si>
  <si>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</si>
  <si>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</si>
  <si>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</si>
  <si>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</si>
  <si>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</si>
  <si>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</si>
  <si>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</si>
  <si>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</si>
  <si>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</si>
  <si>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</si>
  <si>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</si>
  <si>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</si>
  <si>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</si>
  <si>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</si>
  <si>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Green Motors Program Rewind vs. Standard Practice:  Motor size 150HP</t>
  </si>
  <si>
    <t>(na)</t>
  </si>
  <si>
    <t>Green Motors Program Rewind vs. Standard Practice:  Motor size 50HP</t>
  </si>
  <si>
    <t>Green Motors Program Rewind vs. Standard Practice:  Motor size 60HP</t>
  </si>
  <si>
    <t>Green Motors Program Rewind vs. Standard Practice:  Motor size 100HP</t>
  </si>
  <si>
    <t>Green Motors Program Rewind vs. Standard Practice:  Motor size 40HP</t>
  </si>
  <si>
    <t>Green Motors Program Rewind vs. Standard Practice:  Motor size 75HP</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</si>
  <si>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</si>
  <si>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</si>
  <si>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</si>
  <si>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</si>
  <si>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</si>
  <si>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</si>
  <si>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</si>
  <si>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</si>
  <si>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</si>
  <si>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</si>
  <si>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</si>
  <si>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Green Motor Rewind (or equivalent) program to keep motors working well</t>
  </si>
  <si>
    <t>New for Ag (not in 6P)</t>
  </si>
  <si>
    <t>RTF</t>
  </si>
  <si>
    <t>Pump motors</t>
  </si>
  <si>
    <t>Unknown, assume 30%</t>
  </si>
  <si>
    <t>NA</t>
  </si>
  <si>
    <t>By state, whether well or river source for water pumping</t>
  </si>
  <si>
    <t>Retro 12Med</t>
  </si>
  <si>
    <t>Current activity in GMP</t>
  </si>
  <si>
    <t>Friday, 23 January , 2015 at 4:35 PM</t>
  </si>
  <si>
    <t>End Use:</t>
  </si>
</sst>
</file>

<file path=xl/styles.xml><?xml version="1.0" encoding="utf-8"?>
<styleSheet xmlns="http://schemas.openxmlformats.org/spreadsheetml/2006/main">
  <numFmts count="18">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_);_(* \(#,##0.0\);_(* &quot;-&quot;?_);_(@_)"/>
    <numFmt numFmtId="169" formatCode="0.0%"/>
    <numFmt numFmtId="170" formatCode="#,##0.0"/>
    <numFmt numFmtId="171" formatCode="mmm\-yyyy"/>
    <numFmt numFmtId="172" formatCode="_(* #,##0_);_(* \(#,##0\);_(* &quot;-&quot;??_);_(@_)"/>
    <numFmt numFmtId="173" formatCode="_(&quot;$&quot;* #,##0_);_(&quot;$&quot;* \(#,##0\);_(&quot;$&quot;* &quot;-&quot;??_);_(@_)"/>
    <numFmt numFmtId="174" formatCode="&quot;$&quot;#,##0"/>
    <numFmt numFmtId="175" formatCode="0.0;[Red]\-0.0"/>
    <numFmt numFmtId="176" formatCode="\ "/>
  </numFmts>
  <fonts count="69">
    <font>
      <sz val="10"/>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sz val="10"/>
      <name val="Arial"/>
      <family val="2"/>
    </font>
    <font>
      <sz val="10"/>
      <name val="MS Sans Serif"/>
      <family val="2"/>
    </font>
    <font>
      <sz val="11"/>
      <color indexed="8"/>
      <name val="Calibri"/>
      <family val="2"/>
    </font>
    <font>
      <b/>
      <i/>
      <sz val="11"/>
      <name val="Arial"/>
      <family val="2"/>
    </font>
    <font>
      <sz val="11"/>
      <color indexed="8"/>
      <name val="Calibri"/>
      <family val="2"/>
    </font>
    <font>
      <b/>
      <sz val="13"/>
      <color indexed="62"/>
      <name val="Calibri"/>
      <family val="2"/>
    </font>
    <font>
      <u/>
      <sz val="10"/>
      <color indexed="12"/>
      <name val="Arial"/>
      <family val="2"/>
    </font>
    <font>
      <u/>
      <sz val="7"/>
      <color indexed="12"/>
      <name val="Arial"/>
      <family val="2"/>
    </font>
    <font>
      <b/>
      <sz val="11"/>
      <color indexed="8"/>
      <name val="Calibri"/>
      <family val="2"/>
    </font>
    <font>
      <sz val="11"/>
      <color indexed="10"/>
      <name val="Calibri"/>
      <family val="2"/>
    </font>
    <font>
      <u/>
      <sz val="10"/>
      <color theme="10"/>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9"/>
      <color indexed="81"/>
      <name val="Tahoma"/>
      <family val="2"/>
    </font>
    <font>
      <b/>
      <sz val="9"/>
      <color indexed="81"/>
      <name val="Tahoma"/>
      <family val="2"/>
    </font>
    <font>
      <sz val="10"/>
      <color indexed="10"/>
      <name val="Arial"/>
      <family val="2"/>
    </font>
    <font>
      <b/>
      <sz val="10"/>
      <color indexed="81"/>
      <name val="Tahoma"/>
      <family val="2"/>
    </font>
    <font>
      <sz val="10"/>
      <color indexed="81"/>
      <name val="Tahoma"/>
      <family val="2"/>
    </font>
    <font>
      <u/>
      <sz val="10"/>
      <name val="Arial"/>
      <family val="2"/>
    </font>
    <font>
      <b/>
      <sz val="11"/>
      <color indexed="8"/>
      <name val="Arial"/>
      <family val="2"/>
    </font>
    <font>
      <sz val="9"/>
      <color indexed="8"/>
      <name val="Arial"/>
      <family val="2"/>
    </font>
    <font>
      <sz val="9"/>
      <color theme="1"/>
      <name val="Arial"/>
      <family val="2"/>
    </font>
  </fonts>
  <fills count="79">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26"/>
      </patternFill>
    </fill>
    <fill>
      <patternFill patternType="solid">
        <fgColor indexed="1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41"/>
        <bgColor indexed="64"/>
      </patternFill>
    </fill>
    <fill>
      <patternFill patternType="solid">
        <fgColor indexed="9"/>
        <bgColor indexed="64"/>
      </patternFill>
    </fill>
    <fill>
      <patternFill patternType="solid">
        <fgColor indexed="1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60"/>
        <bgColor indexed="64"/>
      </patternFill>
    </fill>
    <fill>
      <patternFill patternType="solid">
        <fgColor indexed="31"/>
        <bgColor indexed="64"/>
      </patternFill>
    </fill>
  </fills>
  <borders count="5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36">
    <xf numFmtId="0" fontId="0" fillId="0" borderId="0">
      <alignment readingOrder="1"/>
    </xf>
    <xf numFmtId="44" fontId="5" fillId="0" borderId="0" applyFont="0" applyFill="0" applyBorder="0" applyAlignment="0" applyProtection="0"/>
    <xf numFmtId="0" fontId="3" fillId="0" borderId="0"/>
    <xf numFmtId="0" fontId="5" fillId="0" borderId="0"/>
    <xf numFmtId="0" fontId="5" fillId="9" borderId="0" applyNumberFormat="0" applyAlignment="0">
      <alignment horizontal="right"/>
    </xf>
    <xf numFmtId="0" fontId="5" fillId="8" borderId="0" applyNumberFormat="0" applyAlignment="0"/>
    <xf numFmtId="167" fontId="15" fillId="0" borderId="0"/>
    <xf numFmtId="0" fontId="16" fillId="0" borderId="0">
      <alignment horizontal="center" wrapText="1"/>
    </xf>
    <xf numFmtId="9" fontId="5" fillId="0" borderId="0" applyFon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5" fillId="0" borderId="0">
      <alignment readingOrder="1"/>
    </xf>
    <xf numFmtId="0" fontId="19" fillId="0" borderId="0"/>
    <xf numFmtId="0" fontId="20"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0" fontId="5" fillId="8" borderId="0" applyNumberFormat="0" applyAlignment="0"/>
    <xf numFmtId="0" fontId="24" fillId="0" borderId="18" applyNumberFormat="0" applyFill="0" applyAlignment="0" applyProtection="0"/>
    <xf numFmtId="0" fontId="24" fillId="0" borderId="18" applyNumberFormat="0" applyFill="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23" fillId="0" borderId="0"/>
    <xf numFmtId="0" fontId="5" fillId="0" borderId="0">
      <alignment readingOrder="1"/>
    </xf>
    <xf numFmtId="0" fontId="5" fillId="0" borderId="0"/>
    <xf numFmtId="0" fontId="23" fillId="16" borderId="14" applyNumberFormat="0" applyFont="0" applyAlignment="0" applyProtection="0"/>
    <xf numFmtId="0" fontId="23" fillId="16" borderId="1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alignment readingOrder="1"/>
    </xf>
    <xf numFmtId="0" fontId="3" fillId="0" borderId="0"/>
    <xf numFmtId="0" fontId="21" fillId="18" borderId="0" applyNumberFormat="0" applyBorder="0" applyAlignment="0" applyProtection="0"/>
    <xf numFmtId="0" fontId="21" fillId="19" borderId="0" applyNumberFormat="0" applyBorder="0" applyAlignment="0" applyProtection="0"/>
    <xf numFmtId="0" fontId="33" fillId="20" borderId="0" applyNumberFormat="0" applyBorder="0" applyAlignment="0" applyProtection="0"/>
    <xf numFmtId="0" fontId="21" fillId="21" borderId="0" applyNumberFormat="0" applyBorder="0" applyAlignment="0" applyProtection="0"/>
    <xf numFmtId="0" fontId="33" fillId="22" borderId="0" applyNumberFormat="0" applyBorder="0" applyAlignment="0" applyProtection="0"/>
    <xf numFmtId="0" fontId="21" fillId="23" borderId="0" applyNumberFormat="0" applyBorder="0" applyAlignment="0" applyProtection="0"/>
    <xf numFmtId="0" fontId="21" fillId="21" borderId="0" applyNumberFormat="0" applyBorder="0" applyAlignment="0" applyProtection="0"/>
    <xf numFmtId="0" fontId="33" fillId="16" borderId="0" applyNumberFormat="0" applyBorder="0" applyAlignment="0" applyProtection="0"/>
    <xf numFmtId="0" fontId="21" fillId="24" borderId="0" applyNumberFormat="0" applyBorder="0" applyAlignment="0" applyProtection="0"/>
    <xf numFmtId="0" fontId="21" fillId="19" borderId="0" applyNumberFormat="0" applyBorder="0" applyAlignment="0" applyProtection="0"/>
    <xf numFmtId="0" fontId="33" fillId="20" borderId="0" applyNumberFormat="0" applyBorder="0" applyAlignment="0" applyProtection="0"/>
    <xf numFmtId="0" fontId="21" fillId="25" borderId="0" applyNumberFormat="0" applyBorder="0" applyAlignment="0" applyProtection="0"/>
    <xf numFmtId="0" fontId="33" fillId="25" borderId="0" applyNumberFormat="0" applyBorder="0" applyAlignment="0" applyProtection="0"/>
    <xf numFmtId="0" fontId="21" fillId="22" borderId="0" applyNumberFormat="0" applyBorder="0" applyAlignment="0" applyProtection="0"/>
    <xf numFmtId="0" fontId="33" fillId="22"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33" fillId="27" borderId="0" applyNumberFormat="0" applyBorder="0" applyAlignment="0" applyProtection="0"/>
    <xf numFmtId="0" fontId="21" fillId="28" borderId="0" applyNumberFormat="0" applyBorder="0" applyAlignment="0" applyProtection="0"/>
    <xf numFmtId="0" fontId="21" fillId="21" borderId="0" applyNumberFormat="0" applyBorder="0" applyAlignment="0" applyProtection="0"/>
    <xf numFmtId="0" fontId="33" fillId="28" borderId="0" applyNumberFormat="0" applyBorder="0" applyAlignment="0" applyProtection="0"/>
    <xf numFmtId="0" fontId="21" fillId="29" borderId="0" applyNumberFormat="0" applyBorder="0" applyAlignment="0" applyProtection="0"/>
    <xf numFmtId="0" fontId="21" fillId="21" borderId="0" applyNumberFormat="0" applyBorder="0" applyAlignment="0" applyProtection="0"/>
    <xf numFmtId="0" fontId="33" fillId="30" borderId="0" applyNumberFormat="0" applyBorder="0" applyAlignment="0" applyProtection="0"/>
    <xf numFmtId="0" fontId="21" fillId="24" borderId="0" applyNumberFormat="0" applyBorder="0" applyAlignment="0" applyProtection="0"/>
    <xf numFmtId="0" fontId="21" fillId="27" borderId="0" applyNumberFormat="0" applyBorder="0" applyAlignment="0" applyProtection="0"/>
    <xf numFmtId="0" fontId="33" fillId="27" borderId="0" applyNumberFormat="0" applyBorder="0" applyAlignment="0" applyProtection="0"/>
    <xf numFmtId="0" fontId="21" fillId="26" borderId="0" applyNumberFormat="0" applyBorder="0" applyAlignment="0" applyProtection="0"/>
    <xf numFmtId="0" fontId="33" fillId="26" borderId="0" applyNumberFormat="0" applyBorder="0" applyAlignment="0" applyProtection="0"/>
    <xf numFmtId="0" fontId="21" fillId="31" borderId="0" applyNumberFormat="0" applyBorder="0" applyAlignment="0" applyProtection="0"/>
    <xf numFmtId="0" fontId="21" fillId="22" borderId="0" applyNumberFormat="0" applyBorder="0" applyAlignment="0" applyProtection="0"/>
    <xf numFmtId="0" fontId="33" fillId="22"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28" borderId="0" applyNumberFormat="0" applyBorder="0" applyAlignment="0" applyProtection="0"/>
    <xf numFmtId="0" fontId="34" fillId="21"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21"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5"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2" fillId="38" borderId="0" applyNumberFormat="0" applyBorder="0" applyAlignment="0" applyProtection="0"/>
    <xf numFmtId="0" fontId="34" fillId="39"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2" fillId="41"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2" fillId="44" borderId="0" applyNumberFormat="0" applyBorder="0" applyAlignment="0" applyProtection="0"/>
    <xf numFmtId="0" fontId="34" fillId="45" borderId="0" applyNumberFormat="0" applyBorder="0" applyAlignment="0" applyProtection="0"/>
    <xf numFmtId="0" fontId="34" fillId="21" borderId="0" applyNumberFormat="0" applyBorder="0" applyAlignment="0" applyProtection="0"/>
    <xf numFmtId="0" fontId="34" fillId="45"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34" fillId="34"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10" fillId="49" borderId="0" applyNumberFormat="0" applyBorder="0" applyAlignment="0" applyProtection="0"/>
    <xf numFmtId="0" fontId="10" fillId="37" borderId="0" applyNumberFormat="0" applyBorder="0" applyAlignment="0" applyProtection="0"/>
    <xf numFmtId="0" fontId="12" fillId="50"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5" fillId="21" borderId="0" applyNumberFormat="0" applyBorder="0" applyAlignment="0" applyProtection="0"/>
    <xf numFmtId="0" fontId="35" fillId="24" borderId="0" applyNumberFormat="0" applyBorder="0" applyAlignment="0" applyProtection="0"/>
    <xf numFmtId="0" fontId="35" fillId="21" borderId="0" applyNumberFormat="0" applyBorder="0" applyAlignment="0" applyProtection="0"/>
    <xf numFmtId="0" fontId="36" fillId="27" borderId="21" applyNumberFormat="0" applyAlignment="0" applyProtection="0"/>
    <xf numFmtId="0" fontId="36" fillId="19" borderId="21" applyNumberFormat="0" applyAlignment="0" applyProtection="0"/>
    <xf numFmtId="0" fontId="36" fillId="19" borderId="21" applyNumberFormat="0" applyAlignment="0" applyProtection="0"/>
    <xf numFmtId="0" fontId="37" fillId="55" borderId="22" applyNumberFormat="0" applyAlignment="0" applyProtection="0"/>
    <xf numFmtId="0" fontId="37" fillId="55" borderId="22" applyNumberFormat="0" applyAlignment="0" applyProtection="0"/>
    <xf numFmtId="41" fontId="3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39" fillId="56" borderId="0" applyNumberFormat="0" applyBorder="0" applyAlignment="0" applyProtection="0"/>
    <xf numFmtId="0" fontId="39" fillId="57" borderId="0" applyNumberFormat="0" applyBorder="0" applyAlignment="0" applyProtection="0"/>
    <xf numFmtId="0" fontId="39" fillId="58" borderId="0" applyNumberFormat="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5" fillId="0" borderId="26" applyNumberFormat="0" applyFill="0" applyAlignment="0" applyProtection="0"/>
    <xf numFmtId="0" fontId="45" fillId="0" borderId="26"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22" borderId="21" applyNumberFormat="0" applyAlignment="0" applyProtection="0"/>
    <xf numFmtId="0" fontId="49" fillId="22" borderId="21" applyNumberFormat="0" applyAlignment="0" applyProtection="0"/>
    <xf numFmtId="0" fontId="50" fillId="0" borderId="27" applyNumberFormat="0" applyFill="0" applyAlignment="0" applyProtection="0"/>
    <xf numFmtId="0" fontId="50" fillId="0" borderId="27" applyNumberFormat="0" applyFill="0" applyAlignment="0" applyProtection="0"/>
    <xf numFmtId="0" fontId="51" fillId="30" borderId="0" applyNumberFormat="0" applyBorder="0" applyAlignment="0" applyProtection="0"/>
    <xf numFmtId="0" fontId="51" fillId="30" borderId="0" applyNumberFormat="0" applyBorder="0" applyAlignment="0" applyProtection="0"/>
    <xf numFmtId="0" fontId="21" fillId="0" borderId="0"/>
    <xf numFmtId="0" fontId="5" fillId="0" borderId="0"/>
    <xf numFmtId="0" fontId="21" fillId="0" borderId="0"/>
    <xf numFmtId="0" fontId="21" fillId="0" borderId="0"/>
    <xf numFmtId="0" fontId="5" fillId="0" borderId="0">
      <alignment readingOrder="1"/>
    </xf>
    <xf numFmtId="0" fontId="5" fillId="0" borderId="0"/>
    <xf numFmtId="0" fontId="5" fillId="0" borderId="0">
      <alignment readingOrder="1"/>
    </xf>
    <xf numFmtId="0" fontId="18" fillId="0" borderId="0"/>
    <xf numFmtId="0" fontId="18" fillId="0" borderId="0"/>
    <xf numFmtId="0" fontId="18" fillId="0" borderId="0"/>
    <xf numFmtId="0" fontId="2" fillId="0" borderId="0"/>
    <xf numFmtId="0" fontId="2" fillId="0" borderId="0"/>
    <xf numFmtId="0" fontId="18" fillId="0" borderId="0"/>
    <xf numFmtId="0" fontId="18" fillId="0" borderId="0"/>
    <xf numFmtId="0" fontId="2" fillId="0" borderId="0"/>
    <xf numFmtId="0" fontId="2"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5" fillId="0" borderId="0">
      <alignment readingOrder="1"/>
    </xf>
    <xf numFmtId="0" fontId="18"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alignment readingOrder="1"/>
    </xf>
    <xf numFmtId="0" fontId="5" fillId="0" borderId="0">
      <alignment readingOrder="1"/>
    </xf>
    <xf numFmtId="0" fontId="18" fillId="0" borderId="0"/>
    <xf numFmtId="0" fontId="18" fillId="0" borderId="0"/>
    <xf numFmtId="0" fontId="5" fillId="0" borderId="0">
      <alignment readingOrder="1"/>
    </xf>
    <xf numFmtId="0" fontId="21" fillId="0" borderId="0"/>
    <xf numFmtId="0" fontId="5" fillId="0" borderId="0">
      <alignment readingOrder="1"/>
    </xf>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xf numFmtId="0" fontId="52" fillId="0" borderId="0"/>
    <xf numFmtId="0" fontId="53" fillId="0" borderId="0"/>
    <xf numFmtId="0" fontId="53" fillId="0" borderId="0"/>
    <xf numFmtId="0" fontId="53" fillId="0" borderId="0"/>
    <xf numFmtId="0" fontId="5" fillId="0" borderId="0"/>
    <xf numFmtId="0" fontId="5" fillId="0" borderId="0"/>
    <xf numFmtId="0" fontId="5"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8" fillId="0" borderId="0"/>
    <xf numFmtId="0" fontId="5" fillId="0" borderId="0" applyNumberFormat="0" applyFill="0" applyBorder="0" applyAlignment="0" applyProtection="0"/>
    <xf numFmtId="0" fontId="18" fillId="0" borderId="0"/>
    <xf numFmtId="0" fontId="18" fillId="0" borderId="0"/>
    <xf numFmtId="0" fontId="38" fillId="0" borderId="0"/>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 fillId="0" borderId="0"/>
    <xf numFmtId="0" fontId="18" fillId="0" borderId="0"/>
    <xf numFmtId="0" fontId="18" fillId="0" borderId="0"/>
    <xf numFmtId="0" fontId="5" fillId="0" borderId="0"/>
    <xf numFmtId="0" fontId="21" fillId="0" borderId="0"/>
    <xf numFmtId="0" fontId="21" fillId="0" borderId="0"/>
    <xf numFmtId="0" fontId="18" fillId="0" borderId="0"/>
    <xf numFmtId="0" fontId="20" fillId="0" borderId="0"/>
    <xf numFmtId="0" fontId="21" fillId="0" borderId="0"/>
    <xf numFmtId="0" fontId="21" fillId="0" borderId="0"/>
    <xf numFmtId="0" fontId="21" fillId="0" borderId="0"/>
    <xf numFmtId="0" fontId="21" fillId="0" borderId="0"/>
    <xf numFmtId="0" fontId="5" fillId="0" borderId="0">
      <alignment readingOrder="1"/>
    </xf>
    <xf numFmtId="0" fontId="5" fillId="0" borderId="0">
      <alignment readingOrder="1"/>
    </xf>
    <xf numFmtId="0" fontId="5" fillId="0" borderId="0">
      <alignment readingOrder="1"/>
    </xf>
    <xf numFmtId="0" fontId="5" fillId="16" borderId="14" applyNumberFormat="0" applyFont="0" applyAlignment="0" applyProtection="0"/>
    <xf numFmtId="0" fontId="54" fillId="27" borderId="28" applyNumberFormat="0" applyAlignment="0" applyProtection="0"/>
    <xf numFmtId="0" fontId="54" fillId="19" borderId="28" applyNumberFormat="0" applyAlignment="0" applyProtection="0"/>
    <xf numFmtId="0" fontId="54" fillId="19" borderId="2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5" fillId="0" borderId="0" applyNumberFormat="0" applyFill="0" applyBorder="0" applyAlignment="0" applyProtection="0"/>
    <xf numFmtId="0" fontId="56" fillId="0" borderId="0"/>
    <xf numFmtId="0" fontId="57" fillId="0" borderId="0"/>
    <xf numFmtId="171" fontId="5" fillId="0" borderId="0" applyFill="0" applyBorder="0" applyAlignment="0" applyProtection="0">
      <alignment wrapText="1"/>
    </xf>
    <xf numFmtId="0" fontId="55"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7" fillId="0" borderId="29" applyNumberFormat="0" applyFill="0" applyAlignment="0" applyProtection="0"/>
    <xf numFmtId="0" fontId="27" fillId="0" borderId="30" applyNumberFormat="0" applyFill="0" applyAlignment="0" applyProtection="0"/>
    <xf numFmtId="0" fontId="54" fillId="0" borderId="30"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9" fillId="0" borderId="0">
      <alignment vertical="center"/>
    </xf>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8" borderId="0" applyNumberFormat="0" applyAlignment="0"/>
    <xf numFmtId="0" fontId="5" fillId="8" borderId="0" applyNumberFormat="0" applyAlignment="0"/>
    <xf numFmtId="0" fontId="5" fillId="8" borderId="0" applyNumberFormat="0" applyAlignment="0"/>
    <xf numFmtId="0" fontId="25" fillId="0" borderId="0" applyNumberFormat="0" applyFill="0" applyBorder="0" applyAlignment="0" applyProtection="0">
      <alignment vertical="top"/>
      <protection locked="0"/>
    </xf>
    <xf numFmtId="0" fontId="21"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18" fillId="0" borderId="0"/>
    <xf numFmtId="0" fontId="5" fillId="0" borderId="0"/>
    <xf numFmtId="0" fontId="68" fillId="0" borderId="0"/>
    <xf numFmtId="0" fontId="18" fillId="0" borderId="0"/>
    <xf numFmtId="0" fontId="21" fillId="0" borderId="0"/>
    <xf numFmtId="0" fontId="21" fillId="0" borderId="0"/>
    <xf numFmtId="0" fontId="21" fillId="0" borderId="0"/>
    <xf numFmtId="0" fontId="18" fillId="0" borderId="0"/>
    <xf numFmtId="0" fontId="18" fillId="0" borderId="0"/>
    <xf numFmtId="0" fontId="5" fillId="0" borderId="0"/>
    <xf numFmtId="0" fontId="5" fillId="0" borderId="0"/>
    <xf numFmtId="0" fontId="21"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20" fillId="0" borderId="0"/>
    <xf numFmtId="0" fontId="21" fillId="0" borderId="0"/>
    <xf numFmtId="0" fontId="21" fillId="0" borderId="0"/>
    <xf numFmtId="0" fontId="21" fillId="0" borderId="0"/>
    <xf numFmtId="0" fontId="21" fillId="0" borderId="0"/>
    <xf numFmtId="0" fontId="18" fillId="64" borderId="51" applyNumberFormat="0" applyFont="0" applyAlignment="0" applyProtection="0"/>
    <xf numFmtId="0" fontId="21" fillId="16" borderId="14" applyNumberFormat="0" applyFont="0" applyAlignment="0" applyProtection="0"/>
    <xf numFmtId="0" fontId="18" fillId="64" borderId="51" applyNumberFormat="0" applyFont="0" applyAlignment="0" applyProtection="0"/>
    <xf numFmtId="0" fontId="18" fillId="64" borderId="51" applyNumberFormat="0" applyFont="0" applyAlignment="0" applyProtection="0"/>
    <xf numFmtId="0" fontId="18" fillId="64" borderId="51" applyNumberFormat="0" applyFont="0" applyAlignment="0" applyProtection="0"/>
    <xf numFmtId="0" fontId="18" fillId="64" borderId="51"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cellStyleXfs>
  <cellXfs count="345">
    <xf numFmtId="0" fontId="0" fillId="0" borderId="0" xfId="0"/>
    <xf numFmtId="0" fontId="4" fillId="0" borderId="0" xfId="2" applyFont="1"/>
    <xf numFmtId="0" fontId="6" fillId="0" borderId="0" xfId="3" applyFont="1"/>
    <xf numFmtId="0" fontId="5" fillId="0" borderId="0" xfId="2" applyFont="1"/>
    <xf numFmtId="5" fontId="5" fillId="0" borderId="0" xfId="2" applyNumberFormat="1" applyFont="1"/>
    <xf numFmtId="164" fontId="5" fillId="0" borderId="0" xfId="2" applyNumberFormat="1" applyFont="1"/>
    <xf numFmtId="164" fontId="6" fillId="0" borderId="0" xfId="2" applyNumberFormat="1" applyFont="1"/>
    <xf numFmtId="0" fontId="0" fillId="0" borderId="0" xfId="0">
      <alignment readingOrder="1"/>
    </xf>
    <xf numFmtId="0" fontId="4" fillId="0" borderId="0" xfId="2"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5" fillId="0" borderId="0" xfId="2" applyFont="1" applyAlignment="1">
      <alignment horizontal="center"/>
    </xf>
    <xf numFmtId="0" fontId="7" fillId="2" borderId="1" xfId="2" applyFont="1" applyFill="1" applyBorder="1" applyAlignment="1">
      <alignment horizontal="centerContinuous"/>
    </xf>
    <xf numFmtId="0" fontId="8" fillId="2" borderId="1" xfId="2" applyFont="1" applyFill="1" applyBorder="1" applyAlignment="1">
      <alignment horizontal="centerContinuous"/>
    </xf>
    <xf numFmtId="0" fontId="8" fillId="2" borderId="2" xfId="2" applyFont="1" applyFill="1" applyBorder="1" applyAlignment="1">
      <alignment horizontal="centerContinuous"/>
    </xf>
    <xf numFmtId="0" fontId="9" fillId="2" borderId="3"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5" fillId="0" borderId="0" xfId="2" applyFont="1" applyFill="1" applyBorder="1"/>
    <xf numFmtId="0" fontId="10" fillId="5" borderId="5" xfId="2" applyFont="1" applyFill="1" applyBorder="1" applyAlignment="1">
      <alignment horizontal="center" wrapText="1"/>
    </xf>
    <xf numFmtId="0" fontId="10" fillId="5" borderId="5" xfId="0" applyFont="1" applyFill="1" applyBorder="1" applyAlignment="1">
      <alignment horizontal="center" wrapText="1"/>
    </xf>
    <xf numFmtId="0" fontId="10" fillId="0" borderId="0" xfId="2" applyFont="1" applyFill="1" applyBorder="1" applyAlignment="1">
      <alignment horizontal="center" wrapText="1"/>
    </xf>
    <xf numFmtId="0" fontId="12" fillId="7" borderId="6" xfId="0" applyFont="1" applyFill="1" applyBorder="1" applyAlignment="1">
      <alignment horizontal="left" readingOrder="1"/>
    </xf>
    <xf numFmtId="0" fontId="12" fillId="7" borderId="7" xfId="0" applyFont="1" applyFill="1" applyBorder="1" applyAlignment="1">
      <alignment horizontal="center" wrapText="1" readingOrder="1"/>
    </xf>
    <xf numFmtId="164" fontId="0" fillId="0" borderId="0" xfId="0" applyNumberFormat="1">
      <alignment readingOrder="1"/>
    </xf>
    <xf numFmtId="0" fontId="10" fillId="8" borderId="5" xfId="0" applyFont="1" applyFill="1" applyBorder="1" applyAlignment="1">
      <alignment horizontal="center" wrapText="1" readingOrder="1"/>
    </xf>
    <xf numFmtId="0" fontId="10" fillId="8" borderId="7" xfId="0" applyFont="1" applyFill="1" applyBorder="1" applyAlignment="1">
      <alignment horizontal="center" wrapText="1" readingOrder="1"/>
    </xf>
    <xf numFmtId="164" fontId="10" fillId="8" borderId="7" xfId="0" applyNumberFormat="1" applyFont="1" applyFill="1" applyBorder="1" applyAlignment="1">
      <alignment horizontal="center" wrapText="1" readingOrder="1"/>
    </xf>
    <xf numFmtId="164" fontId="9" fillId="0" borderId="0" xfId="0" applyNumberFormat="1" applyFont="1">
      <alignment readingOrder="1"/>
    </xf>
    <xf numFmtId="164" fontId="10" fillId="9" borderId="8" xfId="0" applyNumberFormat="1" applyFont="1" applyFill="1" applyBorder="1" applyAlignment="1">
      <alignment horizontal="centerContinuous" wrapText="1" readingOrder="1"/>
    </xf>
    <xf numFmtId="1" fontId="0" fillId="0" borderId="0" xfId="0" applyNumberFormat="1">
      <alignment readingOrder="1"/>
    </xf>
    <xf numFmtId="0" fontId="10" fillId="9" borderId="5" xfId="0" applyFont="1" applyFill="1" applyBorder="1" applyAlignment="1">
      <alignment horizontal="center" wrapText="1" readingOrder="1"/>
    </xf>
    <xf numFmtId="0" fontId="10" fillId="9" borderId="7" xfId="0" applyFont="1" applyFill="1" applyBorder="1" applyAlignment="1">
      <alignment horizontal="center" wrapText="1" readingOrder="1"/>
    </xf>
    <xf numFmtId="164" fontId="10" fillId="9" borderId="7" xfId="0" applyNumberFormat="1" applyFont="1" applyFill="1" applyBorder="1" applyAlignment="1">
      <alignment horizontal="center" wrapText="1" readingOrder="1"/>
    </xf>
    <xf numFmtId="164" fontId="10" fillId="9" borderId="9" xfId="0" applyNumberFormat="1" applyFont="1" applyFill="1" applyBorder="1" applyAlignment="1">
      <alignment horizontal="centerContinuous" wrapText="1" readingOrder="1"/>
    </xf>
    <xf numFmtId="164" fontId="10" fillId="9" borderId="10" xfId="0" applyNumberFormat="1" applyFont="1" applyFill="1" applyBorder="1" applyAlignment="1">
      <alignment horizontal="centerContinuous" wrapText="1" readingOrder="1"/>
    </xf>
    <xf numFmtId="0" fontId="11" fillId="0" borderId="0" xfId="0" applyFont="1">
      <alignment readingOrder="1"/>
    </xf>
    <xf numFmtId="49" fontId="0" fillId="0" borderId="0" xfId="0" applyNumberFormat="1">
      <alignment readingOrder="1"/>
    </xf>
    <xf numFmtId="9" fontId="11" fillId="0" borderId="0" xfId="0" applyNumberFormat="1" applyFont="1">
      <alignment readingOrder="1"/>
    </xf>
    <xf numFmtId="1" fontId="11"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68" fontId="0" fillId="0" borderId="0" xfId="0" applyNumberFormat="1">
      <alignment readingOrder="1"/>
    </xf>
    <xf numFmtId="0" fontId="0" fillId="12" borderId="0" xfId="0" applyFill="1">
      <alignment readingOrder="1"/>
    </xf>
    <xf numFmtId="0" fontId="0" fillId="0" borderId="0" xfId="0" applyFill="1">
      <alignment readingOrder="1"/>
    </xf>
    <xf numFmtId="0" fontId="0" fillId="0" borderId="0" xfId="0" quotePrefix="1" applyFill="1">
      <alignment readingOrder="1"/>
    </xf>
    <xf numFmtId="0" fontId="17" fillId="6" borderId="5" xfId="0" applyFont="1" applyFill="1" applyBorder="1"/>
    <xf numFmtId="9" fontId="5" fillId="13" borderId="0" xfId="8" applyFill="1" applyAlignment="1">
      <alignment horizontal="center" readingOrder="1"/>
    </xf>
    <xf numFmtId="0" fontId="17" fillId="14" borderId="1" xfId="0" applyFont="1" applyFill="1" applyBorder="1"/>
    <xf numFmtId="0" fontId="17" fillId="14" borderId="4" xfId="0" applyFont="1" applyFill="1" applyBorder="1"/>
    <xf numFmtId="0" fontId="17" fillId="14" borderId="3" xfId="0" applyFont="1" applyFill="1" applyBorder="1"/>
    <xf numFmtId="0" fontId="17" fillId="14" borderId="11" xfId="0" applyFont="1" applyFill="1" applyBorder="1"/>
    <xf numFmtId="0" fontId="17" fillId="14" borderId="12" xfId="0" applyFont="1" applyFill="1" applyBorder="1"/>
    <xf numFmtId="0" fontId="17" fillId="14" borderId="13" xfId="0" applyFont="1" applyFill="1" applyBorder="1"/>
    <xf numFmtId="0" fontId="17" fillId="14" borderId="5" xfId="0" applyFont="1" applyFill="1" applyBorder="1"/>
    <xf numFmtId="0" fontId="17" fillId="13" borderId="5" xfId="0" applyFont="1" applyFill="1" applyBorder="1"/>
    <xf numFmtId="164" fontId="17" fillId="13" borderId="5" xfId="0" applyNumberFormat="1" applyFont="1" applyFill="1" applyBorder="1"/>
    <xf numFmtId="164" fontId="0" fillId="15" borderId="0" xfId="0" applyNumberFormat="1" applyFill="1" applyAlignment="1">
      <alignment horizontal="center" readingOrder="1"/>
    </xf>
    <xf numFmtId="9" fontId="17" fillId="14" borderId="5" xfId="8" applyFont="1" applyFill="1" applyBorder="1"/>
    <xf numFmtId="1" fontId="0" fillId="13" borderId="0" xfId="0" applyNumberFormat="1" applyFill="1" applyAlignment="1">
      <alignment horizontal="center" readingOrder="1"/>
    </xf>
    <xf numFmtId="0" fontId="22" fillId="0" borderId="0" xfId="15" applyFont="1"/>
    <xf numFmtId="0" fontId="5" fillId="0" borderId="0" xfId="15" applyFont="1"/>
    <xf numFmtId="5" fontId="5" fillId="0" borderId="0" xfId="15" applyNumberFormat="1" applyFont="1" applyAlignment="1">
      <alignment horizontal="right"/>
    </xf>
    <xf numFmtId="164" fontId="5" fillId="0" borderId="0" xfId="15" applyNumberFormat="1" applyFont="1"/>
    <xf numFmtId="0" fontId="5" fillId="0" borderId="0" xfId="15"/>
    <xf numFmtId="0" fontId="11" fillId="0" borderId="0" xfId="15" applyFont="1"/>
    <xf numFmtId="44" fontId="5" fillId="0" borderId="0" xfId="1"/>
    <xf numFmtId="0" fontId="9" fillId="2" borderId="7" xfId="2" applyFont="1" applyFill="1" applyBorder="1" applyAlignment="1">
      <alignment horizontal="centerContinuous"/>
    </xf>
    <xf numFmtId="0" fontId="10" fillId="5" borderId="11" xfId="2" applyFont="1" applyFill="1" applyBorder="1" applyAlignment="1">
      <alignment horizontal="center" wrapText="1"/>
    </xf>
    <xf numFmtId="0" fontId="10" fillId="5" borderId="16" xfId="2" applyFont="1" applyFill="1" applyBorder="1" applyAlignment="1">
      <alignment horizontal="center" wrapText="1"/>
    </xf>
    <xf numFmtId="0" fontId="10" fillId="5" borderId="16" xfId="0" applyFont="1" applyFill="1" applyBorder="1" applyAlignment="1">
      <alignment horizontal="center" wrapText="1"/>
    </xf>
    <xf numFmtId="170" fontId="0" fillId="0" borderId="0" xfId="0" applyNumberFormat="1"/>
    <xf numFmtId="164" fontId="0" fillId="13" borderId="0" xfId="0" applyNumberFormat="1" applyFill="1" applyAlignment="1">
      <alignment horizontal="center" readingOrder="1"/>
    </xf>
    <xf numFmtId="0" fontId="18" fillId="0" borderId="0" xfId="12" applyFont="1"/>
    <xf numFmtId="0" fontId="30" fillId="11" borderId="19" xfId="12" applyFont="1" applyFill="1" applyBorder="1"/>
    <xf numFmtId="0" fontId="30" fillId="11" borderId="20" xfId="12" applyFont="1" applyFill="1" applyBorder="1"/>
    <xf numFmtId="0" fontId="30" fillId="11" borderId="8" xfId="12" applyFont="1" applyFill="1" applyBorder="1"/>
    <xf numFmtId="0" fontId="31" fillId="14" borderId="16" xfId="35" applyFont="1" applyFill="1" applyBorder="1" applyAlignment="1">
      <alignment horizontal="left" vertical="center" wrapText="1"/>
    </xf>
    <xf numFmtId="0" fontId="31" fillId="14" borderId="5" xfId="35" applyFont="1" applyFill="1" applyBorder="1" applyAlignment="1">
      <alignment horizontal="left" vertical="center" wrapText="1"/>
    </xf>
    <xf numFmtId="0" fontId="32" fillId="0" borderId="5" xfId="35" applyNumberFormat="1" applyFont="1" applyFill="1" applyBorder="1" applyAlignment="1">
      <alignment horizontal="left" vertical="center" wrapText="1"/>
    </xf>
    <xf numFmtId="0" fontId="32" fillId="0" borderId="5" xfId="35" applyFont="1" applyFill="1" applyBorder="1" applyAlignment="1">
      <alignment horizontal="left" vertical="center" wrapText="1"/>
    </xf>
    <xf numFmtId="0" fontId="18" fillId="0" borderId="5" xfId="35" applyFont="1" applyFill="1" applyBorder="1" applyAlignment="1">
      <alignment horizontal="left" vertical="center" wrapText="1"/>
    </xf>
    <xf numFmtId="0" fontId="32" fillId="0" borderId="5" xfId="35" applyFont="1" applyBorder="1" applyAlignment="1">
      <alignment horizontal="left" vertical="center" wrapText="1" readingOrder="1"/>
    </xf>
    <xf numFmtId="0" fontId="32" fillId="0" borderId="5" xfId="35" applyFont="1" applyBorder="1" applyAlignment="1">
      <alignment vertical="center" wrapText="1" readingOrder="1"/>
    </xf>
    <xf numFmtId="0" fontId="32" fillId="0" borderId="5" xfId="35" applyFont="1" applyBorder="1" applyAlignment="1">
      <alignment wrapText="1" readingOrder="1"/>
    </xf>
    <xf numFmtId="0" fontId="32" fillId="0" borderId="5" xfId="35" applyNumberFormat="1" applyFont="1" applyBorder="1" applyAlignment="1">
      <alignment vertical="center" wrapText="1" readingOrder="1"/>
    </xf>
    <xf numFmtId="2" fontId="5" fillId="0" borderId="0" xfId="36" applyNumberFormat="1" applyFont="1"/>
    <xf numFmtId="0" fontId="8" fillId="59" borderId="7" xfId="2" applyFont="1" applyFill="1" applyBorder="1" applyAlignment="1">
      <alignment horizontal="center"/>
    </xf>
    <xf numFmtId="0" fontId="10" fillId="10" borderId="7" xfId="2" applyFont="1" applyFill="1" applyBorder="1" applyAlignment="1">
      <alignment horizontal="center" wrapText="1"/>
    </xf>
    <xf numFmtId="0" fontId="10" fillId="10" borderId="5" xfId="2" applyFont="1" applyFill="1" applyBorder="1" applyAlignment="1">
      <alignment horizontal="center" wrapText="1"/>
    </xf>
    <xf numFmtId="164" fontId="62" fillId="0" borderId="0" xfId="0" applyNumberFormat="1" applyFont="1">
      <alignment readingOrder="1"/>
    </xf>
    <xf numFmtId="0" fontId="5" fillId="0" borderId="33" xfId="36" applyFont="1" applyBorder="1"/>
    <xf numFmtId="0" fontId="5" fillId="0" borderId="31" xfId="369" applyFont="1" applyBorder="1"/>
    <xf numFmtId="0" fontId="5" fillId="0" borderId="38" xfId="36" applyFont="1" applyBorder="1"/>
    <xf numFmtId="0" fontId="5" fillId="0" borderId="5" xfId="369" applyFont="1" applyBorder="1"/>
    <xf numFmtId="0" fontId="5" fillId="0" borderId="34" xfId="36" applyFont="1" applyBorder="1"/>
    <xf numFmtId="0" fontId="5" fillId="0" borderId="32" xfId="369" applyFont="1" applyBorder="1"/>
    <xf numFmtId="173" fontId="5" fillId="0" borderId="31" xfId="1" applyNumberFormat="1" applyFont="1" applyBorder="1"/>
    <xf numFmtId="1" fontId="5" fillId="0" borderId="31" xfId="369" applyNumberFormat="1" applyFont="1" applyBorder="1"/>
    <xf numFmtId="1" fontId="5" fillId="0" borderId="5" xfId="369" applyNumberFormat="1" applyFont="1" applyBorder="1"/>
    <xf numFmtId="1" fontId="5" fillId="0" borderId="32" xfId="369" applyNumberFormat="1" applyFont="1" applyBorder="1"/>
    <xf numFmtId="44" fontId="5" fillId="0" borderId="31" xfId="1" applyFont="1" applyBorder="1"/>
    <xf numFmtId="44" fontId="5" fillId="0" borderId="5" xfId="1" applyFont="1" applyBorder="1"/>
    <xf numFmtId="44" fontId="5" fillId="0" borderId="32" xfId="1" applyFont="1" applyBorder="1"/>
    <xf numFmtId="173" fontId="5" fillId="0" borderId="5" xfId="1" applyNumberFormat="1" applyFont="1" applyBorder="1"/>
    <xf numFmtId="173" fontId="5" fillId="0" borderId="32" xfId="1" applyNumberFormat="1" applyFont="1" applyBorder="1"/>
    <xf numFmtId="1" fontId="0" fillId="0" borderId="0" xfId="0" applyNumberFormat="1"/>
    <xf numFmtId="0" fontId="5" fillId="0" borderId="16" xfId="369" applyFont="1" applyBorder="1"/>
    <xf numFmtId="1" fontId="0" fillId="0" borderId="44" xfId="0" applyNumberFormat="1" applyBorder="1"/>
    <xf numFmtId="0" fontId="5" fillId="0" borderId="31" xfId="369" applyFont="1" applyFill="1" applyBorder="1"/>
    <xf numFmtId="44" fontId="0" fillId="0" borderId="44" xfId="0" applyNumberFormat="1" applyBorder="1"/>
    <xf numFmtId="0" fontId="0" fillId="0" borderId="44" xfId="0" applyBorder="1"/>
    <xf numFmtId="0" fontId="5" fillId="0" borderId="0" xfId="370"/>
    <xf numFmtId="0" fontId="11" fillId="0" borderId="0" xfId="370" applyFont="1"/>
    <xf numFmtId="0" fontId="5" fillId="17" borderId="37" xfId="371" applyFont="1" applyFill="1" applyBorder="1" applyAlignment="1">
      <alignment horizontal="center" wrapText="1"/>
    </xf>
    <xf numFmtId="0" fontId="5" fillId="17" borderId="37" xfId="371" applyFill="1" applyBorder="1" applyAlignment="1">
      <alignment horizontal="center" wrapText="1"/>
    </xf>
    <xf numFmtId="0" fontId="5" fillId="0" borderId="0" xfId="370" applyFont="1"/>
    <xf numFmtId="0" fontId="5" fillId="61" borderId="45" xfId="371" applyFont="1" applyFill="1" applyBorder="1" applyAlignment="1">
      <alignment horizontal="center"/>
    </xf>
    <xf numFmtId="9" fontId="5" fillId="61" borderId="45" xfId="371" applyNumberFormat="1" applyFill="1" applyBorder="1" applyAlignment="1">
      <alignment horizontal="center"/>
    </xf>
    <xf numFmtId="0" fontId="5" fillId="61" borderId="46" xfId="371" applyFont="1" applyFill="1" applyBorder="1" applyAlignment="1">
      <alignment horizontal="center"/>
    </xf>
    <xf numFmtId="10" fontId="5" fillId="61" borderId="46" xfId="371" applyNumberFormat="1" applyFill="1" applyBorder="1" applyAlignment="1">
      <alignment horizontal="center"/>
    </xf>
    <xf numFmtId="0" fontId="5" fillId="61" borderId="47" xfId="371" applyFont="1" applyFill="1" applyBorder="1" applyAlignment="1">
      <alignment horizontal="center"/>
    </xf>
    <xf numFmtId="10" fontId="5" fillId="61" borderId="47" xfId="371" applyNumberFormat="1" applyFill="1" applyBorder="1" applyAlignment="1">
      <alignment horizontal="center"/>
    </xf>
    <xf numFmtId="0" fontId="5" fillId="0" borderId="0" xfId="370" applyAlignment="1">
      <alignment wrapText="1"/>
    </xf>
    <xf numFmtId="0" fontId="5" fillId="0" borderId="0" xfId="370" applyFont="1" applyAlignment="1">
      <alignment horizontal="center" wrapText="1"/>
    </xf>
    <xf numFmtId="0" fontId="5" fillId="0" borderId="5" xfId="371" applyBorder="1"/>
    <xf numFmtId="0" fontId="5" fillId="17" borderId="7" xfId="370" applyFont="1" applyFill="1" applyBorder="1" applyAlignment="1">
      <alignment wrapText="1"/>
    </xf>
    <xf numFmtId="0" fontId="5" fillId="17" borderId="5" xfId="370" applyFont="1" applyFill="1" applyBorder="1" applyAlignment="1">
      <alignment wrapText="1"/>
    </xf>
    <xf numFmtId="9" fontId="5" fillId="0" borderId="6" xfId="340" applyBorder="1"/>
    <xf numFmtId="3" fontId="5" fillId="0" borderId="5" xfId="371" applyNumberFormat="1" applyBorder="1"/>
    <xf numFmtId="169" fontId="5" fillId="0" borderId="0" xfId="340" applyNumberFormat="1" applyBorder="1"/>
    <xf numFmtId="169" fontId="5" fillId="0" borderId="35" xfId="340" applyNumberFormat="1" applyFill="1" applyBorder="1"/>
    <xf numFmtId="169" fontId="5" fillId="0" borderId="4" xfId="340" applyNumberFormat="1" applyFill="1" applyBorder="1"/>
    <xf numFmtId="169" fontId="5" fillId="0" borderId="39" xfId="340" applyNumberFormat="1" applyFill="1" applyBorder="1"/>
    <xf numFmtId="169" fontId="5" fillId="0" borderId="35" xfId="340" applyNumberFormat="1" applyBorder="1"/>
    <xf numFmtId="169" fontId="5" fillId="0" borderId="39" xfId="340" applyNumberFormat="1" applyBorder="1"/>
    <xf numFmtId="1" fontId="5" fillId="0" borderId="35" xfId="370" applyNumberFormat="1" applyBorder="1"/>
    <xf numFmtId="1" fontId="5" fillId="0" borderId="0" xfId="370" applyNumberFormat="1" applyBorder="1"/>
    <xf numFmtId="1" fontId="5" fillId="0" borderId="39" xfId="370" applyNumberFormat="1" applyBorder="1"/>
    <xf numFmtId="172" fontId="5" fillId="0" borderId="0" xfId="131" applyNumberFormat="1"/>
    <xf numFmtId="164" fontId="5" fillId="0" borderId="0" xfId="370" applyNumberFormat="1"/>
    <xf numFmtId="169" fontId="5" fillId="0" borderId="0" xfId="340" applyNumberFormat="1" applyFill="1" applyBorder="1"/>
    <xf numFmtId="9" fontId="5" fillId="0" borderId="6" xfId="371" applyNumberFormat="1" applyBorder="1"/>
    <xf numFmtId="3" fontId="5" fillId="62" borderId="5" xfId="371" applyNumberFormat="1" applyFill="1" applyBorder="1"/>
    <xf numFmtId="9" fontId="5" fillId="62" borderId="6" xfId="371" applyNumberFormat="1" applyFill="1" applyBorder="1"/>
    <xf numFmtId="169" fontId="5" fillId="0" borderId="0" xfId="370" applyNumberFormat="1"/>
    <xf numFmtId="0" fontId="11" fillId="0" borderId="0" xfId="253" applyFont="1">
      <alignment readingOrder="1"/>
    </xf>
    <xf numFmtId="0" fontId="5" fillId="0" borderId="0" xfId="253">
      <alignment readingOrder="1"/>
    </xf>
    <xf numFmtId="0" fontId="5" fillId="0" borderId="0" xfId="253" applyFont="1">
      <alignment readingOrder="1"/>
    </xf>
    <xf numFmtId="0" fontId="5" fillId="0" borderId="0" xfId="253" applyFont="1" applyFill="1">
      <alignment readingOrder="1"/>
    </xf>
    <xf numFmtId="0" fontId="5" fillId="0" borderId="0" xfId="371"/>
    <xf numFmtId="0" fontId="5" fillId="0" borderId="0" xfId="371" applyFont="1" applyAlignment="1">
      <alignment wrapText="1"/>
    </xf>
    <xf numFmtId="0" fontId="5" fillId="0" borderId="6" xfId="371" applyBorder="1"/>
    <xf numFmtId="0" fontId="5" fillId="0" borderId="15" xfId="371" applyBorder="1"/>
    <xf numFmtId="0" fontId="5" fillId="0" borderId="7" xfId="371" applyBorder="1"/>
    <xf numFmtId="0" fontId="5" fillId="0" borderId="11" xfId="371" applyBorder="1"/>
    <xf numFmtId="0" fontId="5" fillId="0" borderId="12" xfId="371" applyBorder="1"/>
    <xf numFmtId="0" fontId="5" fillId="0" borderId="13" xfId="371" applyBorder="1"/>
    <xf numFmtId="0" fontId="5" fillId="0" borderId="35" xfId="371" applyBorder="1"/>
    <xf numFmtId="0" fontId="5" fillId="0" borderId="0" xfId="371" applyBorder="1"/>
    <xf numFmtId="0" fontId="5" fillId="17" borderId="50" xfId="371" applyFont="1" applyFill="1" applyBorder="1" applyAlignment="1">
      <alignment horizontal="center" wrapText="1"/>
    </xf>
    <xf numFmtId="0" fontId="5" fillId="17" borderId="8" xfId="371" applyFont="1" applyFill="1" applyBorder="1" applyAlignment="1">
      <alignment horizontal="center" wrapText="1"/>
    </xf>
    <xf numFmtId="6" fontId="5" fillId="0" borderId="35" xfId="371" applyNumberFormat="1" applyBorder="1"/>
    <xf numFmtId="6" fontId="5" fillId="0" borderId="0" xfId="371" applyNumberFormat="1" applyBorder="1"/>
    <xf numFmtId="6" fontId="5" fillId="0" borderId="39" xfId="371" applyNumberFormat="1" applyBorder="1"/>
    <xf numFmtId="6" fontId="5" fillId="0" borderId="1" xfId="371" applyNumberFormat="1" applyBorder="1"/>
    <xf numFmtId="6" fontId="5" fillId="0" borderId="4" xfId="371" applyNumberFormat="1" applyBorder="1"/>
    <xf numFmtId="6" fontId="5" fillId="0" borderId="40" xfId="371" applyNumberFormat="1" applyBorder="1" applyAlignment="1">
      <alignment horizontal="center"/>
    </xf>
    <xf numFmtId="9" fontId="5" fillId="0" borderId="0" xfId="371" applyNumberFormat="1" applyBorder="1" applyAlignment="1">
      <alignment horizontal="center"/>
    </xf>
    <xf numFmtId="174" fontId="5" fillId="0" borderId="41" xfId="371" applyNumberFormat="1" applyBorder="1" applyAlignment="1">
      <alignment horizontal="right"/>
    </xf>
    <xf numFmtId="174" fontId="5" fillId="0" borderId="0" xfId="253" applyNumberFormat="1">
      <alignment readingOrder="1"/>
    </xf>
    <xf numFmtId="6" fontId="5" fillId="0" borderId="11" xfId="371" applyNumberFormat="1" applyBorder="1"/>
    <xf numFmtId="6" fontId="5" fillId="0" borderId="12" xfId="371" applyNumberFormat="1" applyBorder="1"/>
    <xf numFmtId="6" fontId="5" fillId="0" borderId="13" xfId="371" applyNumberFormat="1" applyBorder="1"/>
    <xf numFmtId="6" fontId="5" fillId="0" borderId="17" xfId="371" applyNumberFormat="1" applyBorder="1" applyAlignment="1">
      <alignment horizontal="center"/>
    </xf>
    <xf numFmtId="9" fontId="5" fillId="0" borderId="43" xfId="371" applyNumberFormat="1" applyBorder="1" applyAlignment="1">
      <alignment horizontal="center"/>
    </xf>
    <xf numFmtId="174" fontId="5" fillId="0" borderId="42" xfId="371" applyNumberFormat="1" applyBorder="1" applyAlignment="1">
      <alignment horizontal="right"/>
    </xf>
    <xf numFmtId="174" fontId="5" fillId="0" borderId="0" xfId="1" applyNumberFormat="1" applyFont="1">
      <alignment readingOrder="1"/>
    </xf>
    <xf numFmtId="0" fontId="5" fillId="0" borderId="1" xfId="372" applyFont="1" applyFill="1" applyBorder="1" applyAlignment="1">
      <alignment horizontal="left"/>
    </xf>
    <xf numFmtId="4" fontId="5" fillId="0" borderId="0" xfId="372" applyNumberFormat="1" applyFont="1"/>
    <xf numFmtId="0" fontId="5" fillId="0" borderId="0" xfId="372" applyFont="1"/>
    <xf numFmtId="0" fontId="5" fillId="0" borderId="11" xfId="372" applyFont="1" applyBorder="1" applyAlignment="1">
      <alignment horizontal="left"/>
    </xf>
    <xf numFmtId="0" fontId="5" fillId="0" borderId="1" xfId="372" applyFont="1" applyBorder="1" applyAlignment="1">
      <alignment horizontal="center"/>
    </xf>
    <xf numFmtId="0" fontId="5" fillId="0" borderId="11" xfId="372" applyFont="1" applyBorder="1" applyAlignment="1">
      <alignment horizontal="center"/>
    </xf>
    <xf numFmtId="0" fontId="5" fillId="0" borderId="36" xfId="372" applyFont="1" applyBorder="1"/>
    <xf numFmtId="174" fontId="5" fillId="0" borderId="2" xfId="372" applyNumberFormat="1" applyFont="1" applyBorder="1" applyAlignment="1">
      <alignment horizontal="center"/>
    </xf>
    <xf numFmtId="9" fontId="5" fillId="0" borderId="2" xfId="372" applyNumberFormat="1" applyFont="1" applyBorder="1" applyAlignment="1">
      <alignment horizontal="center"/>
    </xf>
    <xf numFmtId="10" fontId="5" fillId="0" borderId="2" xfId="372" applyNumberFormat="1" applyFont="1" applyBorder="1" applyAlignment="1">
      <alignment horizontal="center"/>
    </xf>
    <xf numFmtId="3" fontId="5" fillId="0" borderId="1" xfId="372" applyNumberFormat="1" applyFont="1" applyBorder="1" applyAlignment="1">
      <alignment horizontal="center"/>
    </xf>
    <xf numFmtId="174" fontId="5" fillId="0" borderId="4" xfId="372" applyNumberFormat="1" applyFont="1" applyBorder="1" applyAlignment="1">
      <alignment horizontal="center"/>
    </xf>
    <xf numFmtId="174" fontId="5" fillId="0" borderId="4" xfId="372" applyNumberFormat="1" applyFont="1" applyBorder="1"/>
    <xf numFmtId="1" fontId="5" fillId="0" borderId="4" xfId="372" applyNumberFormat="1" applyFont="1" applyBorder="1" applyAlignment="1">
      <alignment horizontal="center"/>
    </xf>
    <xf numFmtId="172" fontId="5" fillId="0" borderId="3" xfId="131" applyNumberFormat="1" applyFont="1" applyBorder="1"/>
    <xf numFmtId="0" fontId="5" fillId="0" borderId="16" xfId="372" applyFont="1" applyBorder="1"/>
    <xf numFmtId="174" fontId="5" fillId="0" borderId="16" xfId="372" applyNumberFormat="1" applyFont="1" applyBorder="1" applyAlignment="1">
      <alignment horizontal="center"/>
    </xf>
    <xf numFmtId="9" fontId="5" fillId="0" borderId="16" xfId="372" applyNumberFormat="1" applyFont="1" applyBorder="1" applyAlignment="1">
      <alignment horizontal="center"/>
    </xf>
    <xf numFmtId="10" fontId="5" fillId="0" borderId="16" xfId="372" applyNumberFormat="1" applyFont="1" applyBorder="1" applyAlignment="1">
      <alignment horizontal="center"/>
    </xf>
    <xf numFmtId="3" fontId="5" fillId="0" borderId="11" xfId="372" applyNumberFormat="1" applyFont="1" applyBorder="1" applyAlignment="1">
      <alignment horizontal="center"/>
    </xf>
    <xf numFmtId="174" fontId="5" fillId="0" borderId="12" xfId="372" applyNumberFormat="1" applyFont="1" applyBorder="1" applyAlignment="1">
      <alignment horizontal="center"/>
    </xf>
    <xf numFmtId="174" fontId="5" fillId="0" borderId="12" xfId="372" applyNumberFormat="1" applyFont="1" applyBorder="1"/>
    <xf numFmtId="1" fontId="5" fillId="0" borderId="12" xfId="372" applyNumberFormat="1" applyFont="1" applyBorder="1" applyAlignment="1">
      <alignment horizontal="center"/>
    </xf>
    <xf numFmtId="172" fontId="5" fillId="0" borderId="13" xfId="131" applyNumberFormat="1" applyFont="1" applyBorder="1"/>
    <xf numFmtId="174" fontId="5" fillId="0" borderId="36" xfId="372" applyNumberFormat="1" applyFont="1" applyBorder="1" applyAlignment="1">
      <alignment horizontal="center"/>
    </xf>
    <xf numFmtId="9" fontId="5" fillId="0" borderId="36" xfId="372" applyNumberFormat="1" applyFont="1" applyBorder="1" applyAlignment="1">
      <alignment horizontal="center"/>
    </xf>
    <xf numFmtId="10" fontId="5" fillId="0" borderId="36" xfId="372" applyNumberFormat="1" applyFont="1" applyBorder="1" applyAlignment="1">
      <alignment horizontal="center"/>
    </xf>
    <xf numFmtId="3" fontId="5" fillId="0" borderId="35" xfId="372" applyNumberFormat="1" applyFont="1" applyBorder="1" applyAlignment="1">
      <alignment horizontal="center"/>
    </xf>
    <xf numFmtId="174" fontId="5" fillId="0" borderId="35" xfId="372" applyNumberFormat="1" applyFont="1" applyBorder="1" applyAlignment="1">
      <alignment horizontal="center"/>
    </xf>
    <xf numFmtId="174" fontId="5" fillId="0" borderId="39" xfId="372" applyNumberFormat="1" applyFont="1" applyBorder="1"/>
    <xf numFmtId="0" fontId="5" fillId="0" borderId="35" xfId="372" applyFont="1" applyBorder="1" applyAlignment="1">
      <alignment horizontal="center"/>
    </xf>
    <xf numFmtId="1" fontId="5" fillId="0" borderId="0" xfId="372" applyNumberFormat="1" applyFont="1" applyAlignment="1">
      <alignment horizontal="center"/>
    </xf>
    <xf numFmtId="172" fontId="5" fillId="0" borderId="39" xfId="131" applyNumberFormat="1" applyFont="1" applyBorder="1"/>
    <xf numFmtId="0" fontId="5" fillId="0" borderId="2" xfId="372" applyFont="1" applyBorder="1"/>
    <xf numFmtId="174" fontId="5" fillId="0" borderId="36" xfId="372" applyNumberFormat="1" applyFont="1" applyFill="1" applyBorder="1" applyAlignment="1">
      <alignment horizontal="center"/>
    </xf>
    <xf numFmtId="9" fontId="5" fillId="0" borderId="36" xfId="372" applyNumberFormat="1" applyFont="1" applyFill="1" applyBorder="1" applyAlignment="1">
      <alignment horizontal="center"/>
    </xf>
    <xf numFmtId="10" fontId="5" fillId="0" borderId="36" xfId="372" applyNumberFormat="1" applyFont="1" applyFill="1" applyBorder="1" applyAlignment="1">
      <alignment horizontal="center"/>
    </xf>
    <xf numFmtId="3" fontId="5" fillId="0" borderId="35" xfId="372" applyNumberFormat="1" applyFont="1" applyFill="1" applyBorder="1" applyAlignment="1">
      <alignment horizontal="center"/>
    </xf>
    <xf numFmtId="174" fontId="5" fillId="0" borderId="35" xfId="372" applyNumberFormat="1" applyFont="1" applyFill="1" applyBorder="1" applyAlignment="1">
      <alignment horizontal="center"/>
    </xf>
    <xf numFmtId="174" fontId="5" fillId="0" borderId="2" xfId="372" applyNumberFormat="1" applyFont="1" applyFill="1" applyBorder="1" applyAlignment="1">
      <alignment horizontal="center"/>
    </xf>
    <xf numFmtId="9" fontId="5" fillId="0" borderId="2" xfId="372" applyNumberFormat="1" applyFont="1" applyFill="1" applyBorder="1" applyAlignment="1">
      <alignment horizontal="center"/>
    </xf>
    <xf numFmtId="10" fontId="5" fillId="0" borderId="2" xfId="372" applyNumberFormat="1" applyFont="1" applyFill="1" applyBorder="1" applyAlignment="1">
      <alignment horizontal="center"/>
    </xf>
    <xf numFmtId="3" fontId="5" fillId="0" borderId="1" xfId="372" applyNumberFormat="1" applyFont="1" applyFill="1" applyBorder="1" applyAlignment="1">
      <alignment horizontal="center"/>
    </xf>
    <xf numFmtId="174" fontId="5" fillId="0" borderId="4" xfId="372" applyNumberFormat="1" applyFont="1" applyFill="1" applyBorder="1" applyAlignment="1">
      <alignment horizontal="center"/>
    </xf>
    <xf numFmtId="174" fontId="5" fillId="0" borderId="1" xfId="372" applyNumberFormat="1" applyFont="1" applyBorder="1" applyAlignment="1">
      <alignment horizontal="center"/>
    </xf>
    <xf numFmtId="174" fontId="5" fillId="0" borderId="3" xfId="372" applyNumberFormat="1" applyFont="1" applyBorder="1"/>
    <xf numFmtId="174" fontId="5" fillId="0" borderId="11" xfId="372" applyNumberFormat="1" applyFont="1" applyBorder="1" applyAlignment="1">
      <alignment horizontal="center"/>
    </xf>
    <xf numFmtId="174" fontId="5" fillId="0" borderId="13" xfId="372" applyNumberFormat="1" applyFont="1" applyBorder="1"/>
    <xf numFmtId="0" fontId="5" fillId="0" borderId="0" xfId="372" applyFont="1" applyAlignment="1">
      <alignment horizontal="center" wrapText="1"/>
    </xf>
    <xf numFmtId="0" fontId="5" fillId="0" borderId="0" xfId="372" applyFont="1" applyAlignment="1">
      <alignment wrapText="1"/>
    </xf>
    <xf numFmtId="172" fontId="5" fillId="0" borderId="0" xfId="372" applyNumberFormat="1" applyFont="1" applyAlignment="1">
      <alignment wrapText="1"/>
    </xf>
    <xf numFmtId="0" fontId="5" fillId="0" borderId="5" xfId="253" applyBorder="1" applyAlignment="1">
      <alignment horizontal="center" vertical="center" wrapText="1" readingOrder="1"/>
    </xf>
    <xf numFmtId="0" fontId="5" fillId="0" borderId="0" xfId="371" applyFont="1" applyAlignment="1">
      <alignment horizontal="center"/>
    </xf>
    <xf numFmtId="0" fontId="5" fillId="0" borderId="0" xfId="253" applyAlignment="1">
      <alignment horizontal="center"/>
    </xf>
    <xf numFmtId="0" fontId="5" fillId="17" borderId="0" xfId="253" applyFill="1">
      <alignment readingOrder="1"/>
    </xf>
    <xf numFmtId="172" fontId="5" fillId="0" borderId="5" xfId="131" applyNumberFormat="1" applyBorder="1">
      <alignment readingOrder="1"/>
    </xf>
    <xf numFmtId="3" fontId="5" fillId="0" borderId="5" xfId="253" applyNumberFormat="1" applyBorder="1">
      <alignment readingOrder="1"/>
    </xf>
    <xf numFmtId="164" fontId="5" fillId="0" borderId="0" xfId="253" applyNumberFormat="1">
      <alignment readingOrder="1"/>
    </xf>
    <xf numFmtId="0" fontId="17" fillId="14" borderId="5" xfId="213" applyFont="1" applyFill="1" applyBorder="1"/>
    <xf numFmtId="0" fontId="17" fillId="14" borderId="1" xfId="213" applyFont="1" applyFill="1" applyBorder="1"/>
    <xf numFmtId="0" fontId="17" fillId="14" borderId="4" xfId="213" applyFont="1" applyFill="1" applyBorder="1"/>
    <xf numFmtId="0" fontId="17" fillId="14" borderId="3" xfId="213" applyFont="1" applyFill="1" applyBorder="1"/>
    <xf numFmtId="164" fontId="10" fillId="9" borderId="9" xfId="213" applyNumberFormat="1" applyFont="1" applyFill="1" applyBorder="1" applyAlignment="1">
      <alignment horizontal="centerContinuous" wrapText="1" readingOrder="1"/>
    </xf>
    <xf numFmtId="164" fontId="10" fillId="9" borderId="10" xfId="213" applyNumberFormat="1" applyFont="1" applyFill="1" applyBorder="1" applyAlignment="1">
      <alignment horizontal="centerContinuous" wrapText="1" readingOrder="1"/>
    </xf>
    <xf numFmtId="164" fontId="10" fillId="9" borderId="8" xfId="213" applyNumberFormat="1" applyFont="1" applyFill="1" applyBorder="1" applyAlignment="1">
      <alignment horizontal="centerContinuous" wrapText="1" readingOrder="1"/>
    </xf>
    <xf numFmtId="164" fontId="10" fillId="9" borderId="7" xfId="213" applyNumberFormat="1" applyFont="1" applyFill="1" applyBorder="1" applyAlignment="1">
      <alignment horizontal="center" wrapText="1" readingOrder="1"/>
    </xf>
    <xf numFmtId="0" fontId="5" fillId="0" borderId="0" xfId="213"/>
    <xf numFmtId="0" fontId="17" fillId="14" borderId="11" xfId="213" applyFont="1" applyFill="1" applyBorder="1"/>
    <xf numFmtId="0" fontId="17" fillId="14" borderId="12" xfId="213" applyFont="1" applyFill="1" applyBorder="1"/>
    <xf numFmtId="0" fontId="17" fillId="14" borderId="13" xfId="213" applyFont="1" applyFill="1" applyBorder="1"/>
    <xf numFmtId="164" fontId="10" fillId="8" borderId="7" xfId="213" applyNumberFormat="1" applyFont="1" applyFill="1" applyBorder="1" applyAlignment="1">
      <alignment horizontal="center" wrapText="1" readingOrder="1"/>
    </xf>
    <xf numFmtId="0" fontId="17" fillId="6" borderId="5" xfId="213" applyFont="1" applyFill="1" applyBorder="1"/>
    <xf numFmtId="2" fontId="5" fillId="10" borderId="0" xfId="213" applyNumberFormat="1" applyFill="1" applyAlignment="1">
      <alignment horizontal="center" readingOrder="1"/>
    </xf>
    <xf numFmtId="1" fontId="5" fillId="10" borderId="0" xfId="213" applyNumberFormat="1" applyFill="1" applyAlignment="1">
      <alignment horizontal="center" readingOrder="1"/>
    </xf>
    <xf numFmtId="0" fontId="5" fillId="0" borderId="0" xfId="213">
      <alignment readingOrder="1"/>
    </xf>
    <xf numFmtId="164" fontId="5" fillId="0" borderId="0" xfId="213" applyNumberFormat="1">
      <alignment readingOrder="1"/>
    </xf>
    <xf numFmtId="43" fontId="0" fillId="10" borderId="0" xfId="373" applyFont="1" applyFill="1" applyAlignment="1">
      <alignment horizontal="center" readingOrder="1"/>
    </xf>
    <xf numFmtId="1" fontId="5" fillId="0" borderId="0" xfId="213" applyNumberFormat="1"/>
    <xf numFmtId="0" fontId="12" fillId="77" borderId="6" xfId="0" applyFont="1" applyFill="1" applyBorder="1" applyAlignment="1">
      <alignment horizontal="left" wrapText="1" readingOrder="1"/>
    </xf>
    <xf numFmtId="0" fontId="12" fillId="77" borderId="7" xfId="0" applyFont="1" applyFill="1" applyBorder="1" applyAlignment="1">
      <alignment horizontal="center" wrapText="1" readingOrder="1"/>
    </xf>
    <xf numFmtId="0" fontId="12" fillId="7" borderId="15" xfId="0" applyFont="1" applyFill="1" applyBorder="1" applyAlignment="1">
      <alignment horizontal="center" wrapText="1" readingOrder="1"/>
    </xf>
    <xf numFmtId="0" fontId="0" fillId="0" borderId="52" xfId="0" applyBorder="1">
      <alignment readingOrder="1"/>
    </xf>
    <xf numFmtId="0" fontId="0" fillId="0" borderId="53" xfId="0" applyBorder="1">
      <alignment readingOrder="1"/>
    </xf>
    <xf numFmtId="0" fontId="0" fillId="0" borderId="54" xfId="0" applyBorder="1">
      <alignment readingOrder="1"/>
    </xf>
    <xf numFmtId="0" fontId="0" fillId="0" borderId="40" xfId="0" applyBorder="1">
      <alignment readingOrder="1"/>
    </xf>
    <xf numFmtId="0" fontId="0" fillId="0" borderId="0" xfId="0" applyBorder="1">
      <alignment readingOrder="1"/>
    </xf>
    <xf numFmtId="0" fontId="0" fillId="0" borderId="41" xfId="0" applyBorder="1">
      <alignment readingOrder="1"/>
    </xf>
    <xf numFmtId="0" fontId="0" fillId="0" borderId="17" xfId="0" applyBorder="1">
      <alignment readingOrder="1"/>
    </xf>
    <xf numFmtId="0" fontId="0" fillId="0" borderId="43" xfId="0" applyBorder="1">
      <alignment readingOrder="1"/>
    </xf>
    <xf numFmtId="0" fontId="0" fillId="0" borderId="42" xfId="0" applyBorder="1">
      <alignment readingOrder="1"/>
    </xf>
    <xf numFmtId="0" fontId="10" fillId="78" borderId="19" xfId="0" applyFont="1" applyFill="1" applyBorder="1" applyAlignment="1">
      <alignment horizontal="centerContinuous" wrapText="1" readingOrder="1"/>
    </xf>
    <xf numFmtId="0" fontId="10" fillId="78" borderId="8" xfId="0" applyFont="1" applyFill="1" applyBorder="1" applyAlignment="1">
      <alignment horizontal="centerContinuous" wrapText="1" readingOrder="1"/>
    </xf>
    <xf numFmtId="164" fontId="10" fillId="78" borderId="19" xfId="0" applyNumberFormat="1" applyFont="1" applyFill="1" applyBorder="1" applyAlignment="1">
      <alignment horizontal="centerContinuous" wrapText="1" readingOrder="1"/>
    </xf>
    <xf numFmtId="164" fontId="10" fillId="78" borderId="20" xfId="0" applyNumberFormat="1" applyFont="1" applyFill="1" applyBorder="1" applyAlignment="1">
      <alignment horizontal="centerContinuous" wrapText="1" readingOrder="1"/>
    </xf>
    <xf numFmtId="164" fontId="10" fillId="78" borderId="8" xfId="0" applyNumberFormat="1" applyFont="1" applyFill="1" applyBorder="1" applyAlignment="1">
      <alignment horizontal="centerContinuous" wrapText="1" readingOrder="1"/>
    </xf>
    <xf numFmtId="164" fontId="10" fillId="78" borderId="15" xfId="0" applyNumberFormat="1" applyFont="1" applyFill="1" applyBorder="1" applyAlignment="1">
      <alignment horizontal="center" wrapText="1" readingOrder="1"/>
    </xf>
    <xf numFmtId="175" fontId="10" fillId="8" borderId="7" xfId="0" applyNumberFormat="1" applyFont="1" applyFill="1" applyBorder="1" applyAlignment="1">
      <alignment horizontal="center" wrapText="1" readingOrder="1"/>
    </xf>
    <xf numFmtId="0" fontId="10" fillId="9" borderId="19" xfId="0" applyFont="1" applyFill="1" applyBorder="1" applyAlignment="1">
      <alignment horizontal="centerContinuous" wrapText="1" readingOrder="1"/>
    </xf>
    <xf numFmtId="0" fontId="10" fillId="9" borderId="20" xfId="0" applyFont="1" applyFill="1" applyBorder="1" applyAlignment="1">
      <alignment horizontal="centerContinuous" wrapText="1" readingOrder="1"/>
    </xf>
    <xf numFmtId="164" fontId="10" fillId="9" borderId="20" xfId="0" applyNumberFormat="1" applyFont="1" applyFill="1" applyBorder="1" applyAlignment="1">
      <alignment horizontal="centerContinuous" wrapText="1" readingOrder="1"/>
    </xf>
    <xf numFmtId="164" fontId="10" fillId="9" borderId="15" xfId="0" applyNumberFormat="1" applyFont="1" applyFill="1" applyBorder="1" applyAlignment="1">
      <alignment horizontal="center" wrapText="1" readingOrder="1"/>
    </xf>
    <xf numFmtId="164" fontId="10" fillId="9" borderId="19" xfId="0" applyNumberFormat="1" applyFont="1" applyFill="1" applyBorder="1" applyAlignment="1">
      <alignment horizontal="centerContinuous" wrapText="1" readingOrder="1"/>
    </xf>
    <xf numFmtId="164" fontId="11" fillId="0" borderId="0" xfId="0" applyNumberFormat="1" applyFont="1">
      <alignment readingOrder="1"/>
    </xf>
    <xf numFmtId="176" fontId="11" fillId="0" borderId="0" xfId="0" applyNumberFormat="1" applyFont="1">
      <alignment readingOrder="1"/>
    </xf>
    <xf numFmtId="176" fontId="0" fillId="0" borderId="0" xfId="0" applyNumberFormat="1">
      <alignment readingOrder="1"/>
    </xf>
    <xf numFmtId="176" fontId="62" fillId="0" borderId="0" xfId="0" applyNumberFormat="1" applyFont="1">
      <alignment readingOrder="1"/>
    </xf>
    <xf numFmtId="0" fontId="0" fillId="11" borderId="0" xfId="0" applyFill="1" applyAlignment="1">
      <alignment horizontal="left" vertical="center" readingOrder="1"/>
    </xf>
    <xf numFmtId="0" fontId="10" fillId="3" borderId="1" xfId="2" applyFont="1" applyFill="1" applyBorder="1" applyAlignment="1">
      <alignment horizontal="center"/>
    </xf>
    <xf numFmtId="0" fontId="10" fillId="3" borderId="4" xfId="2" applyFont="1" applyFill="1" applyBorder="1" applyAlignment="1">
      <alignment horizontal="center"/>
    </xf>
    <xf numFmtId="0" fontId="10" fillId="3" borderId="3" xfId="2" applyFont="1" applyFill="1" applyBorder="1" applyAlignment="1">
      <alignment horizontal="center"/>
    </xf>
    <xf numFmtId="0" fontId="7" fillId="4" borderId="2" xfId="0" applyFont="1" applyFill="1" applyBorder="1" applyAlignment="1">
      <alignment horizontal="center"/>
    </xf>
    <xf numFmtId="0" fontId="11" fillId="0" borderId="2" xfId="0" applyFont="1" applyBorder="1" applyAlignment="1">
      <alignment horizontal="center"/>
    </xf>
    <xf numFmtId="0" fontId="11" fillId="60" borderId="5" xfId="2" applyFont="1" applyFill="1" applyBorder="1" applyAlignment="1">
      <alignment horizontal="center"/>
    </xf>
    <xf numFmtId="0" fontId="10" fillId="3" borderId="6" xfId="2" applyFont="1" applyFill="1" applyBorder="1" applyAlignment="1">
      <alignment horizontal="center"/>
    </xf>
    <xf numFmtId="0" fontId="10" fillId="3" borderId="15" xfId="2" applyFont="1" applyFill="1" applyBorder="1" applyAlignment="1">
      <alignment horizontal="center"/>
    </xf>
    <xf numFmtId="0" fontId="10" fillId="3" borderId="7" xfId="2" applyFont="1" applyFill="1" applyBorder="1" applyAlignment="1">
      <alignment horizontal="center"/>
    </xf>
    <xf numFmtId="0" fontId="7" fillId="4" borderId="5" xfId="0" applyFont="1" applyFill="1" applyBorder="1" applyAlignment="1">
      <alignment horizontal="center"/>
    </xf>
    <xf numFmtId="0" fontId="11" fillId="0" borderId="5" xfId="0" applyFont="1" applyBorder="1" applyAlignment="1">
      <alignment horizontal="center"/>
    </xf>
    <xf numFmtId="169" fontId="5" fillId="0" borderId="11" xfId="370" applyNumberFormat="1" applyBorder="1" applyAlignment="1">
      <alignment horizontal="center"/>
    </xf>
    <xf numFmtId="169" fontId="5" fillId="0" borderId="12" xfId="370" applyNumberFormat="1" applyBorder="1" applyAlignment="1">
      <alignment horizontal="center"/>
    </xf>
    <xf numFmtId="169" fontId="5" fillId="0" borderId="13" xfId="370" applyNumberFormat="1" applyBorder="1" applyAlignment="1">
      <alignment horizontal="center"/>
    </xf>
    <xf numFmtId="1" fontId="5" fillId="0" borderId="11" xfId="368" applyNumberFormat="1" applyFont="1" applyBorder="1" applyAlignment="1">
      <alignment horizontal="center"/>
    </xf>
    <xf numFmtId="1" fontId="5" fillId="0" borderId="12" xfId="368" applyNumberFormat="1" applyFont="1" applyBorder="1" applyAlignment="1">
      <alignment horizontal="center"/>
    </xf>
    <xf numFmtId="1" fontId="5" fillId="0" borderId="13" xfId="368" applyNumberFormat="1" applyFont="1" applyBorder="1" applyAlignment="1">
      <alignment horizontal="center"/>
    </xf>
    <xf numFmtId="1" fontId="5" fillId="0" borderId="11" xfId="370" applyNumberFormat="1" applyBorder="1" applyAlignment="1">
      <alignment horizontal="center"/>
    </xf>
    <xf numFmtId="1" fontId="5" fillId="0" borderId="12" xfId="370" applyNumberFormat="1" applyBorder="1" applyAlignment="1">
      <alignment horizontal="center"/>
    </xf>
    <xf numFmtId="1" fontId="5" fillId="0" borderId="13" xfId="370" applyNumberFormat="1" applyBorder="1" applyAlignment="1">
      <alignment horizontal="center"/>
    </xf>
    <xf numFmtId="169" fontId="5" fillId="0" borderId="35" xfId="370" applyNumberFormat="1" applyBorder="1" applyAlignment="1">
      <alignment horizontal="center"/>
    </xf>
    <xf numFmtId="169" fontId="5" fillId="0" borderId="0" xfId="370" applyNumberFormat="1" applyBorder="1" applyAlignment="1">
      <alignment horizontal="center"/>
    </xf>
    <xf numFmtId="169" fontId="5" fillId="0" borderId="39" xfId="370" applyNumberFormat="1" applyBorder="1" applyAlignment="1">
      <alignment horizontal="center"/>
    </xf>
    <xf numFmtId="1" fontId="5" fillId="0" borderId="35" xfId="368" applyNumberFormat="1" applyFont="1" applyBorder="1" applyAlignment="1">
      <alignment horizontal="center"/>
    </xf>
    <xf numFmtId="1" fontId="5" fillId="0" borderId="0" xfId="368" applyNumberFormat="1" applyFont="1" applyBorder="1" applyAlignment="1">
      <alignment horizontal="center"/>
    </xf>
    <xf numFmtId="1" fontId="5" fillId="0" borderId="39" xfId="368" applyNumberFormat="1" applyFont="1" applyBorder="1" applyAlignment="1">
      <alignment horizontal="center"/>
    </xf>
    <xf numFmtId="1" fontId="5" fillId="0" borderId="35" xfId="370" applyNumberFormat="1" applyBorder="1" applyAlignment="1">
      <alignment horizontal="center"/>
    </xf>
    <xf numFmtId="1" fontId="5" fillId="0" borderId="0" xfId="370" applyNumberFormat="1" applyBorder="1" applyAlignment="1">
      <alignment horizontal="center"/>
    </xf>
    <xf numFmtId="1" fontId="5" fillId="0" borderId="39" xfId="370" applyNumberFormat="1" applyBorder="1" applyAlignment="1">
      <alignment horizontal="center"/>
    </xf>
    <xf numFmtId="0" fontId="5" fillId="0" borderId="6" xfId="370" applyFont="1" applyBorder="1" applyAlignment="1">
      <alignment horizontal="center"/>
    </xf>
    <xf numFmtId="0" fontId="5" fillId="0" borderId="15" xfId="370" applyFont="1" applyBorder="1" applyAlignment="1">
      <alignment horizontal="center"/>
    </xf>
    <xf numFmtId="0" fontId="5" fillId="0" borderId="7" xfId="370" applyFont="1" applyBorder="1" applyAlignment="1">
      <alignment horizontal="center"/>
    </xf>
    <xf numFmtId="0" fontId="5" fillId="0" borderId="6" xfId="370" applyFont="1" applyBorder="1" applyAlignment="1">
      <alignment horizontal="center" wrapText="1"/>
    </xf>
    <xf numFmtId="0" fontId="5" fillId="0" borderId="15" xfId="370" applyFont="1" applyBorder="1" applyAlignment="1">
      <alignment horizontal="center" wrapText="1"/>
    </xf>
    <xf numFmtId="0" fontId="5" fillId="0" borderId="7" xfId="370" applyFont="1" applyBorder="1" applyAlignment="1">
      <alignment horizontal="center" wrapText="1"/>
    </xf>
    <xf numFmtId="0" fontId="10" fillId="0" borderId="2" xfId="372" applyFont="1" applyBorder="1" applyAlignment="1">
      <alignment horizontal="center" vertical="center" wrapText="1"/>
    </xf>
    <xf numFmtId="0" fontId="10" fillId="0" borderId="36" xfId="372" applyFont="1" applyBorder="1" applyAlignment="1">
      <alignment horizontal="center" vertical="center" wrapText="1"/>
    </xf>
    <xf numFmtId="0" fontId="10" fillId="0" borderId="16" xfId="372" applyFont="1" applyBorder="1" applyAlignment="1">
      <alignment horizontal="center" vertical="center" wrapText="1"/>
    </xf>
    <xf numFmtId="0" fontId="5" fillId="0" borderId="5" xfId="372" applyFont="1" applyBorder="1" applyAlignment="1">
      <alignment horizontal="center" wrapText="1"/>
    </xf>
    <xf numFmtId="0" fontId="67" fillId="0" borderId="5" xfId="372" applyFont="1" applyBorder="1" applyAlignment="1">
      <alignment horizontal="center" wrapText="1"/>
    </xf>
    <xf numFmtId="0" fontId="5" fillId="0" borderId="5" xfId="372" applyFont="1" applyFill="1" applyBorder="1" applyAlignment="1">
      <alignment horizontal="center"/>
    </xf>
    <xf numFmtId="0" fontId="5" fillId="0" borderId="5" xfId="372" applyFont="1" applyBorder="1" applyAlignment="1">
      <alignment horizontal="center"/>
    </xf>
    <xf numFmtId="0" fontId="10" fillId="0" borderId="1" xfId="372" applyFont="1" applyBorder="1" applyAlignment="1">
      <alignment horizontal="center" vertical="center" wrapText="1"/>
    </xf>
    <xf numFmtId="0" fontId="10" fillId="0" borderId="35" xfId="372" applyFont="1" applyBorder="1" applyAlignment="1">
      <alignment horizontal="center" vertical="center" wrapText="1"/>
    </xf>
    <xf numFmtId="0" fontId="10" fillId="0" borderId="11" xfId="372" applyFont="1" applyBorder="1" applyAlignment="1">
      <alignment horizontal="center" vertical="center" wrapText="1"/>
    </xf>
    <xf numFmtId="0" fontId="5" fillId="0" borderId="6" xfId="371" applyBorder="1" applyAlignment="1">
      <alignment horizontal="center"/>
    </xf>
    <xf numFmtId="0" fontId="5" fillId="0" borderId="15" xfId="371" applyBorder="1" applyAlignment="1">
      <alignment horizontal="center"/>
    </xf>
    <xf numFmtId="0" fontId="5" fillId="0" borderId="7" xfId="371" applyBorder="1" applyAlignment="1">
      <alignment horizontal="center"/>
    </xf>
    <xf numFmtId="0" fontId="5" fillId="0" borderId="48" xfId="371" applyFont="1" applyBorder="1" applyAlignment="1">
      <alignment horizontal="center"/>
    </xf>
    <xf numFmtId="0" fontId="5" fillId="0" borderId="44" xfId="371" applyFont="1" applyBorder="1" applyAlignment="1">
      <alignment horizontal="center"/>
    </xf>
    <xf numFmtId="0" fontId="5" fillId="0" borderId="49" xfId="371" applyFont="1" applyBorder="1" applyAlignment="1">
      <alignment horizontal="center"/>
    </xf>
    <xf numFmtId="0" fontId="66" fillId="63" borderId="0" xfId="372" applyFont="1" applyFill="1" applyBorder="1" applyAlignment="1">
      <alignment horizontal="center"/>
    </xf>
    <xf numFmtId="0" fontId="5" fillId="0" borderId="7" xfId="372" applyFont="1" applyBorder="1" applyAlignment="1">
      <alignment horizontal="center" wrapText="1"/>
    </xf>
    <xf numFmtId="0" fontId="5" fillId="0" borderId="5" xfId="372" applyFont="1" applyFill="1" applyBorder="1" applyAlignment="1">
      <alignment horizontal="center" textRotation="90" wrapText="1"/>
    </xf>
    <xf numFmtId="0" fontId="0" fillId="14" borderId="0" xfId="0" applyFill="1">
      <alignment readingOrder="1"/>
    </xf>
    <xf numFmtId="0" fontId="0" fillId="14" borderId="0" xfId="0" applyFill="1" applyAlignment="1">
      <alignment vertical="center" wrapText="1" readingOrder="1"/>
    </xf>
  </cellXfs>
  <cellStyles count="536">
    <cellStyle name="20% - Accent1 2" xfId="37"/>
    <cellStyle name="20% - Accent1 2 2" xfId="38"/>
    <cellStyle name="20% - Accent1 3" xfId="39"/>
    <cellStyle name="20% - Accent1 3 2" xfId="374"/>
    <cellStyle name="20% - Accent1 4" xfId="375"/>
    <cellStyle name="20% - Accent1 4 2" xfId="376"/>
    <cellStyle name="20% - Accent1 5" xfId="377"/>
    <cellStyle name="20% - Accent2 2" xfId="40"/>
    <cellStyle name="20% - Accent2 2 2" xfId="378"/>
    <cellStyle name="20% - Accent2 3" xfId="41"/>
    <cellStyle name="20% - Accent2 3 2" xfId="379"/>
    <cellStyle name="20% - Accent2 4" xfId="380"/>
    <cellStyle name="20% - Accent2 4 2" xfId="381"/>
    <cellStyle name="20% - Accent2 5" xfId="382"/>
    <cellStyle name="20% - Accent3 2" xfId="42"/>
    <cellStyle name="20% - Accent3 2 2" xfId="43"/>
    <cellStyle name="20% - Accent3 3" xfId="44"/>
    <cellStyle name="20% - Accent3 3 2" xfId="383"/>
    <cellStyle name="20% - Accent3 4" xfId="384"/>
    <cellStyle name="20% - Accent3 4 2" xfId="385"/>
    <cellStyle name="20% - Accent3 5" xfId="386"/>
    <cellStyle name="20% - Accent4 2" xfId="45"/>
    <cellStyle name="20% - Accent4 2 2" xfId="46"/>
    <cellStyle name="20% - Accent4 3" xfId="47"/>
    <cellStyle name="20% - Accent4 3 2" xfId="387"/>
    <cellStyle name="20% - Accent4 4" xfId="388"/>
    <cellStyle name="20% - Accent4 4 2" xfId="389"/>
    <cellStyle name="20% - Accent4 5" xfId="390"/>
    <cellStyle name="20% - Accent5 2" xfId="48"/>
    <cellStyle name="20% - Accent5 2 2" xfId="391"/>
    <cellStyle name="20% - Accent5 3" xfId="49"/>
    <cellStyle name="20% - Accent5 3 2" xfId="392"/>
    <cellStyle name="20% - Accent5 4" xfId="393"/>
    <cellStyle name="20% - Accent5 4 2" xfId="394"/>
    <cellStyle name="20% - Accent5 5" xfId="395"/>
    <cellStyle name="20% - Accent6 2" xfId="50"/>
    <cellStyle name="20% - Accent6 2 2" xfId="396"/>
    <cellStyle name="20% - Accent6 3" xfId="51"/>
    <cellStyle name="20% - Accent6 3 2" xfId="397"/>
    <cellStyle name="20% - Accent6 4" xfId="398"/>
    <cellStyle name="20% - Accent6 4 2" xfId="399"/>
    <cellStyle name="20% - Accent6 5" xfId="400"/>
    <cellStyle name="40% - Accent1 2" xfId="52"/>
    <cellStyle name="40% - Accent1 2 2" xfId="53"/>
    <cellStyle name="40% - Accent1 3" xfId="54"/>
    <cellStyle name="40% - Accent1 3 2" xfId="401"/>
    <cellStyle name="40% - Accent1 4" xfId="402"/>
    <cellStyle name="40% - Accent1 4 2" xfId="403"/>
    <cellStyle name="40% - Accent1 5" xfId="404"/>
    <cellStyle name="40% - Accent2 2" xfId="55"/>
    <cellStyle name="40% - Accent2 2 2" xfId="56"/>
    <cellStyle name="40% - Accent2 3" xfId="57"/>
    <cellStyle name="40% - Accent2 3 2" xfId="405"/>
    <cellStyle name="40% - Accent2 4" xfId="406"/>
    <cellStyle name="40% - Accent2 4 2" xfId="407"/>
    <cellStyle name="40% - Accent2 5" xfId="408"/>
    <cellStyle name="40% - Accent3 2" xfId="58"/>
    <cellStyle name="40% - Accent3 2 2" xfId="59"/>
    <cellStyle name="40% - Accent3 3" xfId="60"/>
    <cellStyle name="40% - Accent3 3 2" xfId="409"/>
    <cellStyle name="40% - Accent3 4" xfId="410"/>
    <cellStyle name="40% - Accent3 4 2" xfId="411"/>
    <cellStyle name="40% - Accent3 5" xfId="412"/>
    <cellStyle name="40% - Accent4 2" xfId="61"/>
    <cellStyle name="40% - Accent4 2 2" xfId="62"/>
    <cellStyle name="40% - Accent4 3" xfId="63"/>
    <cellStyle name="40% - Accent4 3 2" xfId="413"/>
    <cellStyle name="40% - Accent4 4" xfId="414"/>
    <cellStyle name="40% - Accent4 4 2" xfId="415"/>
    <cellStyle name="40% - Accent4 5" xfId="416"/>
    <cellStyle name="40% - Accent5 2" xfId="64"/>
    <cellStyle name="40% - Accent5 2 2" xfId="417"/>
    <cellStyle name="40% - Accent5 3" xfId="65"/>
    <cellStyle name="40% - Accent5 3 2" xfId="418"/>
    <cellStyle name="40% - Accent5 4" xfId="419"/>
    <cellStyle name="40% - Accent5 4 2" xfId="420"/>
    <cellStyle name="40% - Accent5 5" xfId="421"/>
    <cellStyle name="40% - Accent6 2" xfId="66"/>
    <cellStyle name="40% - Accent6 2 2" xfId="67"/>
    <cellStyle name="40% - Accent6 3" xfId="68"/>
    <cellStyle name="40% - Accent6 3 2" xfId="422"/>
    <cellStyle name="40% - Accent6 4" xfId="423"/>
    <cellStyle name="40% - Accent6 4 2" xfId="424"/>
    <cellStyle name="40% - Accent6 5" xfId="425"/>
    <cellStyle name="60% - Accent1 2" xfId="69"/>
    <cellStyle name="60% - Accent1 2 2" xfId="70"/>
    <cellStyle name="60% - Accent1 3" xfId="71"/>
    <cellStyle name="60% - Accent2 2" xfId="72"/>
    <cellStyle name="60% - Accent2 2 2" xfId="73"/>
    <cellStyle name="60% - Accent2 3" xfId="74"/>
    <cellStyle name="60% - Accent3 2" xfId="75"/>
    <cellStyle name="60% - Accent3 2 2" xfId="76"/>
    <cellStyle name="60% - Accent3 3" xfId="77"/>
    <cellStyle name="60% - Accent4 2" xfId="78"/>
    <cellStyle name="60% - Accent4 2 2" xfId="79"/>
    <cellStyle name="60% - Accent4 3" xfId="80"/>
    <cellStyle name="60% - Accent5 2" xfId="81"/>
    <cellStyle name="60% - Accent5 3" xfId="82"/>
    <cellStyle name="60% - Accent6 2" xfId="83"/>
    <cellStyle name="60% - Accent6 2 2" xfId="84"/>
    <cellStyle name="60% - Accent6 3" xfId="85"/>
    <cellStyle name="Accent1 - 20%" xfId="86"/>
    <cellStyle name="Accent1 - 40%" xfId="87"/>
    <cellStyle name="Accent1 - 60%" xfId="88"/>
    <cellStyle name="Accent1 2" xfId="89"/>
    <cellStyle name="Accent1 2 2" xfId="90"/>
    <cellStyle name="Accent1 3" xfId="91"/>
    <cellStyle name="Accent2 - 20%" xfId="92"/>
    <cellStyle name="Accent2 - 40%" xfId="93"/>
    <cellStyle name="Accent2 - 60%" xfId="94"/>
    <cellStyle name="Accent2 2" xfId="95"/>
    <cellStyle name="Accent2 3" xfId="96"/>
    <cellStyle name="Accent3 - 20%" xfId="97"/>
    <cellStyle name="Accent3 - 40%" xfId="98"/>
    <cellStyle name="Accent3 - 60%" xfId="99"/>
    <cellStyle name="Accent3 2" xfId="100"/>
    <cellStyle name="Accent3 2 2" xfId="101"/>
    <cellStyle name="Accent3 3" xfId="102"/>
    <cellStyle name="Accent4 - 20%" xfId="103"/>
    <cellStyle name="Accent4 - 40%" xfId="104"/>
    <cellStyle name="Accent4 - 60%" xfId="105"/>
    <cellStyle name="Accent4 2" xfId="106"/>
    <cellStyle name="Accent4 2 2" xfId="107"/>
    <cellStyle name="Accent4 3" xfId="108"/>
    <cellStyle name="Accent5 - 20%" xfId="109"/>
    <cellStyle name="Accent5 - 40%" xfId="110"/>
    <cellStyle name="Accent5 - 60%" xfId="111"/>
    <cellStyle name="Accent5 2" xfId="112"/>
    <cellStyle name="Accent5 3" xfId="113"/>
    <cellStyle name="Accent6 - 20%" xfId="114"/>
    <cellStyle name="Accent6 - 40%" xfId="115"/>
    <cellStyle name="Accent6 - 60%" xfId="116"/>
    <cellStyle name="Accent6 2" xfId="117"/>
    <cellStyle name="Accent6 3" xfId="118"/>
    <cellStyle name="Bad 2" xfId="119"/>
    <cellStyle name="Bad 2 2" xfId="120"/>
    <cellStyle name="Bad 3" xfId="121"/>
    <cellStyle name="Calculation 2" xfId="122"/>
    <cellStyle name="Calculation 2 2" xfId="123"/>
    <cellStyle name="Calculation 3" xfId="124"/>
    <cellStyle name="Check Cell 2" xfId="125"/>
    <cellStyle name="Check Cell 3" xfId="126"/>
    <cellStyle name="Comma" xfId="368" builtinId="3"/>
    <cellStyle name="Comma [0] 2" xfId="127"/>
    <cellStyle name="Comma 10" xfId="373"/>
    <cellStyle name="Comma 11" xfId="426"/>
    <cellStyle name="Comma 2" xfId="16"/>
    <cellStyle name="Comma 2 2" xfId="128"/>
    <cellStyle name="Comma 2 2 2" xfId="129"/>
    <cellStyle name="Comma 2 2 3" xfId="130"/>
    <cellStyle name="Comma 2 2 3 2" xfId="427"/>
    <cellStyle name="Comma 2 2 4" xfId="428"/>
    <cellStyle name="Comma 2 2 4 2" xfId="429"/>
    <cellStyle name="Comma 2 2 5" xfId="430"/>
    <cellStyle name="Comma 2 2 5 2" xfId="431"/>
    <cellStyle name="Comma 2 2 6" xfId="432"/>
    <cellStyle name="Comma 2 2 6 2" xfId="433"/>
    <cellStyle name="Comma 2 2 7" xfId="434"/>
    <cellStyle name="Comma 2 2 8" xfId="435"/>
    <cellStyle name="Comma 2 3" xfId="131"/>
    <cellStyle name="Comma 2 3 2" xfId="436"/>
    <cellStyle name="Comma 2 4" xfId="132"/>
    <cellStyle name="Comma 2 5" xfId="133"/>
    <cellStyle name="Comma 3" xfId="11"/>
    <cellStyle name="Comma 3 10" xfId="437"/>
    <cellStyle name="Comma 3 2" xfId="134"/>
    <cellStyle name="Comma 3 2 2" xfId="135"/>
    <cellStyle name="Comma 3 2 3" xfId="136"/>
    <cellStyle name="Comma 3 3" xfId="137"/>
    <cellStyle name="Comma 3 3 2" xfId="138"/>
    <cellStyle name="Comma 3 3 3" xfId="139"/>
    <cellStyle name="Comma 3 3 4" xfId="140"/>
    <cellStyle name="Comma 3 4" xfId="141"/>
    <cellStyle name="Comma 3 4 2" xfId="438"/>
    <cellStyle name="Comma 3 5" xfId="439"/>
    <cellStyle name="Comma 3 5 2" xfId="440"/>
    <cellStyle name="Comma 3 6" xfId="441"/>
    <cellStyle name="Comma 3 6 2" xfId="442"/>
    <cellStyle name="Comma 3 7" xfId="443"/>
    <cellStyle name="Comma 3 8" xfId="444"/>
    <cellStyle name="Comma 3 9" xfId="445"/>
    <cellStyle name="Comma 4" xfId="142"/>
    <cellStyle name="Comma 4 2" xfId="143"/>
    <cellStyle name="Comma 4 2 2" xfId="144"/>
    <cellStyle name="Comma 4 3" xfId="145"/>
    <cellStyle name="Comma 5" xfId="146"/>
    <cellStyle name="Comma 5 2" xfId="147"/>
    <cellStyle name="Comma 5 3" xfId="148"/>
    <cellStyle name="Comma 6" xfId="149"/>
    <cellStyle name="Comma 7" xfId="150"/>
    <cellStyle name="Comma 8" xfId="151"/>
    <cellStyle name="Comma 9" xfId="446"/>
    <cellStyle name="Currency" xfId="1" builtinId="4"/>
    <cellStyle name="Currency 2" xfId="17"/>
    <cellStyle name="Currency 2 2" xfId="152"/>
    <cellStyle name="Currency 2 2 2" xfId="153"/>
    <cellStyle name="Currency 2 2 3" xfId="154"/>
    <cellStyle name="Currency 2 3" xfId="155"/>
    <cellStyle name="Currency 2 4" xfId="156"/>
    <cellStyle name="Currency 2 5" xfId="157"/>
    <cellStyle name="Currency 3" xfId="18"/>
    <cellStyle name="Currency 3 2" xfId="158"/>
    <cellStyle name="Currency 3 2 2" xfId="159"/>
    <cellStyle name="Currency 3 2 3" xfId="160"/>
    <cellStyle name="Currency 3 3" xfId="161"/>
    <cellStyle name="Currency 3 4" xfId="162"/>
    <cellStyle name="Currency 3 5" xfId="447"/>
    <cellStyle name="Currency 4" xfId="19"/>
    <cellStyle name="Currency 4 2" xfId="448"/>
    <cellStyle name="Currency 4 3" xfId="449"/>
    <cellStyle name="Currency 5" xfId="163"/>
    <cellStyle name="Currency 5 2" xfId="164"/>
    <cellStyle name="Currency 5 2 2" xfId="165"/>
    <cellStyle name="Currency 5 3" xfId="166"/>
    <cellStyle name="Currency 6" xfId="167"/>
    <cellStyle name="Currency 6 2" xfId="168"/>
    <cellStyle name="Currency 7" xfId="169"/>
    <cellStyle name="Currency 7 2" xfId="170"/>
    <cellStyle name="Currency 8" xfId="171"/>
    <cellStyle name="Data Field" xfId="4"/>
    <cellStyle name="Data Field 2" xfId="172"/>
    <cellStyle name="Data Field 2 2" xfId="173"/>
    <cellStyle name="Data Field 2 3" xfId="174"/>
    <cellStyle name="Data Field 3" xfId="175"/>
    <cellStyle name="Data Field 4" xfId="176"/>
    <cellStyle name="Data Field 5" xfId="450"/>
    <cellStyle name="Data Name" xfId="5"/>
    <cellStyle name="Data Name 2" xfId="20"/>
    <cellStyle name="Data Name 2 2" xfId="451"/>
    <cellStyle name="Data Name 3" xfId="452"/>
    <cellStyle name="Data Name 4" xfId="453"/>
    <cellStyle name="Date/Time" xfId="6"/>
    <cellStyle name="Emphasis 1" xfId="177"/>
    <cellStyle name="Emphasis 2" xfId="178"/>
    <cellStyle name="Emphasis 3" xfId="179"/>
    <cellStyle name="Explanatory Text 2" xfId="180"/>
    <cellStyle name="Explanatory Text 3" xfId="181"/>
    <cellStyle name="Good 2" xfId="182"/>
    <cellStyle name="Good 3" xfId="183"/>
    <cellStyle name="Heading" xfId="7"/>
    <cellStyle name="Heading 1 2" xfId="184"/>
    <cellStyle name="Heading 1 2 2" xfId="185"/>
    <cellStyle name="Heading 1 3" xfId="186"/>
    <cellStyle name="Heading 2 2" xfId="21"/>
    <cellStyle name="Heading 2 3" xfId="22"/>
    <cellStyle name="Heading 3 2" xfId="187"/>
    <cellStyle name="Heading 3 2 2" xfId="188"/>
    <cellStyle name="Heading 3 3" xfId="189"/>
    <cellStyle name="Heading 4 2" xfId="190"/>
    <cellStyle name="Heading 4 2 2" xfId="191"/>
    <cellStyle name="Heading 4 3" xfId="192"/>
    <cellStyle name="Hyperlink 2" xfId="23"/>
    <cellStyle name="Hyperlink 2 2" xfId="24"/>
    <cellStyle name="Hyperlink 2 2 2" xfId="193"/>
    <cellStyle name="Hyperlink 2 3" xfId="454"/>
    <cellStyle name="Hyperlink 2_ResWXMF_FY10v2_0" xfId="194"/>
    <cellStyle name="Hyperlink 3" xfId="195"/>
    <cellStyle name="Hyperlink 3 2" xfId="196"/>
    <cellStyle name="Hyperlink 3 2 2" xfId="197"/>
    <cellStyle name="Hyperlink 4" xfId="198"/>
    <cellStyle name="Hyperlink 5" xfId="199"/>
    <cellStyle name="Hyperlink 6" xfId="200"/>
    <cellStyle name="Hyperlink 7" xfId="201"/>
    <cellStyle name="Hyperlink 8" xfId="202"/>
    <cellStyle name="Input 2" xfId="203"/>
    <cellStyle name="Input 3" xfId="204"/>
    <cellStyle name="Linked Cell 2" xfId="205"/>
    <cellStyle name="Linked Cell 3" xfId="206"/>
    <cellStyle name="Neutral 2" xfId="207"/>
    <cellStyle name="Neutral 3" xfId="208"/>
    <cellStyle name="Normal" xfId="0" builtinId="0"/>
    <cellStyle name="Normal 10" xfId="209"/>
    <cellStyle name="Normal 10 2" xfId="210"/>
    <cellStyle name="Normal 11" xfId="211"/>
    <cellStyle name="Normal 11 2" xfId="455"/>
    <cellStyle name="Normal 12" xfId="212"/>
    <cellStyle name="Normal 12 2" xfId="456"/>
    <cellStyle name="Normal 13" xfId="213"/>
    <cellStyle name="Normal 13 2" xfId="214"/>
    <cellStyle name="Normal 13 3" xfId="215"/>
    <cellStyle name="Normal 14" xfId="216"/>
    <cellStyle name="Normal 14 2" xfId="217"/>
    <cellStyle name="Normal 14 2 2" xfId="218"/>
    <cellStyle name="Normal 14 3" xfId="219"/>
    <cellStyle name="Normal 14 3 2" xfId="220"/>
    <cellStyle name="Normal 14 4" xfId="221"/>
    <cellStyle name="Normal 14 5" xfId="457"/>
    <cellStyle name="Normal 15" xfId="222"/>
    <cellStyle name="Normal 15 2" xfId="223"/>
    <cellStyle name="Normal 15 2 2" xfId="224"/>
    <cellStyle name="Normal 15 3" xfId="225"/>
    <cellStyle name="Normal 15 4" xfId="226"/>
    <cellStyle name="Normal 15 5" xfId="458"/>
    <cellStyle name="Normal 16" xfId="227"/>
    <cellStyle name="Normal 16 2" xfId="228"/>
    <cellStyle name="Normal 16 3" xfId="229"/>
    <cellStyle name="Normal 16 4" xfId="459"/>
    <cellStyle name="Normal 17" xfId="230"/>
    <cellStyle name="Normal 17 2" xfId="231"/>
    <cellStyle name="Normal 18" xfId="232"/>
    <cellStyle name="Normal 19" xfId="233"/>
    <cellStyle name="Normal 2" xfId="9"/>
    <cellStyle name="Normal 2 10" xfId="460"/>
    <cellStyle name="Normal 2 11" xfId="461"/>
    <cellStyle name="Normal 2 12" xfId="462"/>
    <cellStyle name="Normal 2 2" xfId="12"/>
    <cellStyle name="Normal 2 2 2" xfId="234"/>
    <cellStyle name="Normal 2 2 2 2" xfId="235"/>
    <cellStyle name="Normal 2 2 2 3" xfId="236"/>
    <cellStyle name="Normal 2 2 3" xfId="237"/>
    <cellStyle name="Normal 2 2 3 2" xfId="238"/>
    <cellStyle name="Normal 2 2 3 3" xfId="239"/>
    <cellStyle name="Normal 2 2 4" xfId="240"/>
    <cellStyle name="Normal 2 2 4 2" xfId="463"/>
    <cellStyle name="Normal 2 2 5" xfId="464"/>
    <cellStyle name="Normal 2 2 6" xfId="465"/>
    <cellStyle name="Normal 2 3" xfId="25"/>
    <cellStyle name="Normal 2 3 2" xfId="241"/>
    <cellStyle name="Normal 2 3 2 2" xfId="242"/>
    <cellStyle name="Normal 2 3 2 2 2" xfId="243"/>
    <cellStyle name="Normal 2 3 2 3" xfId="466"/>
    <cellStyle name="Normal 2 3 3" xfId="244"/>
    <cellStyle name="Normal 2 3 3 2" xfId="245"/>
    <cellStyle name="Normal 2 3 4" xfId="467"/>
    <cellStyle name="Normal 2 4" xfId="246"/>
    <cellStyle name="Normal 2 4 2" xfId="247"/>
    <cellStyle name="Normal 2 4 2 2" xfId="248"/>
    <cellStyle name="Normal 2 4 2 3" xfId="249"/>
    <cellStyle name="Normal 2 4 2 4" xfId="250"/>
    <cellStyle name="Normal 2 4 3" xfId="251"/>
    <cellStyle name="Normal 2 5" xfId="252"/>
    <cellStyle name="Normal 2 5 2" xfId="468"/>
    <cellStyle name="Normal 2 6" xfId="253"/>
    <cellStyle name="Normal 2 6 2" xfId="254"/>
    <cellStyle name="Normal 2 6 2 2" xfId="255"/>
    <cellStyle name="Normal 2 6 2 3" xfId="256"/>
    <cellStyle name="Normal 2 6 3" xfId="257"/>
    <cellStyle name="Normal 2 6 3 2" xfId="258"/>
    <cellStyle name="Normal 2 6 4" xfId="259"/>
    <cellStyle name="Normal 2 6 4 2" xfId="260"/>
    <cellStyle name="Normal 2 6 5" xfId="261"/>
    <cellStyle name="Normal 2 6 6" xfId="262"/>
    <cellStyle name="Normal 2 7" xfId="263"/>
    <cellStyle name="Normal 2 7 2" xfId="264"/>
    <cellStyle name="Normal 2 7 2 2" xfId="265"/>
    <cellStyle name="Normal 2 7 3" xfId="266"/>
    <cellStyle name="Normal 2 8" xfId="267"/>
    <cellStyle name="Normal 2 8 2" xfId="469"/>
    <cellStyle name="Normal 2 9" xfId="268"/>
    <cellStyle name="Normal 2 9 2" xfId="470"/>
    <cellStyle name="Normal 2_EStarLighting_ExistingFY10v1_5_CWv1" xfId="26"/>
    <cellStyle name="Normal 20" xfId="269"/>
    <cellStyle name="Normal 21" xfId="270"/>
    <cellStyle name="Normal 22" xfId="271"/>
    <cellStyle name="Normal 23" xfId="272"/>
    <cellStyle name="Normal 24" xfId="273"/>
    <cellStyle name="Normal 25" xfId="274"/>
    <cellStyle name="Normal 26" xfId="275"/>
    <cellStyle name="Normal 27" xfId="276"/>
    <cellStyle name="Normal 28" xfId="277"/>
    <cellStyle name="Normal 29" xfId="278"/>
    <cellStyle name="Normal 3" xfId="13"/>
    <cellStyle name="Normal 3 2" xfId="27"/>
    <cellStyle name="Normal 3 2 2" xfId="279"/>
    <cellStyle name="Normal 3 2 3" xfId="280"/>
    <cellStyle name="Normal 3 3" xfId="281"/>
    <cellStyle name="Normal 3 3 2" xfId="282"/>
    <cellStyle name="Normal 3 3 2 2" xfId="283"/>
    <cellStyle name="Normal 3 4" xfId="284"/>
    <cellStyle name="Normal 3 4 2" xfId="471"/>
    <cellStyle name="Normal 3 5" xfId="472"/>
    <cellStyle name="Normal 3 66" xfId="285"/>
    <cellStyle name="Normal 30" xfId="286"/>
    <cellStyle name="Normal 31" xfId="287"/>
    <cellStyle name="Normal 32" xfId="288"/>
    <cellStyle name="Normal 33" xfId="289"/>
    <cellStyle name="Normal 34" xfId="290"/>
    <cellStyle name="Normal 35" xfId="291"/>
    <cellStyle name="Normal 36" xfId="292"/>
    <cellStyle name="Normal 37" xfId="293"/>
    <cellStyle name="Normal 38" xfId="294"/>
    <cellStyle name="Normal 39" xfId="295"/>
    <cellStyle name="Normal 4" xfId="14"/>
    <cellStyle name="Normal 4 2" xfId="28"/>
    <cellStyle name="Normal 4 2 2" xfId="473"/>
    <cellStyle name="Normal 4 3" xfId="296"/>
    <cellStyle name="Normal 4 3 2" xfId="297"/>
    <cellStyle name="Normal 4 3 2 2" xfId="298"/>
    <cellStyle name="Normal 4 3 2 3" xfId="299"/>
    <cellStyle name="Normal 4 3 3" xfId="300"/>
    <cellStyle name="Normal 4 3 4" xfId="474"/>
    <cellStyle name="Normal 4 4" xfId="301"/>
    <cellStyle name="Normal 4 4 2" xfId="302"/>
    <cellStyle name="Normal 4 4 3" xfId="303"/>
    <cellStyle name="Normal 4 5" xfId="304"/>
    <cellStyle name="Normal 4 5 2" xfId="305"/>
    <cellStyle name="Normal 4 5 3" xfId="306"/>
    <cellStyle name="Normal 4 6" xfId="307"/>
    <cellStyle name="Normal 4 7" xfId="308"/>
    <cellStyle name="Normal 4 8" xfId="475"/>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8 2" xfId="318"/>
    <cellStyle name="Normal 49" xfId="319"/>
    <cellStyle name="Normal 5" xfId="320"/>
    <cellStyle name="Normal 5 2" xfId="321"/>
    <cellStyle name="Normal 5 2 2" xfId="476"/>
    <cellStyle name="Normal 5 3" xfId="477"/>
    <cellStyle name="Normal 5 3 2" xfId="478"/>
    <cellStyle name="Normal 5 4" xfId="479"/>
    <cellStyle name="Normal 5 4 2" xfId="480"/>
    <cellStyle name="Normal 5 5" xfId="481"/>
    <cellStyle name="Normal 5 5 2" xfId="482"/>
    <cellStyle name="Normal 5 6" xfId="483"/>
    <cellStyle name="Normal 5 6 2" xfId="484"/>
    <cellStyle name="Normal 5 7" xfId="485"/>
    <cellStyle name="Normal 50" xfId="322"/>
    <cellStyle name="Normal 51" xfId="486"/>
    <cellStyle name="Normal 6" xfId="323"/>
    <cellStyle name="Normal 6 2" xfId="487"/>
    <cellStyle name="Normal 6 3" xfId="488"/>
    <cellStyle name="Normal 6 4" xfId="489"/>
    <cellStyle name="Normal 6 5" xfId="490"/>
    <cellStyle name="Normal 7" xfId="324"/>
    <cellStyle name="Normal 7 2" xfId="325"/>
    <cellStyle name="Normal 7 2 2" xfId="491"/>
    <cellStyle name="Normal 7 3" xfId="492"/>
    <cellStyle name="Normal 8" xfId="326"/>
    <cellStyle name="Normal 8 2" xfId="327"/>
    <cellStyle name="Normal 8 2 2" xfId="493"/>
    <cellStyle name="Normal 8 3" xfId="494"/>
    <cellStyle name="Normal 9" xfId="328"/>
    <cellStyle name="Normal 9 2" xfId="329"/>
    <cellStyle name="Normal 9 3" xfId="330"/>
    <cellStyle name="Normal_Costs and Savings" xfId="370"/>
    <cellStyle name="Normal_GeoHP" xfId="369"/>
    <cellStyle name="Normal_GMI_LargeMotorsSavings_RTF" xfId="372"/>
    <cellStyle name="Normal_MTDUCT" xfId="2"/>
    <cellStyle name="Normal_MTRESAPPLPOT" xfId="36"/>
    <cellStyle name="Normal_PC-LPDPackage-6P-D14" xfId="35"/>
    <cellStyle name="Normal_PremiumMotorsRev-Rev05" xfId="371"/>
    <cellStyle name="Normal_ProCostFinAssumptions_Sector" xfId="3"/>
    <cellStyle name="Normal_ResDHW_2_0gpmShowerheads_FY07v1_0" xfId="15"/>
    <cellStyle name="Note 2" xfId="29"/>
    <cellStyle name="Note 2 2" xfId="331"/>
    <cellStyle name="Note 2 2 2" xfId="495"/>
    <cellStyle name="Note 2 3" xfId="496"/>
    <cellStyle name="Note 2 3 2" xfId="497"/>
    <cellStyle name="Note 2 4" xfId="498"/>
    <cellStyle name="Note 2 4 2" xfId="499"/>
    <cellStyle name="Note 2 5" xfId="500"/>
    <cellStyle name="Note 3" xfId="30"/>
    <cellStyle name="Output 2" xfId="332"/>
    <cellStyle name="Output 2 2" xfId="333"/>
    <cellStyle name="Output 3" xfId="334"/>
    <cellStyle name="Percent" xfId="8" builtinId="5"/>
    <cellStyle name="Percent 2" xfId="31"/>
    <cellStyle name="Percent 2 10" xfId="501"/>
    <cellStyle name="Percent 2 2" xfId="32"/>
    <cellStyle name="Percent 2 2 2" xfId="335"/>
    <cellStyle name="Percent 2 2 2 2" xfId="336"/>
    <cellStyle name="Percent 2 2 2 2 2" xfId="502"/>
    <cellStyle name="Percent 2 2 2 3" xfId="337"/>
    <cellStyle name="Percent 2 2 3" xfId="338"/>
    <cellStyle name="Percent 2 2 4" xfId="339"/>
    <cellStyle name="Percent 2 3" xfId="340"/>
    <cellStyle name="Percent 2 3 2" xfId="341"/>
    <cellStyle name="Percent 2 3 2 2" xfId="503"/>
    <cellStyle name="Percent 2 3 2 2 2" xfId="504"/>
    <cellStyle name="Percent 2 3 2 3" xfId="505"/>
    <cellStyle name="Percent 2 3 2 3 2" xfId="506"/>
    <cellStyle name="Percent 2 3 2 4" xfId="507"/>
    <cellStyle name="Percent 2 3 2 4 2" xfId="508"/>
    <cellStyle name="Percent 2 3 2 5" xfId="509"/>
    <cellStyle name="Percent 2 3 2 6" xfId="510"/>
    <cellStyle name="Percent 2 3 3" xfId="342"/>
    <cellStyle name="Percent 2 4" xfId="511"/>
    <cellStyle name="Percent 2 4 2" xfId="512"/>
    <cellStyle name="Percent 2 4 3" xfId="513"/>
    <cellStyle name="Percent 2 5" xfId="514"/>
    <cellStyle name="Percent 2 5 2" xfId="515"/>
    <cellStyle name="Percent 2 6" xfId="516"/>
    <cellStyle name="Percent 2 6 2" xfId="517"/>
    <cellStyle name="Percent 2 7" xfId="518"/>
    <cellStyle name="Percent 2 7 2" xfId="519"/>
    <cellStyle name="Percent 2 8" xfId="520"/>
    <cellStyle name="Percent 2 9" xfId="521"/>
    <cellStyle name="Percent 3" xfId="10"/>
    <cellStyle name="Percent 3 2" xfId="343"/>
    <cellStyle name="Percent 3 2 2" xfId="344"/>
    <cellStyle name="Percent 3 2 2 2" xfId="522"/>
    <cellStyle name="Percent 3 2 3" xfId="345"/>
    <cellStyle name="Percent 3 2 3 2" xfId="523"/>
    <cellStyle name="Percent 3 2 4" xfId="524"/>
    <cellStyle name="Percent 3 2 4 2" xfId="525"/>
    <cellStyle name="Percent 3 2 5" xfId="526"/>
    <cellStyle name="Percent 3 2 5 2" xfId="527"/>
    <cellStyle name="Percent 3 2 6" xfId="528"/>
    <cellStyle name="Percent 3 2 7" xfId="529"/>
    <cellStyle name="Percent 3 2 8" xfId="530"/>
    <cellStyle name="Percent 3 3" xfId="346"/>
    <cellStyle name="Percent 3 4" xfId="347"/>
    <cellStyle name="Percent 3 5" xfId="531"/>
    <cellStyle name="Percent 4" xfId="348"/>
    <cellStyle name="Percent 4 2" xfId="349"/>
    <cellStyle name="Percent 4 2 2" xfId="532"/>
    <cellStyle name="Percent 4 3" xfId="533"/>
    <cellStyle name="Percent 5" xfId="350"/>
    <cellStyle name="Percent 5 2" xfId="534"/>
    <cellStyle name="Percent 6" xfId="351"/>
    <cellStyle name="Percent 6 2" xfId="352"/>
    <cellStyle name="Percent 7" xfId="353"/>
    <cellStyle name="Percent 8" xfId="354"/>
    <cellStyle name="Percent 9" xfId="535"/>
    <cellStyle name="Sheet Title" xfId="355"/>
    <cellStyle name="Style 1" xfId="356"/>
    <cellStyle name="Style 1 2" xfId="357"/>
    <cellStyle name="Style 28" xfId="358"/>
    <cellStyle name="Title 2" xfId="359"/>
    <cellStyle name="Title 2 2" xfId="360"/>
    <cellStyle name="Title 3" xfId="361"/>
    <cellStyle name="Total 2" xfId="362"/>
    <cellStyle name="Total 2 2" xfId="363"/>
    <cellStyle name="Total 3" xfId="364"/>
    <cellStyle name="Warning Text 2" xfId="365"/>
    <cellStyle name="Warning Text 3" xfId="366"/>
    <cellStyle name="표준 2_WP-1 보고자료 (2009.06.03)" xfId="367"/>
    <cellStyle name="표준_ENERGY CONSUMP" xfId="33"/>
    <cellStyle name="常规_海外市场服务网站资料操作BOM" xfId="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3</xdr:col>
      <xdr:colOff>342899</xdr:colOff>
      <xdr:row>1</xdr:row>
      <xdr:rowOff>171450</xdr:rowOff>
    </xdr:from>
    <xdr:ext cx="3152776" cy="1371599"/>
    <xdr:sp macro="" textlink="">
      <xdr:nvSpPr>
        <xdr:cNvPr id="2" name="TextBox 1"/>
        <xdr:cNvSpPr txBox="1"/>
      </xdr:nvSpPr>
      <xdr:spPr>
        <a:xfrm>
          <a:off x="2857499" y="342900"/>
          <a:ext cx="3152776" cy="137159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t>Savings are based on two data sources: 1) Motor Master Manual (pg 31: 40 hp and less = 1.0%, greater than 40 hp = 0.5%); and 2) "The Effect of Repair/Rewinding on Motor Efficiency", EASA/AEMT (pp. 1-5: 6 motors in the 100-150 hp range rewound without controls lost 0.6% efficiency) From RTF Meeting presentation, July 7, 2009.</a:t>
          </a:r>
        </a:p>
      </xdr:txBody>
    </xdr:sp>
    <xdr:clientData/>
  </xdr:oneCellAnchor>
  <xdr:twoCellAnchor>
    <xdr:from>
      <xdr:col>1</xdr:col>
      <xdr:colOff>514350</xdr:colOff>
      <xdr:row>2</xdr:row>
      <xdr:rowOff>104775</xdr:rowOff>
    </xdr:from>
    <xdr:to>
      <xdr:col>3</xdr:col>
      <xdr:colOff>428625</xdr:colOff>
      <xdr:row>2</xdr:row>
      <xdr:rowOff>123825</xdr:rowOff>
    </xdr:to>
    <xdr:cxnSp macro="">
      <xdr:nvCxnSpPr>
        <xdr:cNvPr id="3" name="Straight Arrow Connector 2"/>
        <xdr:cNvCxnSpPr/>
      </xdr:nvCxnSpPr>
      <xdr:spPr bwMode="auto">
        <a:xfrm flipH="1">
          <a:off x="1638300" y="933450"/>
          <a:ext cx="1304925" cy="1905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571500</xdr:colOff>
      <xdr:row>6</xdr:row>
      <xdr:rowOff>28575</xdr:rowOff>
    </xdr:from>
    <xdr:to>
      <xdr:col>24</xdr:col>
      <xdr:colOff>295275</xdr:colOff>
      <xdr:row>40</xdr:row>
      <xdr:rowOff>123825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0096500" y="1000125"/>
          <a:ext cx="5038725" cy="5991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0</xdr:row>
      <xdr:rowOff>57150</xdr:rowOff>
    </xdr:from>
    <xdr:to>
      <xdr:col>15</xdr:col>
      <xdr:colOff>285750</xdr:colOff>
      <xdr:row>17</xdr:row>
      <xdr:rowOff>57150</xdr:rowOff>
    </xdr:to>
    <xdr:grpSp>
      <xdr:nvGrpSpPr>
        <xdr:cNvPr id="2" name="Group 1"/>
        <xdr:cNvGrpSpPr>
          <a:grpSpLocks/>
        </xdr:cNvGrpSpPr>
      </xdr:nvGrpSpPr>
      <xdr:grpSpPr bwMode="auto">
        <a:xfrm>
          <a:off x="4495800" y="57150"/>
          <a:ext cx="4962525" cy="2752725"/>
          <a:chOff x="434" y="488"/>
          <a:chExt cx="537" cy="326"/>
        </a:xfrm>
      </xdr:grpSpPr>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34" y="488"/>
            <a:ext cx="537" cy="326"/>
          </a:xfrm>
          <a:prstGeom prst="rect">
            <a:avLst/>
          </a:prstGeom>
          <a:solidFill>
            <a:srgbClr val="FFFFFF"/>
          </a:solidFill>
          <a:ln>
            <a:noFill/>
          </a:ln>
          <a:extLst>
            <a:ext uri="{91240B29-F687-4F45-9708-019B960494DF}">
              <a14:hiddenLine xmlns=""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445" y="500"/>
            <a:ext cx="200" cy="18"/>
          </a:xfrm>
          <a:prstGeom prst="rect">
            <a:avLst/>
          </a:prstGeom>
          <a:solidFill>
            <a:srgbClr val="FFFFFF"/>
          </a:solidFill>
          <a:ln w="9525">
            <a:solidFill>
              <a:srgbClr val="000000"/>
            </a:solidFill>
            <a:miter lim="800000"/>
            <a:headEnd/>
            <a:tailEnd/>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From RTF Presentation 07-17-07</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Res/Res-MH%20Wx%20Inputs%20-%207P_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g_Mast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venthPlan/Conservation%20Analysis/Res/Res_Mas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TF/Measure%20Workbooks/Ag/AgGreenMotorRewind_v2_0.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Com Forecast (Base Case)"/>
      <sheetName val="Ind Forecast (Base Case)"/>
      <sheetName val="Ag Forecast (Base Case)"/>
      <sheetName val="DEI (Base Case)"/>
      <sheetName val="Pop Forecast (High Case)"/>
      <sheetName val="Pop Forecast (Low Case)"/>
      <sheetName val="7P Forecasts D2"/>
      <sheetName val="ProCost 6th Plan Inputs"/>
    </sheetNames>
    <sheetDataSet>
      <sheetData sheetId="0"/>
      <sheetData sheetId="1"/>
      <sheetData sheetId="2">
        <row r="12">
          <cell r="AK12">
            <v>2016</v>
          </cell>
        </row>
      </sheetData>
      <sheetData sheetId="3"/>
      <sheetData sheetId="4"/>
      <sheetData sheetId="5">
        <row r="26">
          <cell r="C26" t="str">
            <v>Idaho</v>
          </cell>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v>1.2504100211369894E-4</v>
          </cell>
          <cell r="AK26">
            <v>1.7375879514796466E-4</v>
          </cell>
          <cell r="AL26">
            <v>6.1210927779177624E-4</v>
          </cell>
          <cell r="AM26">
            <v>8.8127487458086599E-4</v>
          </cell>
          <cell r="AN26">
            <v>1.1201972174019578E-3</v>
          </cell>
          <cell r="AO26">
            <v>1.2717867360821197E-3</v>
          </cell>
          <cell r="AP26">
            <v>1.4404642508513471E-3</v>
          </cell>
          <cell r="AQ26">
            <v>1.5874396385228723E-3</v>
          </cell>
          <cell r="AR26">
            <v>1.7204636459112381E-3</v>
          </cell>
          <cell r="AS26">
            <v>1.8289050040785739E-3</v>
          </cell>
          <cell r="AT26">
            <v>1.9377539743383628E-3</v>
          </cell>
          <cell r="AU26">
            <v>2.0316119038316116E-3</v>
          </cell>
          <cell r="AV26">
            <v>2.128079506222659E-3</v>
          </cell>
          <cell r="AW26">
            <v>2.2126572758413075E-3</v>
          </cell>
          <cell r="AX26">
            <v>2.2578225416429688E-3</v>
          </cell>
          <cell r="AY26">
            <v>2.3464540176612314E-3</v>
          </cell>
          <cell r="AZ26">
            <v>2.414467009038601E-3</v>
          </cell>
          <cell r="BA26">
            <v>2.4848313911262653E-3</v>
          </cell>
          <cell r="BB26">
            <v>2.5344116000376449E-3</v>
          </cell>
        </row>
        <row r="27">
          <cell r="C27" t="str">
            <v>Montana</v>
          </cell>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v>1.0848242299839954E-2</v>
          </cell>
          <cell r="AK27">
            <v>1.059267655252486E-2</v>
          </cell>
          <cell r="AL27">
            <v>1.0752312089181865E-2</v>
          </cell>
          <cell r="AM27">
            <v>1.075849831916186E-2</v>
          </cell>
          <cell r="AN27">
            <v>7.6567396067742733E-3</v>
          </cell>
          <cell r="AO27">
            <v>7.6532068711881581E-3</v>
          </cell>
          <cell r="AP27">
            <v>7.9235679867256659E-3</v>
          </cell>
          <cell r="AQ27">
            <v>8.1459053842477987E-3</v>
          </cell>
          <cell r="AR27">
            <v>8.331284422267278E-3</v>
          </cell>
          <cell r="AS27">
            <v>8.47135846405455E-3</v>
          </cell>
          <cell r="AT27">
            <v>8.5938864965773454E-3</v>
          </cell>
          <cell r="AU27">
            <v>8.6866032784890905E-3</v>
          </cell>
          <cell r="AV27">
            <v>8.7680800681235963E-3</v>
          </cell>
          <cell r="AW27">
            <v>8.8271867856936984E-3</v>
          </cell>
          <cell r="AX27">
            <v>8.8355566433926322E-3</v>
          </cell>
          <cell r="AY27">
            <v>8.8812025924713319E-3</v>
          </cell>
          <cell r="AZ27">
            <v>8.8979055290069331E-3</v>
          </cell>
          <cell r="BA27">
            <v>8.9118787925779024E-3</v>
          </cell>
          <cell r="BB27">
            <v>8.9015256915168112E-3</v>
          </cell>
        </row>
        <row r="28">
          <cell r="C28" t="str">
            <v>Oregon</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v>1.0110842680911804E-2</v>
          </cell>
          <cell r="AK28">
            <v>1.0059217505089263E-2</v>
          </cell>
          <cell r="AL28">
            <v>1.1176866051223918E-2</v>
          </cell>
          <cell r="AM28">
            <v>1.9803102619340613E-2</v>
          </cell>
          <cell r="AN28">
            <v>1.2078828157499845E-2</v>
          </cell>
          <cell r="AO28">
            <v>1.2074917420983849E-2</v>
          </cell>
          <cell r="AP28">
            <v>1.2823009061012478E-2</v>
          </cell>
          <cell r="AQ28">
            <v>1.2064646132519813E-2</v>
          </cell>
          <cell r="AR28">
            <v>2.1359830411811859E-2</v>
          </cell>
          <cell r="AS28">
            <v>1.1864279678250279E-2</v>
          </cell>
          <cell r="AT28">
            <v>1.1811806122028052E-2</v>
          </cell>
          <cell r="AU28">
            <v>1.1060463245174785E-2</v>
          </cell>
          <cell r="AV28">
            <v>1.1689201211084101E-2</v>
          </cell>
          <cell r="AW28">
            <v>1.9623204602959039E-2</v>
          </cell>
          <cell r="AX28">
            <v>1.2054155221857031E-2</v>
          </cell>
          <cell r="AY28">
            <v>1.2615728823653952E-2</v>
          </cell>
          <cell r="AZ28">
            <v>1.2496481187089379E-2</v>
          </cell>
          <cell r="BA28">
            <v>1.1753415892541448E-2</v>
          </cell>
          <cell r="BB28">
            <v>2.0946064887122692E-2</v>
          </cell>
        </row>
        <row r="29">
          <cell r="C29" t="str">
            <v>Washington</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v>1.0662122206220235E-2</v>
          </cell>
          <cell r="AK29">
            <v>1.0931258902780325E-2</v>
          </cell>
          <cell r="AL29">
            <v>1.1173761515183053E-2</v>
          </cell>
          <cell r="AM29">
            <v>1.811439906784525E-2</v>
          </cell>
          <cell r="AN29">
            <v>1.2399989211989764E-2</v>
          </cell>
          <cell r="AO29">
            <v>1.1939862954954953E-2</v>
          </cell>
          <cell r="AP29">
            <v>1.2288284859874222E-2</v>
          </cell>
          <cell r="AQ29">
            <v>1.1842226253476947E-2</v>
          </cell>
          <cell r="AR29">
            <v>1.9682157833762929E-2</v>
          </cell>
          <cell r="AS29">
            <v>1.1592234987503456E-2</v>
          </cell>
          <cell r="AT29">
            <v>1.1147844023716795E-2</v>
          </cell>
          <cell r="AU29">
            <v>1.1425985017752077E-2</v>
          </cell>
          <cell r="AV29">
            <v>1.0985810035676221E-2</v>
          </cell>
          <cell r="AW29">
            <v>1.7930228386922677E-2</v>
          </cell>
          <cell r="AX29">
            <v>1.1736355426763144E-2</v>
          </cell>
          <cell r="AY29">
            <v>1.1982095590114178E-2</v>
          </cell>
          <cell r="AZ29">
            <v>1.1862624139313738E-2</v>
          </cell>
          <cell r="BA29">
            <v>1.1418033334772959E-2</v>
          </cell>
          <cell r="BB29">
            <v>1.8838157687553127E-2</v>
          </cell>
        </row>
      </sheetData>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7PSourceSummary"/>
      <sheetName val="forRPM"/>
      <sheetName val="SC-Retro"/>
      <sheetName val="Applicability"/>
      <sheetName val="M_Input_Out"/>
      <sheetName val="M_Input"/>
      <sheetName val="Segmented"/>
      <sheetName val="Weighting"/>
      <sheetName val="Composite"/>
      <sheetName val="Raw RTF"/>
      <sheetName val="MHshell"/>
      <sheetName val="RBSA Weights"/>
      <sheetName val="Achievements"/>
      <sheetName val="SEEM Results"/>
      <sheetName val="SEEMsavings"/>
      <sheetName val="Costs"/>
      <sheetName val="ETO SF Insulation Cost Data"/>
      <sheetName val="ETO MF Window Cost"/>
    </sheetNames>
    <sheetDataSet>
      <sheetData sheetId="0"/>
      <sheetData sheetId="1"/>
      <sheetData sheetId="2">
        <row r="176">
          <cell r="Y176">
            <v>16.804190100037367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982">
          <cell r="F3982">
            <v>1.0780000000000001</v>
          </cell>
        </row>
      </sheetData>
      <sheetData sheetId="1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Water Applied by Crop"/>
      <sheetName val="Water Use by Sprinklers"/>
      <sheetName val="Energy Expense"/>
      <sheetName val="Depth of Wells"/>
      <sheetName val="Water Use by All Methods"/>
      <sheetName val="Applic Acres"/>
      <sheetName val="Vars"/>
      <sheetName val="Labels"/>
      <sheetName val="Lookup"/>
      <sheetName val="UEC"/>
      <sheetName val="Tracking Status"/>
    </sheetNames>
    <sheetDataSet>
      <sheetData sheetId="0"/>
      <sheetData sheetId="1"/>
      <sheetData sheetId="2"/>
      <sheetData sheetId="3"/>
      <sheetData sheetId="4">
        <row r="8">
          <cell r="B8" t="str">
            <v>Measure Index Name</v>
          </cell>
          <cell r="C8" t="str">
            <v>Idaho</v>
          </cell>
          <cell r="D8" t="str">
            <v>Montana</v>
          </cell>
          <cell r="E8" t="str">
            <v>Oregon</v>
          </cell>
          <cell r="F8" t="str">
            <v>Washington</v>
          </cell>
        </row>
        <row r="9">
          <cell r="B9" t="str">
            <v xml:space="preserve">Wheel/hand line systems: Replace worn nozzle with new flow controlling type nozzle for impact sprinklers </v>
          </cell>
          <cell r="C9">
            <v>0.30000000000000004</v>
          </cell>
          <cell r="D9">
            <v>0.30000000000000004</v>
          </cell>
          <cell r="E9">
            <v>0.30000000000000004</v>
          </cell>
          <cell r="F9">
            <v>0.30000000000000004</v>
          </cell>
        </row>
        <row r="10">
          <cell r="B10" t="str">
            <v xml:space="preserve">Wheel/hand line systems: Replace worn nozzle with new nozzle </v>
          </cell>
          <cell r="C10">
            <v>0.30000000000000004</v>
          </cell>
          <cell r="D10">
            <v>0.30000000000000004</v>
          </cell>
          <cell r="E10">
            <v>0.30000000000000004</v>
          </cell>
          <cell r="F10">
            <v>0.30000000000000004</v>
          </cell>
        </row>
        <row r="11">
          <cell r="B11" t="str">
            <v xml:space="preserve">Wheel/hand line systems: Rebuild or replace leaking impact sprinkler with new or rebuilt impact sprinkler </v>
          </cell>
          <cell r="C11">
            <v>0.30000000000000004</v>
          </cell>
          <cell r="D11">
            <v>0.30000000000000004</v>
          </cell>
          <cell r="E11">
            <v>0.30000000000000004</v>
          </cell>
          <cell r="F11">
            <v>0.30000000000000004</v>
          </cell>
        </row>
        <row r="12">
          <cell r="B12" t="str">
            <v xml:space="preserve">Wheel/hand line systems: Replace leaking gasket with new gasket </v>
          </cell>
          <cell r="C12">
            <v>0.30000000000000004</v>
          </cell>
          <cell r="D12">
            <v>0.30000000000000004</v>
          </cell>
          <cell r="E12">
            <v>0.30000000000000004</v>
          </cell>
          <cell r="F12">
            <v>0.30000000000000004</v>
          </cell>
        </row>
        <row r="13">
          <cell r="B13" t="str">
            <v xml:space="preserve">Wheel/hand line systems: Replace leaking drain with new drain </v>
          </cell>
          <cell r="C13">
            <v>0.30000000000000004</v>
          </cell>
          <cell r="D13">
            <v>0.30000000000000004</v>
          </cell>
          <cell r="E13">
            <v>0.30000000000000004</v>
          </cell>
          <cell r="F13">
            <v>0.30000000000000004</v>
          </cell>
        </row>
        <row r="14">
          <cell r="B14" t="str">
            <v xml:space="preserve">Wheel/hand line systems: Cut and pipe press repair of leaking hand-lines, wheel-lines, and portable main-lines </v>
          </cell>
          <cell r="C14">
            <v>0.30000000000000004</v>
          </cell>
          <cell r="D14">
            <v>0.30000000000000004</v>
          </cell>
          <cell r="E14">
            <v>0.30000000000000004</v>
          </cell>
          <cell r="F14">
            <v>0.30000000000000004</v>
          </cell>
        </row>
        <row r="15">
          <cell r="B15" t="str">
            <v xml:space="preserve">Thunderbird wheel line systems: Replace leaking hub with new hub </v>
          </cell>
          <cell r="C15">
            <v>0.30000000000000004</v>
          </cell>
          <cell r="D15">
            <v>0.30000000000000004</v>
          </cell>
          <cell r="E15">
            <v>0.30000000000000004</v>
          </cell>
          <cell r="F15">
            <v>0.30000000000000004</v>
          </cell>
        </row>
        <row r="16">
          <cell r="B16" t="str">
            <v xml:space="preserve">Wheel line systems: Rebuild or replace leaking or malfunctioning leveler with new or rebuilt leveler. </v>
          </cell>
          <cell r="C16">
            <v>0.30000000000000004</v>
          </cell>
          <cell r="D16">
            <v>0.30000000000000004</v>
          </cell>
          <cell r="E16">
            <v>0.30000000000000004</v>
          </cell>
          <cell r="F16">
            <v>0.30000000000000004</v>
          </cell>
        </row>
        <row r="17">
          <cell r="B17" t="str">
            <v xml:space="preserve">Center pivot/linear move systems: Install new sprinkler package on an existing system. </v>
          </cell>
          <cell r="C17">
            <v>0.30000000000000004</v>
          </cell>
          <cell r="D17">
            <v>0.30000000000000004</v>
          </cell>
          <cell r="E17">
            <v>0.30000000000000004</v>
          </cell>
          <cell r="F17">
            <v>0.30000000000000004</v>
          </cell>
        </row>
        <row r="18">
          <cell r="B18" t="str">
            <v xml:space="preserve">Center pivot/linear move systems: New gooseneck elbows </v>
          </cell>
          <cell r="C18">
            <v>0.30000000000000004</v>
          </cell>
          <cell r="D18">
            <v>0.30000000000000004</v>
          </cell>
          <cell r="E18">
            <v>0.30000000000000004</v>
          </cell>
          <cell r="F18">
            <v>0.30000000000000004</v>
          </cell>
        </row>
        <row r="19">
          <cell r="B19" t="str">
            <v xml:space="preserve">Center pivot/linear move systems: New drop tubes (3 feet minimum) </v>
          </cell>
          <cell r="C19">
            <v>0.30000000000000004</v>
          </cell>
          <cell r="D19">
            <v>0.30000000000000004</v>
          </cell>
          <cell r="E19">
            <v>0.30000000000000004</v>
          </cell>
          <cell r="F19">
            <v>0.30000000000000004</v>
          </cell>
        </row>
        <row r="20">
          <cell r="B20" t="str">
            <v xml:space="preserve">Center pivot/linear move systems: Replace leaking pivot boot gasket with new pivot boot gasket </v>
          </cell>
          <cell r="C20">
            <v>0.30000000000000004</v>
          </cell>
          <cell r="D20">
            <v>0.30000000000000004</v>
          </cell>
          <cell r="E20">
            <v>0.30000000000000004</v>
          </cell>
          <cell r="F20">
            <v>0.30000000000000004</v>
          </cell>
        </row>
        <row r="21">
          <cell r="B21" t="str">
            <v xml:space="preserve">Center pivot/linear move systems: Replace leaking tower gasket with new tower gasket </v>
          </cell>
          <cell r="C21">
            <v>0.30000000000000004</v>
          </cell>
          <cell r="D21">
            <v>0.30000000000000004</v>
          </cell>
          <cell r="E21">
            <v>0.30000000000000004</v>
          </cell>
          <cell r="F21">
            <v>0.30000000000000004</v>
          </cell>
        </row>
        <row r="22">
          <cell r="B22" t="str">
            <v>Convert Medium Pressure Center Pivot to Low pressure system</v>
          </cell>
          <cell r="C22">
            <v>0.19500000000000003</v>
          </cell>
          <cell r="D22">
            <v>0.19500000000000003</v>
          </cell>
          <cell r="E22">
            <v>0.19500000000000003</v>
          </cell>
          <cell r="F22">
            <v>0.19500000000000003</v>
          </cell>
        </row>
        <row r="23">
          <cell r="B23" t="str">
            <v>Convert High Pressure Center Pivot to Low pressure system</v>
          </cell>
          <cell r="C23">
            <v>0.255</v>
          </cell>
          <cell r="D23">
            <v>0.255</v>
          </cell>
          <cell r="E23">
            <v>0.255</v>
          </cell>
          <cell r="F23">
            <v>0.255</v>
          </cell>
        </row>
        <row r="24">
          <cell r="B24" t="str">
            <v>Convert wheel line systems to low pressure systems on alfalfa acreage</v>
          </cell>
          <cell r="C24">
            <v>0.10500000000000001</v>
          </cell>
          <cell r="D24">
            <v>0.10500000000000001</v>
          </cell>
          <cell r="E24">
            <v>0.10500000000000001</v>
          </cell>
          <cell r="F24">
            <v>0.10500000000000001</v>
          </cell>
        </row>
        <row r="25">
          <cell r="B25" t="str">
            <v>Convert hand line systems to low pressure systems on alfalfa acreage</v>
          </cell>
          <cell r="C25">
            <v>0.10500000000000001</v>
          </cell>
          <cell r="D25">
            <v>0.10500000000000001</v>
          </cell>
          <cell r="E25">
            <v>0.10500000000000001</v>
          </cell>
          <cell r="F25">
            <v>0.10500000000000001</v>
          </cell>
        </row>
        <row r="26">
          <cell r="B26" t="str">
            <v>SIS</v>
          </cell>
          <cell r="C26">
            <v>0.85</v>
          </cell>
          <cell r="D26">
            <v>0.85</v>
          </cell>
          <cell r="E26">
            <v>0.85</v>
          </cell>
          <cell r="F26">
            <v>0.85</v>
          </cell>
        </row>
        <row r="27">
          <cell r="B27" t="str">
            <v>LESA</v>
          </cell>
          <cell r="C27">
            <v>0.29699999999999999</v>
          </cell>
          <cell r="D27">
            <v>0.29699999999999999</v>
          </cell>
          <cell r="E27">
            <v>0.29699999999999999</v>
          </cell>
          <cell r="F27">
            <v>0.29699999999999999</v>
          </cell>
        </row>
        <row r="28">
          <cell r="B28" t="str">
            <v>Motor Rewind</v>
          </cell>
          <cell r="C28">
            <v>0.48999999999999994</v>
          </cell>
          <cell r="D28">
            <v>0.48999999999999994</v>
          </cell>
          <cell r="E28">
            <v>0.48999999999999994</v>
          </cell>
          <cell r="F28">
            <v>0.48999999999999994</v>
          </cell>
        </row>
        <row r="29">
          <cell r="B29" t="str">
            <v>Install VSD on Irrigation Pump</v>
          </cell>
          <cell r="C29">
            <v>0.63</v>
          </cell>
          <cell r="D29">
            <v>0.63</v>
          </cell>
          <cell r="E29">
            <v>0.63</v>
          </cell>
          <cell r="F29">
            <v>0.63</v>
          </cell>
        </row>
        <row r="30">
          <cell r="B30" t="str">
            <v>VSD - Vacuum Pump - FreeStall</v>
          </cell>
          <cell r="C30">
            <v>2.5000000000000022E-3</v>
          </cell>
          <cell r="D30">
            <v>2.5000000000000022E-3</v>
          </cell>
          <cell r="E30">
            <v>2.5000000000000022E-3</v>
          </cell>
          <cell r="F30">
            <v>2.5000000000000022E-3</v>
          </cell>
        </row>
        <row r="31">
          <cell r="B31" t="str">
            <v>Plate Milk Pre-cooler - FreeStall</v>
          </cell>
          <cell r="C31">
            <v>4.7500000000000042E-2</v>
          </cell>
          <cell r="D31">
            <v>4.7500000000000042E-2</v>
          </cell>
          <cell r="E31">
            <v>4.7500000000000042E-2</v>
          </cell>
          <cell r="F31">
            <v>4.7500000000000042E-2</v>
          </cell>
        </row>
        <row r="32">
          <cell r="B32" t="str">
            <v>Energy Efficient Lighting - FreeStall</v>
          </cell>
          <cell r="C32">
            <v>0.22596247328595939</v>
          </cell>
          <cell r="D32">
            <v>0.22596247328595939</v>
          </cell>
          <cell r="E32">
            <v>0.22596247328595939</v>
          </cell>
          <cell r="F32">
            <v>0.22596247328595939</v>
          </cell>
        </row>
        <row r="33">
          <cell r="B33" t="str">
            <v>VSD - Vacuum Pump - TieStall</v>
          </cell>
          <cell r="C33">
            <v>0.1604247304551811</v>
          </cell>
          <cell r="D33">
            <v>0.1604247304551811</v>
          </cell>
          <cell r="E33">
            <v>0.1604247304551811</v>
          </cell>
          <cell r="F33">
            <v>0.1604247304551811</v>
          </cell>
        </row>
        <row r="34">
          <cell r="B34" t="str">
            <v>Heat Recovery Refrigeration - TieStall</v>
          </cell>
          <cell r="C34">
            <v>0.84147877475526689</v>
          </cell>
          <cell r="D34">
            <v>0.84147877475526689</v>
          </cell>
          <cell r="E34">
            <v>0.84147877475526689</v>
          </cell>
          <cell r="F34">
            <v>0.84147877475526689</v>
          </cell>
        </row>
        <row r="35">
          <cell r="B35" t="str">
            <v>Plate Milk Pre-Cooler - TieStall</v>
          </cell>
          <cell r="C35">
            <v>0.539760454730004</v>
          </cell>
          <cell r="D35">
            <v>0.539760454730004</v>
          </cell>
          <cell r="E35">
            <v>0.539760454730004</v>
          </cell>
          <cell r="F35">
            <v>0.539760454730004</v>
          </cell>
        </row>
        <row r="36">
          <cell r="B36" t="str">
            <v>Energy Efficient Lighting - TieStall</v>
          </cell>
          <cell r="C36">
            <v>7.1883204763838152E-2</v>
          </cell>
          <cell r="D36">
            <v>7.1883204763838152E-2</v>
          </cell>
          <cell r="E36">
            <v>7.1883204763838152E-2</v>
          </cell>
          <cell r="F36">
            <v>7.1883204763838152E-2</v>
          </cell>
        </row>
        <row r="37">
          <cell r="B37" t="str">
            <v>35-44W LED fixture &amp; NEW Photocell_Replacing_175W MH fixture</v>
          </cell>
          <cell r="C37">
            <v>0.18000000000000002</v>
          </cell>
          <cell r="D37">
            <v>0.18000000000000002</v>
          </cell>
          <cell r="E37">
            <v>0.18000000000000002</v>
          </cell>
          <cell r="F37">
            <v>0.18000000000000002</v>
          </cell>
        </row>
        <row r="38">
          <cell r="B38" t="str">
            <v>35-44W LED fixture &amp; NEW Photocell_Replacing_150W HID fixture</v>
          </cell>
          <cell r="C38">
            <v>0.18000000000000002</v>
          </cell>
          <cell r="D38">
            <v>0.18000000000000002</v>
          </cell>
          <cell r="E38">
            <v>0.18000000000000002</v>
          </cell>
          <cell r="F38">
            <v>0.18000000000000002</v>
          </cell>
        </row>
        <row r="39">
          <cell r="B39" t="str">
            <v>35-44W LED fixture &amp; NEW Photocell_Replacing_100W HID fixture</v>
          </cell>
          <cell r="C39">
            <v>0.18000000000000002</v>
          </cell>
          <cell r="D39">
            <v>0.18000000000000002</v>
          </cell>
          <cell r="E39">
            <v>0.18000000000000002</v>
          </cell>
          <cell r="F39">
            <v>0.18000000000000002</v>
          </cell>
        </row>
        <row r="40">
          <cell r="B40" t="str">
            <v>35-44W LED fixture &amp; NEW Photocell_Replacing_175W MV fixture</v>
          </cell>
          <cell r="C40">
            <v>0.18000000000000002</v>
          </cell>
          <cell r="D40">
            <v>0.18000000000000002</v>
          </cell>
          <cell r="E40">
            <v>0.18000000000000002</v>
          </cell>
          <cell r="F40">
            <v>0.18000000000000002</v>
          </cell>
        </row>
        <row r="41">
          <cell r="B41" t="str">
            <v>35-44W LED fixture &amp; NEW Photocell_Replacing_200W HID fixture</v>
          </cell>
          <cell r="C41">
            <v>0.18000000000000002</v>
          </cell>
          <cell r="D41">
            <v>0.18000000000000002</v>
          </cell>
          <cell r="E41">
            <v>0.18000000000000002</v>
          </cell>
          <cell r="F41">
            <v>0.18000000000000002</v>
          </cell>
        </row>
      </sheetData>
      <sheetData sheetId="5"/>
      <sheetData sheetId="6"/>
      <sheetData sheetId="7"/>
      <sheetData sheetId="8"/>
      <sheetData sheetId="9">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0.17227012335877145</v>
          </cell>
          <cell r="F13">
            <v>0.13416410697161874</v>
          </cell>
          <cell r="G13">
            <v>0.10448711156957236</v>
          </cell>
          <cell r="H13">
            <v>8.1374644311252187E-2</v>
          </cell>
          <cell r="I13">
            <v>6.3374636711760357E-2</v>
          </cell>
          <cell r="J13">
            <v>4.9356216697984623E-2</v>
          </cell>
          <cell r="K13">
            <v>3.8438660213832465E-2</v>
          </cell>
          <cell r="L13">
            <v>2.9936058674748356E-2</v>
          </cell>
          <cell r="M13">
            <v>2.3314225937965505E-2</v>
          </cell>
          <cell r="N13">
            <v>1.8157137417191271E-2</v>
          </cell>
          <cell r="O13">
            <v>1.4140792838843619E-2</v>
          </cell>
          <cell r="P13">
            <v>1.1012860536141922E-2</v>
          </cell>
          <cell r="Q13">
            <v>8.5768244094035495E-3</v>
          </cell>
          <cell r="R13">
            <v>6.6796375663094043E-3</v>
          </cell>
          <cell r="S13">
            <v>5.2021069672748554E-3</v>
          </cell>
          <cell r="T13">
            <v>4.051404979734996E-3</v>
          </cell>
          <cell r="U13">
            <v>3.1552373707569581E-3</v>
          </cell>
          <cell r="V13">
            <v>2.4573013351216755E-3</v>
          </cell>
          <cell r="W13">
            <v>1.913748204035115E-3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Irrigation</v>
          </cell>
          <cell r="B19" t="str">
            <v>Irrigation Hardware - Retro</v>
          </cell>
          <cell r="C19" t="str">
            <v>Retro12Med</v>
          </cell>
          <cell r="D19">
            <v>0.10937459468255628</v>
          </cell>
          <cell r="E19">
            <v>0.125</v>
          </cell>
          <cell r="F19">
            <v>0.13671824335319538</v>
          </cell>
          <cell r="G19">
            <v>0.14299999999999999</v>
          </cell>
          <cell r="H19">
            <v>0.13732859265387931</v>
          </cell>
          <cell r="I19">
            <v>0.11444049387823274</v>
          </cell>
          <cell r="J19">
            <v>8.5830370408674583E-2</v>
          </cell>
          <cell r="K19">
            <v>5.8520707096823443E-2</v>
          </cell>
          <cell r="L19">
            <v>3.6575441935514763E-2</v>
          </cell>
          <cell r="M19">
            <v>2.1101216501258402E-2</v>
          </cell>
          <cell r="N19">
            <v>1.1304223125674251E-2</v>
          </cell>
          <cell r="O19">
            <v>5.652111562837181E-3</v>
          </cell>
          <cell r="P19">
            <v>2.6494272950797759E-3</v>
          </cell>
          <cell r="Q19">
            <v>1.1688649831235187E-3</v>
          </cell>
          <cell r="R19">
            <v>4.8702707630143838E-4</v>
          </cell>
          <cell r="S19">
            <v>1.922475301190385E-4</v>
          </cell>
          <cell r="T19">
            <v>7.2092823794611682E-5</v>
          </cell>
          <cell r="U19">
            <v>2.5747437069512102E-5</v>
          </cell>
          <cell r="V19">
            <v>8.7775353646568632E-6</v>
          </cell>
          <cell r="W19">
            <v>2.8622397928446119E-6</v>
          </cell>
        </row>
        <row r="20">
          <cell r="A20" t="str">
            <v>Refrigeration</v>
          </cell>
          <cell r="B20" t="str">
            <v>Dairy - Retro</v>
          </cell>
          <cell r="C20" t="str">
            <v>Retro5Med</v>
          </cell>
          <cell r="D20">
            <v>4.2999999999999997E-2</v>
          </cell>
          <cell r="E20">
            <v>5.279714228027832E-2</v>
          </cell>
          <cell r="F20">
            <v>6.4608251467478173E-2</v>
          </cell>
          <cell r="G20">
            <v>7.4999999999999997E-2</v>
          </cell>
          <cell r="H20">
            <v>8.5546997470333563E-2</v>
          </cell>
          <cell r="I20">
            <v>0.10001472303820647</v>
          </cell>
          <cell r="J20">
            <v>0.10971770435235073</v>
          </cell>
          <cell r="K20">
            <v>0.11208438511970376</v>
          </cell>
          <cell r="L20">
            <v>0.10562608162722853</v>
          </cell>
          <cell r="M20">
            <v>9.0794563997872335E-2</v>
          </cell>
          <cell r="N20">
            <v>7.0260666991849297E-2</v>
          </cell>
          <cell r="O20">
            <v>4.8218360404944538E-2</v>
          </cell>
          <cell r="P20">
            <v>2.8854234614640095E-2</v>
          </cell>
          <cell r="Q20">
            <v>1.4773964924806759E-2</v>
          </cell>
          <cell r="R20">
            <v>6.3385343681182649E-3</v>
          </cell>
          <cell r="S20">
            <v>2.2268577196306039E-3</v>
          </cell>
          <cell r="T20">
            <v>6.2471001963848583E-4</v>
          </cell>
          <cell r="U20">
            <v>1.3615841889635938E-4</v>
          </cell>
          <cell r="V20">
            <v>2.2380636622298944E-5</v>
          </cell>
          <cell r="W20">
            <v>2.68643837586513E-6</v>
          </cell>
        </row>
        <row r="21">
          <cell r="A21" t="str">
            <v>Lighting</v>
          </cell>
          <cell r="B21" t="str">
            <v>Lighting - Retro</v>
          </cell>
          <cell r="C21" t="str">
            <v>Retro20Fast</v>
          </cell>
          <cell r="D21">
            <v>0.22119921692859512</v>
          </cell>
          <cell r="E21">
            <v>0.17227012335877145</v>
          </cell>
          <cell r="F21">
            <v>0.13416410697161874</v>
          </cell>
          <cell r="G21">
            <v>0.10448711156957236</v>
          </cell>
          <cell r="H21">
            <v>8.1374644311252187E-2</v>
          </cell>
          <cell r="I21">
            <v>6.3374636711760357E-2</v>
          </cell>
          <cell r="J21">
            <v>4.9356216697984623E-2</v>
          </cell>
          <cell r="K21">
            <v>3.8438660213832465E-2</v>
          </cell>
          <cell r="L21">
            <v>2.9936058674748356E-2</v>
          </cell>
          <cell r="M21">
            <v>2.3314225937965505E-2</v>
          </cell>
          <cell r="N21">
            <v>1.8157137417191271E-2</v>
          </cell>
          <cell r="O21">
            <v>1.4140792838843619E-2</v>
          </cell>
          <cell r="P21">
            <v>1.1012860536141922E-2</v>
          </cell>
          <cell r="Q21">
            <v>8.5768244094035495E-3</v>
          </cell>
          <cell r="R21">
            <v>6.6796375663094043E-3</v>
          </cell>
          <cell r="S21">
            <v>5.2021069672748554E-3</v>
          </cell>
          <cell r="T21">
            <v>4.051404979734996E-3</v>
          </cell>
          <cell r="U21">
            <v>3.1552373707569581E-3</v>
          </cell>
          <cell r="V21">
            <v>2.4573013351216755E-3</v>
          </cell>
          <cell r="W21">
            <v>1.913748204035115E-3</v>
          </cell>
        </row>
        <row r="22">
          <cell r="A22" t="str">
            <v>Irrigation</v>
          </cell>
          <cell r="B22" t="str">
            <v>Irrigation Eff - Retro</v>
          </cell>
          <cell r="C22" t="str">
            <v>Retro1Slow</v>
          </cell>
          <cell r="D22">
            <v>2.5643970768378654E-3</v>
          </cell>
          <cell r="E22">
            <v>5.1260615529385989E-3</v>
          </cell>
          <cell r="F22">
            <v>9.1015544176433795E-3</v>
          </cell>
          <cell r="G22">
            <v>1.4804925730045659E-2</v>
          </cell>
          <cell r="H22">
            <v>2.2471809420486211E-2</v>
          </cell>
          <cell r="I22">
            <v>3.2184432813882391E-2</v>
          </cell>
          <cell r="J22">
            <v>4.3779667172004086E-2</v>
          </cell>
          <cell r="K22">
            <v>5.675426075474499E-2</v>
          </cell>
          <cell r="L22">
            <v>7.0195239068707532E-2</v>
          </cell>
          <cell r="M22">
            <v>8.2776861842756788E-2</v>
          </cell>
          <cell r="N22">
            <v>9.2870259507494834E-2</v>
          </cell>
          <cell r="O22">
            <v>9.8796470678915727E-2</v>
          </cell>
          <cell r="P22">
            <v>9.9208932889988999E-2</v>
          </cell>
          <cell r="Q22">
            <v>9.3521150494244254E-2</v>
          </cell>
          <cell r="R22">
            <v>8.2226007896862296E-2</v>
          </cell>
          <cell r="S22">
            <v>6.6933566027365665E-2</v>
          </cell>
          <cell r="T22">
            <v>5.0029565143448806E-2</v>
          </cell>
          <cell r="U22">
            <v>3.402486521893211E-2</v>
          </cell>
          <cell r="V22">
            <v>2.0846059340774659E-2</v>
          </cell>
          <cell r="W22">
            <v>0.01</v>
          </cell>
        </row>
        <row r="23">
          <cell r="A23" t="str">
            <v>Irrigation</v>
          </cell>
          <cell r="B23" t="str">
            <v>Irrigation Pressure - Retro</v>
          </cell>
          <cell r="C23" t="str">
            <v>Retro1Slow</v>
          </cell>
          <cell r="D23">
            <v>2.5643970768378654E-3</v>
          </cell>
          <cell r="E23">
            <v>5.1260615529385989E-3</v>
          </cell>
          <cell r="F23">
            <v>9.1015544176433795E-3</v>
          </cell>
          <cell r="G23">
            <v>1.4804925730045659E-2</v>
          </cell>
          <cell r="H23">
            <v>2.2471809420486211E-2</v>
          </cell>
          <cell r="I23">
            <v>3.2184432813882391E-2</v>
          </cell>
          <cell r="J23">
            <v>4.3779667172004086E-2</v>
          </cell>
          <cell r="K23">
            <v>5.675426075474499E-2</v>
          </cell>
          <cell r="L23">
            <v>7.0195239068707532E-2</v>
          </cell>
          <cell r="M23">
            <v>8.2776861842756788E-2</v>
          </cell>
          <cell r="N23">
            <v>9.2870259507494834E-2</v>
          </cell>
          <cell r="O23">
            <v>9.8796470678915727E-2</v>
          </cell>
          <cell r="P23">
            <v>9.9208932889988999E-2</v>
          </cell>
          <cell r="Q23">
            <v>9.3521150494244254E-2</v>
          </cell>
          <cell r="R23">
            <v>8.2226007896862296E-2</v>
          </cell>
          <cell r="S23">
            <v>6.6933566027365665E-2</v>
          </cell>
          <cell r="T23">
            <v>5.0029565143448806E-2</v>
          </cell>
          <cell r="U23">
            <v>3.402486521893211E-2</v>
          </cell>
          <cell r="V23">
            <v>2.0846059340774659E-2</v>
          </cell>
          <cell r="W23">
            <v>0.01</v>
          </cell>
        </row>
        <row r="24">
          <cell r="A24" t="str">
            <v>Motors/Drives</v>
          </cell>
          <cell r="B24" t="str">
            <v>Irr Motor - Retro</v>
          </cell>
          <cell r="C24" t="str">
            <v>Retro12Med</v>
          </cell>
          <cell r="D24">
            <v>0.10937459468255628</v>
          </cell>
          <cell r="E24">
            <v>0.125</v>
          </cell>
          <cell r="F24">
            <v>0.13671824335319538</v>
          </cell>
          <cell r="G24">
            <v>0.14299999999999999</v>
          </cell>
          <cell r="H24">
            <v>0.13732859265387931</v>
          </cell>
          <cell r="I24">
            <v>0.11444049387823274</v>
          </cell>
          <cell r="J24">
            <v>8.5830370408674583E-2</v>
          </cell>
          <cell r="K24">
            <v>5.8520707096823443E-2</v>
          </cell>
          <cell r="L24">
            <v>3.6575441935514763E-2</v>
          </cell>
          <cell r="M24">
            <v>2.1101216501258402E-2</v>
          </cell>
          <cell r="N24">
            <v>1.1304223125674251E-2</v>
          </cell>
          <cell r="O24">
            <v>5.652111562837181E-3</v>
          </cell>
          <cell r="P24">
            <v>2.6494272950797759E-3</v>
          </cell>
          <cell r="Q24">
            <v>1.1688649831235187E-3</v>
          </cell>
          <cell r="R24">
            <v>4.8702707630143838E-4</v>
          </cell>
          <cell r="S24">
            <v>1.922475301190385E-4</v>
          </cell>
          <cell r="T24">
            <v>7.2092823794611682E-5</v>
          </cell>
          <cell r="U24">
            <v>2.5747437069512102E-5</v>
          </cell>
          <cell r="V24">
            <v>8.7775353646568632E-6</v>
          </cell>
          <cell r="W24">
            <v>2.8622397928446119E-6</v>
          </cell>
        </row>
        <row r="25">
          <cell r="A25" t="str">
            <v>Irrigation</v>
          </cell>
          <cell r="B25" t="str">
            <v>Irrigation Water Mgmt - Retro</v>
          </cell>
          <cell r="C25" t="str">
            <v>Retro20Fast</v>
          </cell>
          <cell r="D25">
            <v>0.22119921692859512</v>
          </cell>
          <cell r="E25">
            <v>0.17227012335877145</v>
          </cell>
          <cell r="F25">
            <v>0.13416410697161874</v>
          </cell>
          <cell r="G25">
            <v>0.10448711156957236</v>
          </cell>
          <cell r="H25">
            <v>8.1374644311252187E-2</v>
          </cell>
          <cell r="I25">
            <v>6.3374636711760357E-2</v>
          </cell>
          <cell r="J25">
            <v>4.9356216697984623E-2</v>
          </cell>
          <cell r="K25">
            <v>3.8438660213832465E-2</v>
          </cell>
          <cell r="L25">
            <v>2.9936058674748356E-2</v>
          </cell>
          <cell r="M25">
            <v>2.3314225937965505E-2</v>
          </cell>
          <cell r="N25">
            <v>1.8157137417191271E-2</v>
          </cell>
          <cell r="O25">
            <v>1.4140792838843619E-2</v>
          </cell>
          <cell r="P25">
            <v>1.1012860536141922E-2</v>
          </cell>
          <cell r="Q25">
            <v>8.5768244094035495E-3</v>
          </cell>
          <cell r="R25">
            <v>6.6796375663094043E-3</v>
          </cell>
          <cell r="S25">
            <v>5.2021069672748554E-3</v>
          </cell>
          <cell r="T25">
            <v>4.051404979734996E-3</v>
          </cell>
          <cell r="U25">
            <v>3.1552373707569581E-3</v>
          </cell>
          <cell r="V25">
            <v>2.4573013351216755E-3</v>
          </cell>
          <cell r="W25">
            <v>1.913748204035115E-3</v>
          </cell>
        </row>
      </sheetData>
      <sheetData sheetId="10"/>
      <sheetData sheetId="11"/>
      <sheetData sheetId="12"/>
      <sheetData sheetId="13"/>
      <sheetData sheetId="14"/>
      <sheetData sheetId="15">
        <row r="22">
          <cell r="A22" t="str">
            <v>Idaho</v>
          </cell>
          <cell r="B22">
            <v>4366</v>
          </cell>
          <cell r="C22">
            <v>11621</v>
          </cell>
          <cell r="Q22">
            <v>65.656287878787879</v>
          </cell>
        </row>
        <row r="23">
          <cell r="A23" t="str">
            <v>Montana</v>
          </cell>
          <cell r="B23">
            <v>2223</v>
          </cell>
          <cell r="C23">
            <v>5487</v>
          </cell>
          <cell r="Q23">
            <v>38.556666666666665</v>
          </cell>
        </row>
        <row r="24">
          <cell r="A24" t="str">
            <v>Oregon</v>
          </cell>
          <cell r="B24">
            <v>4776</v>
          </cell>
          <cell r="C24">
            <v>8995</v>
          </cell>
          <cell r="Q24">
            <v>48.355151515151512</v>
          </cell>
        </row>
        <row r="25">
          <cell r="A25" t="str">
            <v>Washington</v>
          </cell>
          <cell r="B25">
            <v>2866</v>
          </cell>
          <cell r="C25">
            <v>8101</v>
          </cell>
          <cell r="Q25">
            <v>82.12893939393939</v>
          </cell>
        </row>
        <row r="33">
          <cell r="A33" t="str">
            <v>Idaho</v>
          </cell>
          <cell r="B33">
            <v>3073</v>
          </cell>
          <cell r="C33">
            <v>9141</v>
          </cell>
          <cell r="I33">
            <v>181</v>
          </cell>
        </row>
        <row r="34">
          <cell r="A34" t="str">
            <v>Montana</v>
          </cell>
          <cell r="B34">
            <v>1051</v>
          </cell>
          <cell r="C34">
            <v>1629</v>
          </cell>
          <cell r="I34">
            <v>53</v>
          </cell>
        </row>
        <row r="35">
          <cell r="A35" t="str">
            <v>Oregon</v>
          </cell>
          <cell r="B35">
            <v>4744</v>
          </cell>
          <cell r="C35">
            <v>8601</v>
          </cell>
          <cell r="I35">
            <v>56</v>
          </cell>
        </row>
        <row r="36">
          <cell r="A36" t="str">
            <v>Washington</v>
          </cell>
          <cell r="B36">
            <v>4176</v>
          </cell>
          <cell r="C36">
            <v>6771</v>
          </cell>
          <cell r="I36">
            <v>110</v>
          </cell>
        </row>
      </sheetData>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sheetDataSet>
      <sheetData sheetId="0"/>
      <sheetData sheetId="1"/>
      <sheetData sheetId="2"/>
      <sheetData sheetId="3">
        <row r="4">
          <cell r="H4">
            <v>2035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ummary"/>
      <sheetName val="Checklist"/>
      <sheetName val="MeasureTable"/>
      <sheetName val="ProData"/>
      <sheetName val="Measure_InputOutput"/>
      <sheetName val="LookupTable"/>
      <sheetName val="ValidationLists"/>
      <sheetName val="Presentation"/>
      <sheetName val="SavingsData&amp;Analysis-Ag"/>
      <sheetName val="Motor Efficiencies"/>
      <sheetName val="Data Sources"/>
      <sheetName val="Lifetime - Ag"/>
      <sheetName val="CostData&amp;Analysis"/>
      <sheetName val="DOE Motor Study Data"/>
      <sheetName val="ProCost 6th Plan Inputs"/>
      <sheetName val="Levelized Cost Note"/>
      <sheetName val="Problem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5">
          <cell r="A55">
            <v>600</v>
          </cell>
        </row>
        <row r="56">
          <cell r="A56">
            <v>700</v>
          </cell>
        </row>
        <row r="57">
          <cell r="A57">
            <v>800</v>
          </cell>
        </row>
        <row r="58">
          <cell r="A58">
            <v>900</v>
          </cell>
        </row>
        <row r="59">
          <cell r="A59">
            <v>1000</v>
          </cell>
        </row>
        <row r="60">
          <cell r="A60">
            <v>1250</v>
          </cell>
        </row>
        <row r="61">
          <cell r="A61">
            <v>1500</v>
          </cell>
        </row>
        <row r="62">
          <cell r="A62">
            <v>1750</v>
          </cell>
        </row>
        <row r="63">
          <cell r="A63">
            <v>2000</v>
          </cell>
        </row>
        <row r="64">
          <cell r="A64">
            <v>2250</v>
          </cell>
        </row>
        <row r="65">
          <cell r="A65">
            <v>2500</v>
          </cell>
        </row>
        <row r="66">
          <cell r="A66">
            <v>3000</v>
          </cell>
        </row>
        <row r="67">
          <cell r="A67">
            <v>3500</v>
          </cell>
        </row>
        <row r="68">
          <cell r="A68">
            <v>4000</v>
          </cell>
        </row>
        <row r="69">
          <cell r="A69">
            <v>4500</v>
          </cell>
        </row>
        <row r="70">
          <cell r="A70">
            <v>5000</v>
          </cell>
        </row>
      </sheetData>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sheetPr codeName="Sheet1"/>
  <dimension ref="C1:F27"/>
  <sheetViews>
    <sheetView topLeftCell="C1" workbookViewId="0">
      <selection activeCell="C30" sqref="C30"/>
    </sheetView>
  </sheetViews>
  <sheetFormatPr defaultRowHeight="15"/>
  <cols>
    <col min="1" max="1" width="4" style="77" customWidth="1"/>
    <col min="2" max="2" width="4.28515625" style="77" customWidth="1"/>
    <col min="3" max="3" width="28.140625" style="77" customWidth="1"/>
    <col min="4" max="4" width="74.42578125" style="77" customWidth="1"/>
    <col min="5" max="5" width="44.7109375" style="77" customWidth="1"/>
    <col min="6" max="6" width="31.5703125" style="77" customWidth="1"/>
    <col min="7" max="16384" width="9.140625" style="77"/>
  </cols>
  <sheetData>
    <row r="1" spans="3:6" ht="15.75" thickBot="1"/>
    <row r="2" spans="3:6" ht="19.5" thickBot="1">
      <c r="C2" s="78" t="s">
        <v>108</v>
      </c>
      <c r="D2" s="79" t="s">
        <v>327</v>
      </c>
      <c r="E2" s="79"/>
      <c r="F2" s="80"/>
    </row>
    <row r="3" spans="3:6">
      <c r="C3" s="81" t="s">
        <v>109</v>
      </c>
      <c r="D3" s="81" t="s">
        <v>324</v>
      </c>
      <c r="E3" s="81" t="s">
        <v>325</v>
      </c>
      <c r="F3" s="81" t="s">
        <v>326</v>
      </c>
    </row>
    <row r="4" spans="3:6">
      <c r="C4" s="82" t="s">
        <v>110</v>
      </c>
      <c r="D4" s="83" t="s">
        <v>529</v>
      </c>
      <c r="E4" s="84"/>
      <c r="F4" s="85" t="s">
        <v>530</v>
      </c>
    </row>
    <row r="5" spans="3:6" ht="30">
      <c r="C5" s="82" t="s">
        <v>111</v>
      </c>
      <c r="D5" s="86" t="s">
        <v>531</v>
      </c>
      <c r="E5" s="116" t="s">
        <v>224</v>
      </c>
      <c r="F5" s="85"/>
    </row>
    <row r="6" spans="3:6">
      <c r="C6" s="82" t="s">
        <v>112</v>
      </c>
      <c r="D6" s="86" t="s">
        <v>532</v>
      </c>
      <c r="E6" s="86"/>
      <c r="F6" s="85"/>
    </row>
    <row r="7" spans="3:6">
      <c r="C7" s="82" t="s">
        <v>113</v>
      </c>
      <c r="D7" s="86" t="s">
        <v>533</v>
      </c>
      <c r="E7" s="86"/>
      <c r="F7" s="85"/>
    </row>
    <row r="8" spans="3:6">
      <c r="C8" s="82" t="s">
        <v>114</v>
      </c>
      <c r="D8" s="86" t="s">
        <v>534</v>
      </c>
      <c r="E8" s="87"/>
      <c r="F8" s="85"/>
    </row>
    <row r="9" spans="3:6">
      <c r="C9" s="82" t="s">
        <v>115</v>
      </c>
      <c r="D9" s="86" t="s">
        <v>535</v>
      </c>
      <c r="E9" s="87"/>
      <c r="F9" s="85"/>
    </row>
    <row r="10" spans="3:6">
      <c r="C10" s="82" t="s">
        <v>116</v>
      </c>
      <c r="D10" s="86" t="s">
        <v>531</v>
      </c>
      <c r="E10" s="86"/>
      <c r="F10" s="85"/>
    </row>
    <row r="11" spans="3:6">
      <c r="C11" s="82" t="s">
        <v>117</v>
      </c>
      <c r="D11" s="88" t="s">
        <v>531</v>
      </c>
      <c r="E11" s="87"/>
      <c r="F11" s="85"/>
    </row>
    <row r="12" spans="3:6">
      <c r="C12" s="82" t="s">
        <v>118</v>
      </c>
      <c r="D12" s="88" t="s">
        <v>134</v>
      </c>
      <c r="E12" s="89"/>
      <c r="F12" s="85"/>
    </row>
    <row r="13" spans="3:6">
      <c r="C13" s="82" t="s">
        <v>119</v>
      </c>
      <c r="D13" s="88" t="s">
        <v>536</v>
      </c>
      <c r="E13" s="87" t="s">
        <v>537</v>
      </c>
      <c r="F13" s="85"/>
    </row>
    <row r="21" spans="3:3">
      <c r="C21" s="90"/>
    </row>
    <row r="22" spans="3:3">
      <c r="C22" s="90"/>
    </row>
    <row r="23" spans="3:3">
      <c r="C23" s="90"/>
    </row>
    <row r="24" spans="3:3">
      <c r="C24" s="90"/>
    </row>
    <row r="25" spans="3:3">
      <c r="C25" s="90"/>
    </row>
    <row r="26" spans="3:3">
      <c r="C26" s="90"/>
    </row>
    <row r="27" spans="3:3">
      <c r="C27" s="9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J50"/>
  <sheetViews>
    <sheetView workbookViewId="0">
      <selection activeCell="J2" sqref="J2"/>
    </sheetView>
  </sheetViews>
  <sheetFormatPr defaultColWidth="8.85546875" defaultRowHeight="12.75"/>
  <cols>
    <col min="1" max="1" width="16.85546875" style="116" bestFit="1" customWidth="1"/>
    <col min="2" max="2" width="9.42578125" style="116" customWidth="1"/>
    <col min="3" max="4" width="11.42578125" style="116" customWidth="1"/>
    <col min="5" max="5" width="13.140625" style="116" customWidth="1"/>
    <col min="6" max="8" width="9.7109375" style="116" bestFit="1" customWidth="1"/>
    <col min="9" max="9" width="10.28515625" style="116" customWidth="1"/>
    <col min="10" max="28" width="9.7109375" style="116" bestFit="1" customWidth="1"/>
    <col min="29" max="29" width="9.7109375" style="116" customWidth="1"/>
    <col min="30" max="34" width="9.7109375" style="116" bestFit="1" customWidth="1"/>
    <col min="35" max="35" width="10.28515625" style="116" bestFit="1" customWidth="1"/>
    <col min="36" max="36" width="12.28515625" style="116" customWidth="1"/>
    <col min="37" max="37" width="8.85546875" style="116"/>
    <col min="38" max="38" width="11.85546875" style="116" customWidth="1"/>
    <col min="39" max="41" width="8.85546875" style="116"/>
    <col min="42" max="42" width="15.42578125" style="116" bestFit="1" customWidth="1"/>
    <col min="43" max="16384" width="8.85546875" style="116"/>
  </cols>
  <sheetData>
    <row r="1" spans="1:36" ht="13.5" thickBot="1">
      <c r="I1" s="117"/>
    </row>
    <row r="2" spans="1:36" ht="51.75" thickBot="1">
      <c r="A2" s="118" t="s">
        <v>196</v>
      </c>
      <c r="B2" s="119" t="s">
        <v>197</v>
      </c>
      <c r="H2" s="120"/>
      <c r="I2" s="116" t="s">
        <v>223</v>
      </c>
      <c r="J2" s="116" t="s">
        <v>224</v>
      </c>
    </row>
    <row r="3" spans="1:36">
      <c r="A3" s="121" t="s">
        <v>198</v>
      </c>
      <c r="B3" s="122">
        <v>0.01</v>
      </c>
    </row>
    <row r="4" spans="1:36">
      <c r="A4" s="123" t="s">
        <v>199</v>
      </c>
      <c r="B4" s="124">
        <v>8.9999999999999993E-3</v>
      </c>
    </row>
    <row r="5" spans="1:36">
      <c r="A5" s="123" t="s">
        <v>200</v>
      </c>
      <c r="B5" s="124">
        <v>8.0000000000000002E-3</v>
      </c>
    </row>
    <row r="6" spans="1:36">
      <c r="A6" s="123" t="s">
        <v>201</v>
      </c>
      <c r="B6" s="124">
        <v>7.0000000000000001E-3</v>
      </c>
    </row>
    <row r="7" spans="1:36">
      <c r="A7" s="123" t="s">
        <v>202</v>
      </c>
      <c r="B7" s="124">
        <v>6.0000000000000001E-3</v>
      </c>
    </row>
    <row r="8" spans="1:36" ht="13.5" thickBot="1">
      <c r="A8" s="125" t="s">
        <v>203</v>
      </c>
      <c r="B8" s="126">
        <v>5.0000000000000001E-3</v>
      </c>
    </row>
    <row r="10" spans="1:36">
      <c r="E10" s="321" t="s">
        <v>204</v>
      </c>
      <c r="F10" s="322"/>
      <c r="G10" s="322"/>
      <c r="H10" s="322"/>
      <c r="I10" s="322"/>
      <c r="J10" s="323"/>
      <c r="K10" s="321" t="s">
        <v>205</v>
      </c>
      <c r="L10" s="322"/>
      <c r="M10" s="322"/>
      <c r="N10" s="322"/>
      <c r="O10" s="322"/>
      <c r="P10" s="323"/>
      <c r="Q10" s="318" t="s">
        <v>206</v>
      </c>
      <c r="R10" s="319"/>
      <c r="S10" s="319"/>
      <c r="T10" s="319"/>
      <c r="U10" s="319"/>
      <c r="V10" s="320"/>
      <c r="W10" s="318" t="s">
        <v>207</v>
      </c>
      <c r="X10" s="319"/>
      <c r="Y10" s="319"/>
      <c r="Z10" s="319"/>
      <c r="AA10" s="319"/>
      <c r="AB10" s="320"/>
      <c r="AC10" s="318" t="s">
        <v>208</v>
      </c>
      <c r="AD10" s="319"/>
      <c r="AE10" s="319"/>
      <c r="AF10" s="319"/>
      <c r="AG10" s="319"/>
      <c r="AH10" s="320"/>
    </row>
    <row r="11" spans="1:36">
      <c r="B11" s="120"/>
      <c r="E11" s="318" t="s">
        <v>209</v>
      </c>
      <c r="F11" s="319"/>
      <c r="G11" s="320"/>
      <c r="H11" s="318" t="s">
        <v>210</v>
      </c>
      <c r="I11" s="319"/>
      <c r="J11" s="320"/>
      <c r="K11" s="318" t="s">
        <v>209</v>
      </c>
      <c r="L11" s="319"/>
      <c r="M11" s="320"/>
      <c r="N11" s="318" t="s">
        <v>210</v>
      </c>
      <c r="O11" s="319"/>
      <c r="P11" s="320"/>
      <c r="Q11" s="318" t="s">
        <v>209</v>
      </c>
      <c r="R11" s="319"/>
      <c r="S11" s="320"/>
      <c r="T11" s="318" t="s">
        <v>210</v>
      </c>
      <c r="U11" s="319"/>
      <c r="V11" s="320"/>
      <c r="W11" s="318" t="s">
        <v>209</v>
      </c>
      <c r="X11" s="319"/>
      <c r="Y11" s="320"/>
      <c r="Z11" s="318" t="s">
        <v>210</v>
      </c>
      <c r="AA11" s="319"/>
      <c r="AB11" s="320"/>
      <c r="AC11" s="318" t="s">
        <v>209</v>
      </c>
      <c r="AD11" s="319"/>
      <c r="AE11" s="320"/>
      <c r="AF11" s="318" t="s">
        <v>210</v>
      </c>
      <c r="AG11" s="319"/>
      <c r="AH11" s="320"/>
    </row>
    <row r="12" spans="1:36" s="127" customFormat="1" ht="51">
      <c r="A12" s="127" t="s">
        <v>211</v>
      </c>
      <c r="B12" s="128" t="s">
        <v>212</v>
      </c>
      <c r="C12" s="128" t="s">
        <v>213</v>
      </c>
      <c r="D12" s="128" t="s">
        <v>214</v>
      </c>
      <c r="E12" s="129" t="s">
        <v>215</v>
      </c>
      <c r="F12" s="129" t="s">
        <v>216</v>
      </c>
      <c r="G12" s="129" t="s">
        <v>217</v>
      </c>
      <c r="H12" s="129" t="s">
        <v>215</v>
      </c>
      <c r="I12" s="129" t="s">
        <v>216</v>
      </c>
      <c r="J12" s="129" t="s">
        <v>217</v>
      </c>
      <c r="K12" s="129" t="s">
        <v>215</v>
      </c>
      <c r="L12" s="129" t="s">
        <v>216</v>
      </c>
      <c r="M12" s="129" t="s">
        <v>217</v>
      </c>
      <c r="N12" s="129" t="s">
        <v>215</v>
      </c>
      <c r="O12" s="129" t="s">
        <v>216</v>
      </c>
      <c r="P12" s="129" t="s">
        <v>217</v>
      </c>
      <c r="Q12" s="129" t="s">
        <v>215</v>
      </c>
      <c r="R12" s="129" t="s">
        <v>216</v>
      </c>
      <c r="S12" s="129" t="s">
        <v>217</v>
      </c>
      <c r="T12" s="129" t="s">
        <v>215</v>
      </c>
      <c r="U12" s="129" t="s">
        <v>216</v>
      </c>
      <c r="V12" s="129" t="s">
        <v>217</v>
      </c>
      <c r="W12" s="129" t="s">
        <v>215</v>
      </c>
      <c r="X12" s="129" t="s">
        <v>216</v>
      </c>
      <c r="Y12" s="129" t="s">
        <v>217</v>
      </c>
      <c r="Z12" s="129" t="s">
        <v>215</v>
      </c>
      <c r="AA12" s="129" t="s">
        <v>216</v>
      </c>
      <c r="AB12" s="129" t="s">
        <v>217</v>
      </c>
      <c r="AC12" s="129" t="s">
        <v>215</v>
      </c>
      <c r="AD12" s="129" t="s">
        <v>216</v>
      </c>
      <c r="AE12" s="129" t="s">
        <v>217</v>
      </c>
      <c r="AF12" s="129" t="s">
        <v>215</v>
      </c>
      <c r="AG12" s="129" t="s">
        <v>216</v>
      </c>
      <c r="AH12" s="129" t="s">
        <v>217</v>
      </c>
      <c r="AI12" s="130" t="s">
        <v>218</v>
      </c>
      <c r="AJ12" s="131" t="s">
        <v>219</v>
      </c>
    </row>
    <row r="13" spans="1:36">
      <c r="A13" s="116">
        <v>15</v>
      </c>
      <c r="B13" s="132">
        <v>1</v>
      </c>
      <c r="C13" s="133">
        <v>2221</v>
      </c>
      <c r="D13" s="134">
        <v>0.01</v>
      </c>
      <c r="E13" s="135">
        <v>0.89121341463414638</v>
      </c>
      <c r="F13" s="136">
        <v>0.90095121951219515</v>
      </c>
      <c r="G13" s="136">
        <v>0.88293292682926827</v>
      </c>
      <c r="H13" s="136">
        <v>0.89121341463414638</v>
      </c>
      <c r="I13" s="136">
        <v>0.89286585365853655</v>
      </c>
      <c r="J13" s="137">
        <v>0.88228048780487811</v>
      </c>
      <c r="K13" s="138">
        <f t="shared" ref="K13:P30" si="0">E13-$D13</f>
        <v>0.88121341463414637</v>
      </c>
      <c r="L13" s="134">
        <f t="shared" si="0"/>
        <v>0.89095121951219514</v>
      </c>
      <c r="M13" s="134">
        <f t="shared" si="0"/>
        <v>0.87293292682926826</v>
      </c>
      <c r="N13" s="134">
        <f t="shared" si="0"/>
        <v>0.88121341463414637</v>
      </c>
      <c r="O13" s="134">
        <f t="shared" si="0"/>
        <v>0.88286585365853654</v>
      </c>
      <c r="P13" s="139">
        <f t="shared" si="0"/>
        <v>0.8722804878048781</v>
      </c>
      <c r="Q13" s="140">
        <f t="shared" ref="Q13:V30" si="1">($A13*0.746*$B13*$C13*(1/E13))</f>
        <v>27886.687511545642</v>
      </c>
      <c r="R13" s="141">
        <f t="shared" si="1"/>
        <v>27585.278161292939</v>
      </c>
      <c r="S13" s="141">
        <f t="shared" si="1"/>
        <v>28148.219694615367</v>
      </c>
      <c r="T13" s="141">
        <f t="shared" si="1"/>
        <v>27886.687511545642</v>
      </c>
      <c r="U13" s="141">
        <f t="shared" si="1"/>
        <v>27835.077238270846</v>
      </c>
      <c r="V13" s="142">
        <f t="shared" si="1"/>
        <v>28169.035067107136</v>
      </c>
      <c r="W13" s="140">
        <f t="shared" ref="W13:AB30" si="2">($A13*0.746*$B13*$C13*(1/(K13)))</f>
        <v>28203.145330371779</v>
      </c>
      <c r="X13" s="141">
        <f t="shared" si="2"/>
        <v>27894.894193654352</v>
      </c>
      <c r="Y13" s="141">
        <f t="shared" si="2"/>
        <v>28470.675393438156</v>
      </c>
      <c r="Z13" s="141">
        <f t="shared" si="2"/>
        <v>28203.145330371779</v>
      </c>
      <c r="AA13" s="141">
        <f t="shared" si="2"/>
        <v>28150.358173907036</v>
      </c>
      <c r="AB13" s="142">
        <f t="shared" si="2"/>
        <v>28491.970584534509</v>
      </c>
      <c r="AC13" s="140">
        <f t="shared" ref="AC13:AH30" si="3">W13-Q13</f>
        <v>316.45781882613664</v>
      </c>
      <c r="AD13" s="141">
        <f t="shared" si="3"/>
        <v>309.61603236141309</v>
      </c>
      <c r="AE13" s="141">
        <f t="shared" si="3"/>
        <v>322.45569882278869</v>
      </c>
      <c r="AF13" s="141">
        <f t="shared" si="3"/>
        <v>316.45781882613664</v>
      </c>
      <c r="AG13" s="141">
        <f t="shared" si="3"/>
        <v>315.28093563619041</v>
      </c>
      <c r="AH13" s="142">
        <f t="shared" si="3"/>
        <v>322.93551742737327</v>
      </c>
      <c r="AI13" s="143">
        <f t="shared" ref="AI13:AI30" si="4">AVERAGE(AC13:AH13)</f>
        <v>317.20063698333979</v>
      </c>
      <c r="AJ13" s="144">
        <f t="shared" ref="AJ13:AJ46" si="5">AI13/A13</f>
        <v>21.146709132222654</v>
      </c>
    </row>
    <row r="14" spans="1:36">
      <c r="A14" s="116">
        <v>20</v>
      </c>
      <c r="B14" s="132">
        <f>B13</f>
        <v>1</v>
      </c>
      <c r="C14" s="133">
        <f>C13</f>
        <v>2221</v>
      </c>
      <c r="D14" s="134">
        <v>0.01</v>
      </c>
      <c r="E14" s="135">
        <v>0.88874096385542167</v>
      </c>
      <c r="F14" s="145">
        <v>0.89358433734939768</v>
      </c>
      <c r="G14" s="145">
        <v>0.88836746987951809</v>
      </c>
      <c r="H14" s="145">
        <v>0.88639759036144583</v>
      </c>
      <c r="I14" s="145">
        <v>0.89496987951807228</v>
      </c>
      <c r="J14" s="137">
        <v>0.87797590361445776</v>
      </c>
      <c r="K14" s="138">
        <f t="shared" si="0"/>
        <v>0.87874096385542166</v>
      </c>
      <c r="L14" s="134">
        <f t="shared" si="0"/>
        <v>0.88358433734939767</v>
      </c>
      <c r="M14" s="134">
        <f t="shared" si="0"/>
        <v>0.87836746987951808</v>
      </c>
      <c r="N14" s="134">
        <f t="shared" si="0"/>
        <v>0.87639759036144582</v>
      </c>
      <c r="O14" s="134">
        <f t="shared" si="0"/>
        <v>0.88496987951807227</v>
      </c>
      <c r="P14" s="139">
        <f t="shared" si="0"/>
        <v>0.86797590361445776</v>
      </c>
      <c r="Q14" s="140">
        <f t="shared" si="1"/>
        <v>37285.689922795886</v>
      </c>
      <c r="R14" s="141">
        <f t="shared" si="1"/>
        <v>37083.595375332858</v>
      </c>
      <c r="S14" s="141">
        <f t="shared" si="1"/>
        <v>37301.365846381275</v>
      </c>
      <c r="T14" s="141">
        <f t="shared" si="1"/>
        <v>37384.262277255984</v>
      </c>
      <c r="U14" s="141">
        <f t="shared" si="1"/>
        <v>37026.18463298893</v>
      </c>
      <c r="V14" s="142">
        <f t="shared" si="1"/>
        <v>37742.858162257107</v>
      </c>
      <c r="W14" s="140">
        <f t="shared" si="2"/>
        <v>37709.998011942058</v>
      </c>
      <c r="X14" s="141">
        <f t="shared" si="2"/>
        <v>37503.290403954314</v>
      </c>
      <c r="Y14" s="141">
        <f t="shared" si="2"/>
        <v>37726.032823762594</v>
      </c>
      <c r="Z14" s="141">
        <f t="shared" si="2"/>
        <v>37810.829655902446</v>
      </c>
      <c r="AA14" s="141">
        <f t="shared" si="2"/>
        <v>37444.573840236888</v>
      </c>
      <c r="AB14" s="142">
        <f t="shared" si="2"/>
        <v>38177.695788567784</v>
      </c>
      <c r="AC14" s="140">
        <f t="shared" si="3"/>
        <v>424.30808914617228</v>
      </c>
      <c r="AD14" s="141">
        <f t="shared" si="3"/>
        <v>419.695028621456</v>
      </c>
      <c r="AE14" s="141">
        <f t="shared" si="3"/>
        <v>424.66697738131916</v>
      </c>
      <c r="AF14" s="141">
        <f t="shared" si="3"/>
        <v>426.56737864646129</v>
      </c>
      <c r="AG14" s="141">
        <f t="shared" si="3"/>
        <v>418.38920724795753</v>
      </c>
      <c r="AH14" s="142">
        <f t="shared" si="3"/>
        <v>434.83762631067657</v>
      </c>
      <c r="AI14" s="143">
        <f t="shared" si="4"/>
        <v>424.74405122567379</v>
      </c>
      <c r="AJ14" s="144">
        <f t="shared" si="5"/>
        <v>21.237202561283688</v>
      </c>
    </row>
    <row r="15" spans="1:36">
      <c r="A15" s="116">
        <v>25</v>
      </c>
      <c r="B15" s="132">
        <v>0.94</v>
      </c>
      <c r="C15" s="133">
        <v>2691</v>
      </c>
      <c r="D15" s="134">
        <v>0.01</v>
      </c>
      <c r="E15" s="135">
        <v>0.89852884615384621</v>
      </c>
      <c r="F15" s="145">
        <v>0.89826923076923082</v>
      </c>
      <c r="G15" s="145">
        <v>0.89178846153846147</v>
      </c>
      <c r="H15" s="145">
        <v>0.89780769230769231</v>
      </c>
      <c r="I15" s="145">
        <v>0.90256730769230775</v>
      </c>
      <c r="J15" s="137">
        <v>0.88529807692307694</v>
      </c>
      <c r="K15" s="138">
        <f t="shared" si="0"/>
        <v>0.8885288461538462</v>
      </c>
      <c r="L15" s="134">
        <f t="shared" si="0"/>
        <v>0.88826923076923081</v>
      </c>
      <c r="M15" s="134">
        <f t="shared" si="0"/>
        <v>0.88178846153846147</v>
      </c>
      <c r="N15" s="134">
        <f t="shared" si="0"/>
        <v>0.8878076923076923</v>
      </c>
      <c r="O15" s="134">
        <f t="shared" si="0"/>
        <v>0.89256730769230774</v>
      </c>
      <c r="P15" s="139">
        <f t="shared" si="0"/>
        <v>0.87529807692307693</v>
      </c>
      <c r="Q15" s="140">
        <f t="shared" si="1"/>
        <v>52503.513050178175</v>
      </c>
      <c r="R15" s="141">
        <f t="shared" si="1"/>
        <v>52518.687475915212</v>
      </c>
      <c r="S15" s="141">
        <f t="shared" si="1"/>
        <v>52900.349168697307</v>
      </c>
      <c r="T15" s="141">
        <f t="shared" si="1"/>
        <v>52545.685901555058</v>
      </c>
      <c r="U15" s="141">
        <f t="shared" si="1"/>
        <v>52268.590495062155</v>
      </c>
      <c r="V15" s="142">
        <f t="shared" si="1"/>
        <v>53288.177428289026</v>
      </c>
      <c r="W15" s="140">
        <f t="shared" si="2"/>
        <v>53094.416916467366</v>
      </c>
      <c r="X15" s="141">
        <f t="shared" si="2"/>
        <v>53109.934877679138</v>
      </c>
      <c r="Y15" s="141">
        <f t="shared" si="2"/>
        <v>53500.27025494515</v>
      </c>
      <c r="Z15" s="141">
        <f t="shared" si="2"/>
        <v>53137.544773209716</v>
      </c>
      <c r="AA15" s="141">
        <f t="shared" si="2"/>
        <v>52854.188802826749</v>
      </c>
      <c r="AB15" s="142">
        <f t="shared" si="2"/>
        <v>53896.977776801308</v>
      </c>
      <c r="AC15" s="140">
        <f t="shared" si="3"/>
        <v>590.90386628919077</v>
      </c>
      <c r="AD15" s="141">
        <f t="shared" si="3"/>
        <v>591.24740176392515</v>
      </c>
      <c r="AE15" s="141">
        <f t="shared" si="3"/>
        <v>599.92108624784305</v>
      </c>
      <c r="AF15" s="141">
        <f t="shared" si="3"/>
        <v>591.85887165465829</v>
      </c>
      <c r="AG15" s="141">
        <f t="shared" si="3"/>
        <v>585.59830776459421</v>
      </c>
      <c r="AH15" s="142">
        <f t="shared" si="3"/>
        <v>608.80034851228265</v>
      </c>
      <c r="AI15" s="143">
        <f t="shared" si="4"/>
        <v>594.72164703874898</v>
      </c>
      <c r="AJ15" s="144">
        <f t="shared" si="5"/>
        <v>23.78886588154996</v>
      </c>
    </row>
    <row r="16" spans="1:36">
      <c r="A16" s="116">
        <v>30</v>
      </c>
      <c r="B16" s="132">
        <f t="shared" ref="B16:C18" si="6">B15</f>
        <v>0.94</v>
      </c>
      <c r="C16" s="133">
        <f t="shared" si="6"/>
        <v>2691</v>
      </c>
      <c r="D16" s="134">
        <v>8.9999999999999993E-3</v>
      </c>
      <c r="E16" s="135">
        <v>0.9030792079207921</v>
      </c>
      <c r="F16" s="145">
        <v>0.89900000000000002</v>
      </c>
      <c r="G16" s="145">
        <v>0.88553465346534654</v>
      </c>
      <c r="H16" s="145">
        <v>0.9022772277227723</v>
      </c>
      <c r="I16" s="145">
        <v>0.90384158415841587</v>
      </c>
      <c r="J16" s="137">
        <v>0.88553465346534654</v>
      </c>
      <c r="K16" s="138">
        <f t="shared" si="0"/>
        <v>0.8940792079207921</v>
      </c>
      <c r="L16" s="134">
        <f t="shared" si="0"/>
        <v>0.89</v>
      </c>
      <c r="M16" s="134">
        <f t="shared" si="0"/>
        <v>0.87653465346534654</v>
      </c>
      <c r="N16" s="134">
        <f t="shared" si="0"/>
        <v>0.89327722772277229</v>
      </c>
      <c r="O16" s="134">
        <f t="shared" si="0"/>
        <v>0.89484158415841586</v>
      </c>
      <c r="P16" s="139">
        <f t="shared" si="0"/>
        <v>0.87653465346534654</v>
      </c>
      <c r="Q16" s="140">
        <f t="shared" si="1"/>
        <v>62686.755163302667</v>
      </c>
      <c r="R16" s="141">
        <f t="shared" si="1"/>
        <v>62971.195995550603</v>
      </c>
      <c r="S16" s="141">
        <f t="shared" si="1"/>
        <v>63928.729359675308</v>
      </c>
      <c r="T16" s="141">
        <f t="shared" si="1"/>
        <v>62742.473666191152</v>
      </c>
      <c r="U16" s="141">
        <f t="shared" si="1"/>
        <v>62633.879865918847</v>
      </c>
      <c r="V16" s="142">
        <f t="shared" si="1"/>
        <v>63928.729359675308</v>
      </c>
      <c r="W16" s="140">
        <f t="shared" si="2"/>
        <v>63317.773971783565</v>
      </c>
      <c r="X16" s="141">
        <f t="shared" si="2"/>
        <v>63607.983370786518</v>
      </c>
      <c r="Y16" s="141">
        <f t="shared" si="2"/>
        <v>64585.130748898679</v>
      </c>
      <c r="Z16" s="141">
        <f t="shared" si="2"/>
        <v>63374.620378847496</v>
      </c>
      <c r="AA16" s="141">
        <f t="shared" si="2"/>
        <v>63263.82926564799</v>
      </c>
      <c r="AB16" s="142">
        <f t="shared" si="2"/>
        <v>64585.130748898679</v>
      </c>
      <c r="AC16" s="140">
        <f t="shared" si="3"/>
        <v>631.01880848089786</v>
      </c>
      <c r="AD16" s="141">
        <f t="shared" si="3"/>
        <v>636.78737523591553</v>
      </c>
      <c r="AE16" s="141">
        <f t="shared" si="3"/>
        <v>656.40138922337064</v>
      </c>
      <c r="AF16" s="141">
        <f t="shared" si="3"/>
        <v>632.14671265634388</v>
      </c>
      <c r="AG16" s="141">
        <f t="shared" si="3"/>
        <v>629.9493997291429</v>
      </c>
      <c r="AH16" s="142">
        <f t="shared" si="3"/>
        <v>656.40138922337064</v>
      </c>
      <c r="AI16" s="143">
        <f t="shared" si="4"/>
        <v>640.45084575817361</v>
      </c>
      <c r="AJ16" s="144">
        <f t="shared" si="5"/>
        <v>21.348361525272455</v>
      </c>
    </row>
    <row r="17" spans="1:36">
      <c r="A17" s="116">
        <v>40</v>
      </c>
      <c r="B17" s="132">
        <f t="shared" si="6"/>
        <v>0.94</v>
      </c>
      <c r="C17" s="133">
        <f t="shared" si="6"/>
        <v>2691</v>
      </c>
      <c r="D17" s="134">
        <v>8.0000000000000002E-3</v>
      </c>
      <c r="E17" s="135">
        <v>0.90500000000000003</v>
      </c>
      <c r="F17" s="145">
        <v>0.90936363636363637</v>
      </c>
      <c r="G17" s="145">
        <v>0.89520661157024795</v>
      </c>
      <c r="H17" s="145">
        <v>0.90863636363636369</v>
      </c>
      <c r="I17" s="145">
        <v>0.91081818181818186</v>
      </c>
      <c r="J17" s="137">
        <v>0.89447933884297526</v>
      </c>
      <c r="K17" s="138">
        <f t="shared" si="0"/>
        <v>0.89700000000000002</v>
      </c>
      <c r="L17" s="134">
        <f t="shared" si="0"/>
        <v>0.90136363636363637</v>
      </c>
      <c r="M17" s="134">
        <f t="shared" si="0"/>
        <v>0.88720661157024794</v>
      </c>
      <c r="N17" s="134">
        <f t="shared" si="0"/>
        <v>0.90063636363636368</v>
      </c>
      <c r="O17" s="134">
        <f t="shared" si="0"/>
        <v>0.90281818181818185</v>
      </c>
      <c r="P17" s="139">
        <f t="shared" si="0"/>
        <v>0.88647933884297525</v>
      </c>
      <c r="Q17" s="140">
        <f t="shared" si="1"/>
        <v>83404.943204419891</v>
      </c>
      <c r="R17" s="141">
        <f t="shared" si="1"/>
        <v>83004.719544136766</v>
      </c>
      <c r="S17" s="141">
        <f t="shared" si="1"/>
        <v>84317.377267355987</v>
      </c>
      <c r="T17" s="141">
        <f t="shared" si="1"/>
        <v>83071.156538269119</v>
      </c>
      <c r="U17" s="141">
        <f t="shared" si="1"/>
        <v>82872.163848687502</v>
      </c>
      <c r="V17" s="142">
        <f t="shared" si="1"/>
        <v>84385.93304752752</v>
      </c>
      <c r="W17" s="140">
        <f t="shared" si="2"/>
        <v>84148.800000000003</v>
      </c>
      <c r="X17" s="141">
        <f t="shared" si="2"/>
        <v>83741.423055975785</v>
      </c>
      <c r="Y17" s="141">
        <f t="shared" si="2"/>
        <v>85077.672568745809</v>
      </c>
      <c r="Z17" s="141">
        <f t="shared" si="2"/>
        <v>83809.045079236908</v>
      </c>
      <c r="AA17" s="141">
        <f t="shared" si="2"/>
        <v>83606.505850367525</v>
      </c>
      <c r="AB17" s="142">
        <f t="shared" si="2"/>
        <v>85147.470778639603</v>
      </c>
      <c r="AC17" s="140">
        <f t="shared" si="3"/>
        <v>743.85679558011179</v>
      </c>
      <c r="AD17" s="141">
        <f t="shared" si="3"/>
        <v>736.70351183901948</v>
      </c>
      <c r="AE17" s="141">
        <f t="shared" si="3"/>
        <v>760.29530138982227</v>
      </c>
      <c r="AF17" s="141">
        <f t="shared" si="3"/>
        <v>737.8885409677896</v>
      </c>
      <c r="AG17" s="141">
        <f t="shared" si="3"/>
        <v>734.3420016800228</v>
      </c>
      <c r="AH17" s="142">
        <f t="shared" si="3"/>
        <v>761.53773111208284</v>
      </c>
      <c r="AI17" s="143">
        <f t="shared" si="4"/>
        <v>745.77064709480817</v>
      </c>
      <c r="AJ17" s="144">
        <f t="shared" si="5"/>
        <v>18.644266177370206</v>
      </c>
    </row>
    <row r="18" spans="1:36">
      <c r="A18" s="116">
        <v>50</v>
      </c>
      <c r="B18" s="132">
        <f t="shared" si="6"/>
        <v>0.94</v>
      </c>
      <c r="C18" s="133">
        <f t="shared" si="6"/>
        <v>2691</v>
      </c>
      <c r="D18" s="134">
        <v>7.0000000000000001E-3</v>
      </c>
      <c r="E18" s="135">
        <v>0.90885436893203886</v>
      </c>
      <c r="F18" s="145">
        <v>0.91633009708737878</v>
      </c>
      <c r="G18" s="145">
        <v>0.90212621359223311</v>
      </c>
      <c r="H18" s="145">
        <v>0.91505825242718453</v>
      </c>
      <c r="I18" s="145">
        <v>0.92322330097087379</v>
      </c>
      <c r="J18" s="137">
        <v>0.90143689320388354</v>
      </c>
      <c r="K18" s="138">
        <f t="shared" si="0"/>
        <v>0.90185436893203885</v>
      </c>
      <c r="L18" s="134">
        <f t="shared" si="0"/>
        <v>0.90933009708737877</v>
      </c>
      <c r="M18" s="134">
        <f t="shared" si="0"/>
        <v>0.8951262135922331</v>
      </c>
      <c r="N18" s="134">
        <f t="shared" si="0"/>
        <v>0.90805825242718452</v>
      </c>
      <c r="O18" s="134">
        <f t="shared" si="0"/>
        <v>0.91622330097087379</v>
      </c>
      <c r="P18" s="139">
        <f t="shared" si="0"/>
        <v>0.89443689320388353</v>
      </c>
      <c r="Q18" s="140">
        <f t="shared" si="1"/>
        <v>103814.03800794769</v>
      </c>
      <c r="R18" s="141">
        <f t="shared" si="1"/>
        <v>102967.0882795448</v>
      </c>
      <c r="S18" s="141">
        <f t="shared" si="1"/>
        <v>104588.29438543245</v>
      </c>
      <c r="T18" s="141">
        <f t="shared" si="1"/>
        <v>103110.2028201292</v>
      </c>
      <c r="U18" s="141">
        <f t="shared" si="1"/>
        <v>102198.28929878434</v>
      </c>
      <c r="V18" s="142">
        <f t="shared" si="1"/>
        <v>104668.27207909699</v>
      </c>
      <c r="W18" s="140">
        <f t="shared" si="2"/>
        <v>104619.82028398874</v>
      </c>
      <c r="X18" s="141">
        <f t="shared" si="2"/>
        <v>103759.7263108444</v>
      </c>
      <c r="Y18" s="141">
        <f t="shared" si="2"/>
        <v>105406.18805180154</v>
      </c>
      <c r="Z18" s="141">
        <f t="shared" si="2"/>
        <v>103905.05427135676</v>
      </c>
      <c r="AA18" s="141">
        <f t="shared" si="2"/>
        <v>102979.09025018277</v>
      </c>
      <c r="AB18" s="142">
        <f t="shared" si="2"/>
        <v>105487.42199355237</v>
      </c>
      <c r="AC18" s="140">
        <f t="shared" si="3"/>
        <v>805.78227604104904</v>
      </c>
      <c r="AD18" s="141">
        <f t="shared" si="3"/>
        <v>792.63803129960434</v>
      </c>
      <c r="AE18" s="141">
        <f t="shared" si="3"/>
        <v>817.8936663690838</v>
      </c>
      <c r="AF18" s="141">
        <f t="shared" si="3"/>
        <v>794.85145122755785</v>
      </c>
      <c r="AG18" s="141">
        <f t="shared" si="3"/>
        <v>780.80095139842888</v>
      </c>
      <c r="AH18" s="142">
        <f t="shared" si="3"/>
        <v>819.1499144553818</v>
      </c>
      <c r="AI18" s="143">
        <f t="shared" si="4"/>
        <v>801.85271513185091</v>
      </c>
      <c r="AJ18" s="144">
        <f t="shared" si="5"/>
        <v>16.037054302637017</v>
      </c>
    </row>
    <row r="19" spans="1:36">
      <c r="A19" s="116">
        <v>60</v>
      </c>
      <c r="B19" s="132">
        <v>1</v>
      </c>
      <c r="C19" s="133">
        <v>2357</v>
      </c>
      <c r="D19" s="134">
        <v>6.0000000000000001E-3</v>
      </c>
      <c r="E19" s="135">
        <v>0.91328378378378383</v>
      </c>
      <c r="F19" s="145">
        <v>0.91760810810810822</v>
      </c>
      <c r="G19" s="145">
        <v>0.90881081081081083</v>
      </c>
      <c r="H19" s="145">
        <v>0.91328378378378383</v>
      </c>
      <c r="I19" s="145">
        <v>0.92172972972972977</v>
      </c>
      <c r="J19" s="137">
        <v>0.90056756756756762</v>
      </c>
      <c r="K19" s="138">
        <f t="shared" si="0"/>
        <v>0.90728378378378383</v>
      </c>
      <c r="L19" s="134">
        <f t="shared" si="0"/>
        <v>0.91160810810810822</v>
      </c>
      <c r="M19" s="134">
        <f t="shared" si="0"/>
        <v>0.90281081081081083</v>
      </c>
      <c r="N19" s="134">
        <f t="shared" si="0"/>
        <v>0.90728378378378383</v>
      </c>
      <c r="O19" s="134">
        <f t="shared" si="0"/>
        <v>0.91572972972972977</v>
      </c>
      <c r="P19" s="139">
        <f t="shared" si="0"/>
        <v>0.89456756756756761</v>
      </c>
      <c r="Q19" s="140">
        <f t="shared" si="1"/>
        <v>115516.4713019546</v>
      </c>
      <c r="R19" s="141">
        <f t="shared" si="1"/>
        <v>114972.08783117091</v>
      </c>
      <c r="S19" s="141">
        <f t="shared" si="1"/>
        <v>116085.01873550226</v>
      </c>
      <c r="T19" s="141">
        <f t="shared" si="1"/>
        <v>115516.4713019546</v>
      </c>
      <c r="U19" s="141">
        <f t="shared" si="1"/>
        <v>114457.97677691764</v>
      </c>
      <c r="V19" s="142">
        <f t="shared" si="1"/>
        <v>117147.58980822904</v>
      </c>
      <c r="W19" s="140">
        <f t="shared" si="2"/>
        <v>116280.39857608841</v>
      </c>
      <c r="X19" s="141">
        <f t="shared" si="2"/>
        <v>115728.80831319763</v>
      </c>
      <c r="Y19" s="141">
        <f t="shared" si="2"/>
        <v>116856.50940007184</v>
      </c>
      <c r="Z19" s="141">
        <f t="shared" si="2"/>
        <v>116280.39857608841</v>
      </c>
      <c r="AA19" s="141">
        <f t="shared" si="2"/>
        <v>115207.9227908624</v>
      </c>
      <c r="AB19" s="142">
        <f t="shared" si="2"/>
        <v>117933.31641439316</v>
      </c>
      <c r="AC19" s="140">
        <f t="shared" si="3"/>
        <v>763.92727413380635</v>
      </c>
      <c r="AD19" s="141">
        <f t="shared" si="3"/>
        <v>756.72048202672158</v>
      </c>
      <c r="AE19" s="141">
        <f t="shared" si="3"/>
        <v>771.49066456957371</v>
      </c>
      <c r="AF19" s="141">
        <f t="shared" si="3"/>
        <v>763.92727413380635</v>
      </c>
      <c r="AG19" s="141">
        <f t="shared" si="3"/>
        <v>749.94601394476194</v>
      </c>
      <c r="AH19" s="142">
        <f t="shared" si="3"/>
        <v>785.72660616412759</v>
      </c>
      <c r="AI19" s="143">
        <f t="shared" si="4"/>
        <v>765.28971916213288</v>
      </c>
      <c r="AJ19" s="144">
        <f t="shared" si="5"/>
        <v>12.754828652702214</v>
      </c>
    </row>
    <row r="20" spans="1:36">
      <c r="A20" s="116">
        <v>75</v>
      </c>
      <c r="B20" s="132">
        <f>B19</f>
        <v>1</v>
      </c>
      <c r="C20" s="133">
        <f>C19</f>
        <v>2357</v>
      </c>
      <c r="D20" s="134">
        <v>5.0000000000000001E-3</v>
      </c>
      <c r="E20" s="135">
        <v>0.91963675213675222</v>
      </c>
      <c r="F20" s="145">
        <v>0.9235427350427351</v>
      </c>
      <c r="G20" s="145">
        <v>0.9091111111111112</v>
      </c>
      <c r="H20" s="145">
        <v>0.92017521367521371</v>
      </c>
      <c r="I20" s="145">
        <v>0.92213247863247871</v>
      </c>
      <c r="J20" s="137">
        <v>0.91074358974358982</v>
      </c>
      <c r="K20" s="138">
        <f t="shared" si="0"/>
        <v>0.91463675213675222</v>
      </c>
      <c r="L20" s="134">
        <f t="shared" si="0"/>
        <v>0.91854273504273509</v>
      </c>
      <c r="M20" s="134">
        <f t="shared" si="0"/>
        <v>0.9041111111111112</v>
      </c>
      <c r="N20" s="134">
        <f t="shared" si="0"/>
        <v>0.91517521367521371</v>
      </c>
      <c r="O20" s="134">
        <f t="shared" si="0"/>
        <v>0.91713247863247871</v>
      </c>
      <c r="P20" s="139">
        <f t="shared" si="0"/>
        <v>0.90574358974358982</v>
      </c>
      <c r="Q20" s="140">
        <f t="shared" si="1"/>
        <v>143398.08592207066</v>
      </c>
      <c r="R20" s="141">
        <f t="shared" si="1"/>
        <v>142791.60562493926</v>
      </c>
      <c r="S20" s="141">
        <f t="shared" si="1"/>
        <v>145058.34148130039</v>
      </c>
      <c r="T20" s="141">
        <f t="shared" si="1"/>
        <v>143314.17325760145</v>
      </c>
      <c r="U20" s="141">
        <f t="shared" si="1"/>
        <v>143009.98289916996</v>
      </c>
      <c r="V20" s="142">
        <f t="shared" si="1"/>
        <v>144798.3290633182</v>
      </c>
      <c r="W20" s="140">
        <f t="shared" si="2"/>
        <v>144181.99322509053</v>
      </c>
      <c r="X20" s="141">
        <f t="shared" si="2"/>
        <v>143568.87814682306</v>
      </c>
      <c r="Y20" s="141">
        <f t="shared" si="2"/>
        <v>145860.55671623445</v>
      </c>
      <c r="Z20" s="141">
        <f t="shared" si="2"/>
        <v>144097.16088180768</v>
      </c>
      <c r="AA20" s="141">
        <f t="shared" si="2"/>
        <v>143789.64116136785</v>
      </c>
      <c r="AB20" s="142">
        <f t="shared" si="2"/>
        <v>145597.66306194087</v>
      </c>
      <c r="AC20" s="140">
        <f t="shared" si="3"/>
        <v>783.90730301986332</v>
      </c>
      <c r="AD20" s="141">
        <f t="shared" si="3"/>
        <v>777.27252188380226</v>
      </c>
      <c r="AE20" s="141">
        <f t="shared" si="3"/>
        <v>802.2152349340613</v>
      </c>
      <c r="AF20" s="141">
        <f t="shared" si="3"/>
        <v>782.98762420623098</v>
      </c>
      <c r="AG20" s="141">
        <f t="shared" si="3"/>
        <v>779.65826219788869</v>
      </c>
      <c r="AH20" s="142">
        <f t="shared" si="3"/>
        <v>799.33399862266378</v>
      </c>
      <c r="AI20" s="143">
        <f t="shared" si="4"/>
        <v>787.56249081075168</v>
      </c>
      <c r="AJ20" s="144">
        <f t="shared" si="5"/>
        <v>10.500833210810022</v>
      </c>
    </row>
    <row r="21" spans="1:36">
      <c r="A21" s="116">
        <v>100</v>
      </c>
      <c r="B21" s="132">
        <f>B20</f>
        <v>1</v>
      </c>
      <c r="C21" s="133">
        <f>C20</f>
        <v>2357</v>
      </c>
      <c r="D21" s="134">
        <v>5.0000000000000001E-3</v>
      </c>
      <c r="E21" s="135">
        <v>0.92757485029940123</v>
      </c>
      <c r="F21" s="145">
        <v>0.92714371257485029</v>
      </c>
      <c r="G21" s="145">
        <v>0.91167065868263486</v>
      </c>
      <c r="H21" s="145">
        <v>0.92149101796407196</v>
      </c>
      <c r="I21" s="145">
        <v>0.92929341317365277</v>
      </c>
      <c r="J21" s="137">
        <v>0.9160359281437126</v>
      </c>
      <c r="K21" s="138">
        <f t="shared" si="0"/>
        <v>0.92257485029940123</v>
      </c>
      <c r="L21" s="134">
        <f t="shared" si="0"/>
        <v>0.92214371257485028</v>
      </c>
      <c r="M21" s="134">
        <f t="shared" si="0"/>
        <v>0.90667065868263486</v>
      </c>
      <c r="N21" s="134">
        <f t="shared" si="0"/>
        <v>0.91649101796407195</v>
      </c>
      <c r="O21" s="134">
        <f t="shared" si="0"/>
        <v>0.92429341317365277</v>
      </c>
      <c r="P21" s="139">
        <f t="shared" si="0"/>
        <v>0.91103592814371259</v>
      </c>
      <c r="Q21" s="140">
        <f t="shared" si="1"/>
        <v>189561.19815370705</v>
      </c>
      <c r="R21" s="141">
        <f t="shared" si="1"/>
        <v>189649.34736135061</v>
      </c>
      <c r="S21" s="141">
        <f t="shared" si="1"/>
        <v>192868.11341946412</v>
      </c>
      <c r="T21" s="141">
        <f t="shared" si="1"/>
        <v>190812.71175977486</v>
      </c>
      <c r="U21" s="141">
        <f t="shared" si="1"/>
        <v>189210.63843497084</v>
      </c>
      <c r="V21" s="142">
        <f t="shared" si="1"/>
        <v>191949.02142791773</v>
      </c>
      <c r="W21" s="140">
        <f t="shared" si="2"/>
        <v>190588.54676445771</v>
      </c>
      <c r="X21" s="141">
        <f t="shared" si="2"/>
        <v>190677.65425525006</v>
      </c>
      <c r="Y21" s="141">
        <f t="shared" si="2"/>
        <v>193931.71965604235</v>
      </c>
      <c r="Z21" s="141">
        <f t="shared" si="2"/>
        <v>191853.70784167675</v>
      </c>
      <c r="AA21" s="141">
        <f t="shared" si="2"/>
        <v>190234.18050363765</v>
      </c>
      <c r="AB21" s="142">
        <f t="shared" si="2"/>
        <v>193002.4871338149</v>
      </c>
      <c r="AC21" s="140">
        <f t="shared" si="3"/>
        <v>1027.3486107506615</v>
      </c>
      <c r="AD21" s="141">
        <f t="shared" si="3"/>
        <v>1028.3068938994547</v>
      </c>
      <c r="AE21" s="141">
        <f t="shared" si="3"/>
        <v>1063.6062365782273</v>
      </c>
      <c r="AF21" s="141">
        <f t="shared" si="3"/>
        <v>1040.9960819018888</v>
      </c>
      <c r="AG21" s="141">
        <f t="shared" si="3"/>
        <v>1023.5420686668076</v>
      </c>
      <c r="AH21" s="142">
        <f t="shared" si="3"/>
        <v>1053.4657058971643</v>
      </c>
      <c r="AI21" s="143">
        <f t="shared" si="4"/>
        <v>1039.5442662823673</v>
      </c>
      <c r="AJ21" s="144">
        <f t="shared" si="5"/>
        <v>10.395442662823672</v>
      </c>
    </row>
    <row r="22" spans="1:36">
      <c r="A22" s="116">
        <v>125</v>
      </c>
      <c r="B22" s="146">
        <v>0.96</v>
      </c>
      <c r="C22" s="133">
        <v>2198</v>
      </c>
      <c r="D22" s="134">
        <v>5.0000000000000001E-3</v>
      </c>
      <c r="E22" s="135">
        <v>0.92623893805309732</v>
      </c>
      <c r="F22" s="145">
        <v>0.9287345132743362</v>
      </c>
      <c r="G22" s="145">
        <v>0.91852212389380528</v>
      </c>
      <c r="H22" s="145">
        <v>0.92699115044247782</v>
      </c>
      <c r="I22" s="145">
        <v>0.9287345132743362</v>
      </c>
      <c r="J22" s="137">
        <v>0.91849557522123892</v>
      </c>
      <c r="K22" s="138">
        <f t="shared" si="0"/>
        <v>0.92123893805309731</v>
      </c>
      <c r="L22" s="134">
        <f t="shared" si="0"/>
        <v>0.9237345132743362</v>
      </c>
      <c r="M22" s="134">
        <f t="shared" si="0"/>
        <v>0.91352212389380527</v>
      </c>
      <c r="N22" s="134">
        <f t="shared" si="0"/>
        <v>0.92199115044247781</v>
      </c>
      <c r="O22" s="134">
        <f t="shared" si="0"/>
        <v>0.9237345132743362</v>
      </c>
      <c r="P22" s="139">
        <f t="shared" si="0"/>
        <v>0.91349557522123892</v>
      </c>
      <c r="Q22" s="140">
        <f t="shared" si="1"/>
        <v>212434.34271246355</v>
      </c>
      <c r="R22" s="141">
        <f t="shared" si="1"/>
        <v>211863.51663220485</v>
      </c>
      <c r="S22" s="141">
        <f t="shared" si="1"/>
        <v>214219.07527482585</v>
      </c>
      <c r="T22" s="141">
        <f t="shared" si="1"/>
        <v>212261.96162291168</v>
      </c>
      <c r="U22" s="141">
        <f t="shared" si="1"/>
        <v>211863.51663220485</v>
      </c>
      <c r="V22" s="142">
        <f t="shared" si="1"/>
        <v>214225.26717410155</v>
      </c>
      <c r="W22" s="140">
        <f t="shared" si="2"/>
        <v>213587.32449567723</v>
      </c>
      <c r="X22" s="141">
        <f t="shared" si="2"/>
        <v>213010.29372880381</v>
      </c>
      <c r="Y22" s="141">
        <f t="shared" si="2"/>
        <v>215391.56507924205</v>
      </c>
      <c r="Z22" s="141">
        <f t="shared" si="2"/>
        <v>213413.06790804819</v>
      </c>
      <c r="AA22" s="141">
        <f t="shared" si="2"/>
        <v>213010.29372880381</v>
      </c>
      <c r="AB22" s="142">
        <f t="shared" si="2"/>
        <v>215397.8249455074</v>
      </c>
      <c r="AC22" s="140">
        <f t="shared" si="3"/>
        <v>1152.981783213676</v>
      </c>
      <c r="AD22" s="141">
        <f t="shared" si="3"/>
        <v>1146.7770965989621</v>
      </c>
      <c r="AE22" s="141">
        <f t="shared" si="3"/>
        <v>1172.4898044161964</v>
      </c>
      <c r="AF22" s="141">
        <f t="shared" si="3"/>
        <v>1151.1062851365132</v>
      </c>
      <c r="AG22" s="141">
        <f t="shared" si="3"/>
        <v>1146.7770965989621</v>
      </c>
      <c r="AH22" s="142">
        <f t="shared" si="3"/>
        <v>1172.5577714058454</v>
      </c>
      <c r="AI22" s="143">
        <f t="shared" si="4"/>
        <v>1157.1149728950259</v>
      </c>
      <c r="AJ22" s="144">
        <f t="shared" si="5"/>
        <v>9.2569197831602068</v>
      </c>
    </row>
    <row r="23" spans="1:36">
      <c r="A23" s="116">
        <v>150</v>
      </c>
      <c r="B23" s="146">
        <f>B22</f>
        <v>0.96</v>
      </c>
      <c r="C23" s="133">
        <f>C22</f>
        <v>2198</v>
      </c>
      <c r="D23" s="134">
        <v>5.0000000000000001E-3</v>
      </c>
      <c r="E23" s="135">
        <v>0.93</v>
      </c>
      <c r="F23" s="145">
        <v>0.9325485714285715</v>
      </c>
      <c r="G23" s="145">
        <v>0.92086285714285721</v>
      </c>
      <c r="H23" s="145">
        <v>0.93496571428571429</v>
      </c>
      <c r="I23" s="145">
        <v>0.93415999999999999</v>
      </c>
      <c r="J23" s="137">
        <v>0.92100000000000004</v>
      </c>
      <c r="K23" s="138">
        <f t="shared" si="0"/>
        <v>0.92500000000000004</v>
      </c>
      <c r="L23" s="134">
        <f t="shared" si="0"/>
        <v>0.9275485714285715</v>
      </c>
      <c r="M23" s="134">
        <f t="shared" si="0"/>
        <v>0.9158628571428572</v>
      </c>
      <c r="N23" s="134">
        <f t="shared" si="0"/>
        <v>0.92996571428571428</v>
      </c>
      <c r="O23" s="134">
        <f t="shared" si="0"/>
        <v>0.92915999999999999</v>
      </c>
      <c r="P23" s="139">
        <f t="shared" si="0"/>
        <v>0.91600000000000004</v>
      </c>
      <c r="Q23" s="140">
        <f t="shared" si="1"/>
        <v>253890.27096774193</v>
      </c>
      <c r="R23" s="141">
        <f t="shared" si="1"/>
        <v>253196.41167675675</v>
      </c>
      <c r="S23" s="141">
        <f t="shared" si="1"/>
        <v>256409.46441536199</v>
      </c>
      <c r="T23" s="141">
        <f t="shared" si="1"/>
        <v>252541.82949412969</v>
      </c>
      <c r="U23" s="141">
        <f t="shared" si="1"/>
        <v>252759.64716964978</v>
      </c>
      <c r="V23" s="142">
        <f t="shared" si="1"/>
        <v>256371.28338762218</v>
      </c>
      <c r="W23" s="140">
        <f t="shared" si="2"/>
        <v>255262.6508108108</v>
      </c>
      <c r="X23" s="141">
        <f t="shared" si="2"/>
        <v>254561.28042582292</v>
      </c>
      <c r="Y23" s="141">
        <f t="shared" si="2"/>
        <v>257809.2889765155</v>
      </c>
      <c r="Z23" s="141">
        <f t="shared" si="2"/>
        <v>253899.63132281377</v>
      </c>
      <c r="AA23" s="141">
        <f t="shared" si="2"/>
        <v>254119.79852770246</v>
      </c>
      <c r="AB23" s="142">
        <f t="shared" si="2"/>
        <v>257770.68995633186</v>
      </c>
      <c r="AC23" s="140">
        <f t="shared" si="3"/>
        <v>1372.3798430688621</v>
      </c>
      <c r="AD23" s="141">
        <f t="shared" si="3"/>
        <v>1364.8687490661687</v>
      </c>
      <c r="AE23" s="141">
        <f t="shared" si="3"/>
        <v>1399.8245611535094</v>
      </c>
      <c r="AF23" s="141">
        <f t="shared" si="3"/>
        <v>1357.8018286840816</v>
      </c>
      <c r="AG23" s="141">
        <f t="shared" si="3"/>
        <v>1360.1513580526807</v>
      </c>
      <c r="AH23" s="142">
        <f t="shared" si="3"/>
        <v>1399.4065687096736</v>
      </c>
      <c r="AI23" s="143">
        <f t="shared" si="4"/>
        <v>1375.738818122496</v>
      </c>
      <c r="AJ23" s="144">
        <f t="shared" si="5"/>
        <v>9.1715921208166407</v>
      </c>
    </row>
    <row r="24" spans="1:36">
      <c r="A24" s="116">
        <v>200</v>
      </c>
      <c r="B24" s="146">
        <f>B23</f>
        <v>0.96</v>
      </c>
      <c r="C24" s="133">
        <f>C23</f>
        <v>2198</v>
      </c>
      <c r="D24" s="134">
        <v>5.0000000000000001E-3</v>
      </c>
      <c r="E24" s="135">
        <v>0.93235915492957755</v>
      </c>
      <c r="F24" s="145">
        <v>0.93408450704225343</v>
      </c>
      <c r="G24" s="145">
        <v>0.92088028169014091</v>
      </c>
      <c r="H24" s="145">
        <v>0.93084507042253528</v>
      </c>
      <c r="I24" s="145">
        <v>0.93827464788732384</v>
      </c>
      <c r="J24" s="137">
        <v>0.93799295774647884</v>
      </c>
      <c r="K24" s="138">
        <f t="shared" si="0"/>
        <v>0.92735915492957754</v>
      </c>
      <c r="L24" s="134">
        <f t="shared" si="0"/>
        <v>0.92908450704225343</v>
      </c>
      <c r="M24" s="134">
        <f t="shared" si="0"/>
        <v>0.91588028169014091</v>
      </c>
      <c r="N24" s="134">
        <f t="shared" si="0"/>
        <v>0.92584507042253528</v>
      </c>
      <c r="O24" s="134">
        <f t="shared" si="0"/>
        <v>0.93327464788732384</v>
      </c>
      <c r="P24" s="139">
        <f t="shared" si="0"/>
        <v>0.93299295774647883</v>
      </c>
      <c r="Q24" s="140">
        <f t="shared" si="1"/>
        <v>337663.80083840009</v>
      </c>
      <c r="R24" s="141">
        <f t="shared" si="1"/>
        <v>337040.10036188172</v>
      </c>
      <c r="S24" s="141">
        <f t="shared" si="1"/>
        <v>341872.81697701977</v>
      </c>
      <c r="T24" s="141">
        <f t="shared" si="1"/>
        <v>338213.03458919644</v>
      </c>
      <c r="U24" s="141">
        <f t="shared" si="1"/>
        <v>335534.94886478776</v>
      </c>
      <c r="V24" s="142">
        <f t="shared" si="1"/>
        <v>335635.71389316407</v>
      </c>
      <c r="W24" s="140">
        <f t="shared" si="2"/>
        <v>339484.36733113095</v>
      </c>
      <c r="X24" s="141">
        <f t="shared" si="2"/>
        <v>338853.9294474342</v>
      </c>
      <c r="Y24" s="141">
        <f t="shared" si="2"/>
        <v>343739.178901234</v>
      </c>
      <c r="Z24" s="141">
        <f t="shared" si="2"/>
        <v>340039.54447402438</v>
      </c>
      <c r="AA24" s="141">
        <f t="shared" si="2"/>
        <v>337332.57054895296</v>
      </c>
      <c r="AB24" s="142">
        <f t="shared" si="2"/>
        <v>337434.41832660296</v>
      </c>
      <c r="AC24" s="140">
        <f t="shared" si="3"/>
        <v>1820.566492730868</v>
      </c>
      <c r="AD24" s="141">
        <f t="shared" si="3"/>
        <v>1813.8290855524829</v>
      </c>
      <c r="AE24" s="141">
        <f t="shared" si="3"/>
        <v>1866.3619242142304</v>
      </c>
      <c r="AF24" s="141">
        <f t="shared" si="3"/>
        <v>1826.5098848279449</v>
      </c>
      <c r="AG24" s="141">
        <f t="shared" si="3"/>
        <v>1797.6216841652058</v>
      </c>
      <c r="AH24" s="142">
        <f t="shared" si="3"/>
        <v>1798.704433438892</v>
      </c>
      <c r="AI24" s="143">
        <f t="shared" si="4"/>
        <v>1820.5989174882707</v>
      </c>
      <c r="AJ24" s="144">
        <f t="shared" si="5"/>
        <v>9.1029945874413531</v>
      </c>
    </row>
    <row r="25" spans="1:36">
      <c r="A25" s="116">
        <v>250</v>
      </c>
      <c r="B25" s="146">
        <v>1</v>
      </c>
      <c r="C25" s="133">
        <v>2674</v>
      </c>
      <c r="D25" s="134">
        <v>5.0000000000000001E-3</v>
      </c>
      <c r="E25" s="135">
        <v>0.94188636363636347</v>
      </c>
      <c r="F25" s="145">
        <v>0.94495454545454538</v>
      </c>
      <c r="G25" s="145">
        <v>0.93136363636363639</v>
      </c>
      <c r="H25" s="145">
        <v>0.94495454545454538</v>
      </c>
      <c r="I25" s="145">
        <v>0.94336363636363618</v>
      </c>
      <c r="J25" s="137">
        <v>0.94774999999999987</v>
      </c>
      <c r="K25" s="138">
        <f t="shared" si="0"/>
        <v>0.93688636363636346</v>
      </c>
      <c r="L25" s="134">
        <f t="shared" si="0"/>
        <v>0.93995454545454538</v>
      </c>
      <c r="M25" s="134">
        <f t="shared" si="0"/>
        <v>0.92636363636363639</v>
      </c>
      <c r="N25" s="134">
        <f t="shared" si="0"/>
        <v>0.93995454545454538</v>
      </c>
      <c r="O25" s="134">
        <f t="shared" si="0"/>
        <v>0.93836363636363618</v>
      </c>
      <c r="P25" s="139">
        <f t="shared" si="0"/>
        <v>0.94274999999999987</v>
      </c>
      <c r="Q25" s="140">
        <f t="shared" si="1"/>
        <v>529470.45339381811</v>
      </c>
      <c r="R25" s="141">
        <f t="shared" si="1"/>
        <v>527751.31078935985</v>
      </c>
      <c r="S25" s="141">
        <f t="shared" si="1"/>
        <v>535452.51342118112</v>
      </c>
      <c r="T25" s="141">
        <f t="shared" si="1"/>
        <v>527751.31078935985</v>
      </c>
      <c r="U25" s="141">
        <f t="shared" si="1"/>
        <v>528641.32215476548</v>
      </c>
      <c r="V25" s="142">
        <f t="shared" si="1"/>
        <v>526194.67159060948</v>
      </c>
      <c r="W25" s="140">
        <f t="shared" si="2"/>
        <v>532296.14535574813</v>
      </c>
      <c r="X25" s="141">
        <f t="shared" si="2"/>
        <v>530558.63436336385</v>
      </c>
      <c r="Y25" s="141">
        <f t="shared" si="2"/>
        <v>538342.59077526978</v>
      </c>
      <c r="Z25" s="141">
        <f t="shared" si="2"/>
        <v>530558.63436336385</v>
      </c>
      <c r="AA25" s="141">
        <f t="shared" si="2"/>
        <v>531458.14764580515</v>
      </c>
      <c r="AB25" s="142">
        <f t="shared" si="2"/>
        <v>528985.41500928148</v>
      </c>
      <c r="AC25" s="140">
        <f t="shared" si="3"/>
        <v>2825.691961930017</v>
      </c>
      <c r="AD25" s="141">
        <f t="shared" si="3"/>
        <v>2807.3235740039963</v>
      </c>
      <c r="AE25" s="141">
        <f t="shared" si="3"/>
        <v>2890.0773540886585</v>
      </c>
      <c r="AF25" s="141">
        <f t="shared" si="3"/>
        <v>2807.3235740039963</v>
      </c>
      <c r="AG25" s="141">
        <f t="shared" si="3"/>
        <v>2816.8254910396645</v>
      </c>
      <c r="AH25" s="142">
        <f t="shared" si="3"/>
        <v>2790.7434186720056</v>
      </c>
      <c r="AI25" s="143">
        <f t="shared" si="4"/>
        <v>2822.9975622897232</v>
      </c>
      <c r="AJ25" s="144">
        <f t="shared" si="5"/>
        <v>11.291990249158893</v>
      </c>
    </row>
    <row r="26" spans="1:36">
      <c r="A26" s="116">
        <v>300</v>
      </c>
      <c r="B26" s="146">
        <f t="shared" ref="B26:C30" si="7">B25</f>
        <v>1</v>
      </c>
      <c r="C26" s="133">
        <f t="shared" si="7"/>
        <v>2674</v>
      </c>
      <c r="D26" s="134">
        <v>5.0000000000000001E-3</v>
      </c>
      <c r="E26" s="135">
        <v>0.94459259259259254</v>
      </c>
      <c r="F26" s="145">
        <v>0.94671111111111106</v>
      </c>
      <c r="G26" s="145">
        <v>0.93988888888888888</v>
      </c>
      <c r="H26" s="145">
        <v>0.94482962962962957</v>
      </c>
      <c r="I26" s="145">
        <v>0.94506666666666661</v>
      </c>
      <c r="J26" s="137">
        <v>0.94765185185185186</v>
      </c>
      <c r="K26" s="138">
        <f t="shared" si="0"/>
        <v>0.93959259259259253</v>
      </c>
      <c r="L26" s="134">
        <f t="shared" si="0"/>
        <v>0.94171111111111105</v>
      </c>
      <c r="M26" s="134">
        <f t="shared" si="0"/>
        <v>0.93488888888888888</v>
      </c>
      <c r="N26" s="134">
        <f t="shared" si="0"/>
        <v>0.93982962962962957</v>
      </c>
      <c r="O26" s="134">
        <f t="shared" si="0"/>
        <v>0.94006666666666661</v>
      </c>
      <c r="P26" s="139">
        <f t="shared" si="0"/>
        <v>0.94265185185185185</v>
      </c>
      <c r="Q26" s="140">
        <f t="shared" si="1"/>
        <v>633544.24404015078</v>
      </c>
      <c r="R26" s="141">
        <f t="shared" si="1"/>
        <v>632126.51988169574</v>
      </c>
      <c r="S26" s="141">
        <f t="shared" si="1"/>
        <v>636714.83626906271</v>
      </c>
      <c r="T26" s="141">
        <f t="shared" si="1"/>
        <v>633385.30168088316</v>
      </c>
      <c r="U26" s="141">
        <f t="shared" si="1"/>
        <v>633226.4390519188</v>
      </c>
      <c r="V26" s="142">
        <f t="shared" si="1"/>
        <v>631499.00338458421</v>
      </c>
      <c r="W26" s="140">
        <f t="shared" si="2"/>
        <v>636915.62142772693</v>
      </c>
      <c r="X26" s="141">
        <f t="shared" si="2"/>
        <v>635482.78547325206</v>
      </c>
      <c r="Y26" s="141">
        <f t="shared" si="2"/>
        <v>640120.13311148097</v>
      </c>
      <c r="Z26" s="141">
        <f t="shared" si="2"/>
        <v>636754.9831726792</v>
      </c>
      <c r="AA26" s="141">
        <f t="shared" si="2"/>
        <v>636594.42592723935</v>
      </c>
      <c r="AB26" s="142">
        <f t="shared" si="2"/>
        <v>634848.59105125035</v>
      </c>
      <c r="AC26" s="140">
        <f t="shared" si="3"/>
        <v>3371.3773875761544</v>
      </c>
      <c r="AD26" s="141">
        <f t="shared" si="3"/>
        <v>3356.2655915563228</v>
      </c>
      <c r="AE26" s="141">
        <f t="shared" si="3"/>
        <v>3405.2968424182618</v>
      </c>
      <c r="AF26" s="141">
        <f t="shared" si="3"/>
        <v>3369.6814917960437</v>
      </c>
      <c r="AG26" s="141">
        <f t="shared" si="3"/>
        <v>3367.9868753205519</v>
      </c>
      <c r="AH26" s="142">
        <f t="shared" si="3"/>
        <v>3349.5876666661352</v>
      </c>
      <c r="AI26" s="143">
        <f t="shared" si="4"/>
        <v>3370.0326425555781</v>
      </c>
      <c r="AJ26" s="144">
        <f t="shared" si="5"/>
        <v>11.233442141851928</v>
      </c>
    </row>
    <row r="27" spans="1:36">
      <c r="A27" s="116">
        <v>350</v>
      </c>
      <c r="B27" s="146">
        <f t="shared" si="7"/>
        <v>1</v>
      </c>
      <c r="C27" s="133">
        <f t="shared" si="7"/>
        <v>2674</v>
      </c>
      <c r="D27" s="134">
        <v>5.0000000000000001E-3</v>
      </c>
      <c r="E27" s="135">
        <v>0.94576829268292673</v>
      </c>
      <c r="F27" s="145">
        <v>0.94245121951219502</v>
      </c>
      <c r="G27" s="145">
        <v>0.94302439024390239</v>
      </c>
      <c r="H27" s="145">
        <v>0.94428048780487794</v>
      </c>
      <c r="I27" s="145">
        <v>0.94736585365853654</v>
      </c>
      <c r="J27" s="137">
        <v>0.9479390243902438</v>
      </c>
      <c r="K27" s="138">
        <f t="shared" si="0"/>
        <v>0.94076829268292672</v>
      </c>
      <c r="L27" s="134">
        <f t="shared" si="0"/>
        <v>0.93745121951219501</v>
      </c>
      <c r="M27" s="134">
        <f t="shared" si="0"/>
        <v>0.93802439024390238</v>
      </c>
      <c r="N27" s="134">
        <f t="shared" si="0"/>
        <v>0.93928048780487794</v>
      </c>
      <c r="O27" s="134">
        <f t="shared" si="0"/>
        <v>0.94236585365853653</v>
      </c>
      <c r="P27" s="139">
        <f t="shared" si="0"/>
        <v>0.9429390243902438</v>
      </c>
      <c r="Q27" s="140">
        <f t="shared" si="1"/>
        <v>738216.12058850098</v>
      </c>
      <c r="R27" s="141">
        <f t="shared" si="1"/>
        <v>740814.36316817859</v>
      </c>
      <c r="S27" s="141">
        <f t="shared" si="1"/>
        <v>740364.09579971037</v>
      </c>
      <c r="T27" s="141">
        <f t="shared" si="1"/>
        <v>739379.25120429811</v>
      </c>
      <c r="U27" s="141">
        <f t="shared" si="1"/>
        <v>736971.25276762282</v>
      </c>
      <c r="V27" s="142">
        <f t="shared" si="1"/>
        <v>736525.64356563031</v>
      </c>
      <c r="W27" s="140">
        <f t="shared" si="2"/>
        <v>742139.59529704589</v>
      </c>
      <c r="X27" s="141">
        <f t="shared" si="2"/>
        <v>744765.57869677781</v>
      </c>
      <c r="Y27" s="141">
        <f t="shared" si="2"/>
        <v>744310.49689279497</v>
      </c>
      <c r="Z27" s="141">
        <f t="shared" si="2"/>
        <v>743315.1322366629</v>
      </c>
      <c r="AA27" s="141">
        <f t="shared" si="2"/>
        <v>740881.47112871089</v>
      </c>
      <c r="AB27" s="142">
        <f t="shared" si="2"/>
        <v>740431.12220483448</v>
      </c>
      <c r="AC27" s="140">
        <f t="shared" si="3"/>
        <v>3923.4747085449053</v>
      </c>
      <c r="AD27" s="141">
        <f t="shared" si="3"/>
        <v>3951.2155285992194</v>
      </c>
      <c r="AE27" s="141">
        <f t="shared" si="3"/>
        <v>3946.401093084598</v>
      </c>
      <c r="AF27" s="141">
        <f t="shared" si="3"/>
        <v>3935.8810323647922</v>
      </c>
      <c r="AG27" s="141">
        <f t="shared" si="3"/>
        <v>3910.2183610880747</v>
      </c>
      <c r="AH27" s="142">
        <f t="shared" si="3"/>
        <v>3905.4786392041715</v>
      </c>
      <c r="AI27" s="143">
        <f t="shared" si="4"/>
        <v>3928.7782271476267</v>
      </c>
      <c r="AJ27" s="144">
        <f t="shared" si="5"/>
        <v>11.225080648993218</v>
      </c>
    </row>
    <row r="28" spans="1:36">
      <c r="A28" s="116">
        <v>400</v>
      </c>
      <c r="B28" s="146">
        <f t="shared" si="7"/>
        <v>1</v>
      </c>
      <c r="C28" s="147">
        <f t="shared" si="7"/>
        <v>2674</v>
      </c>
      <c r="D28" s="134">
        <v>5.0000000000000001E-3</v>
      </c>
      <c r="E28" s="135">
        <v>0.95414545454545452</v>
      </c>
      <c r="F28" s="145">
        <v>0.94740000000000002</v>
      </c>
      <c r="G28" s="145">
        <v>0.94354545454545447</v>
      </c>
      <c r="H28" s="145">
        <v>0.95029090909090908</v>
      </c>
      <c r="I28" s="145">
        <v>0.94850909090909086</v>
      </c>
      <c r="J28" s="137">
        <v>0.9483636363636363</v>
      </c>
      <c r="K28" s="138">
        <f t="shared" si="0"/>
        <v>0.94914545454545451</v>
      </c>
      <c r="L28" s="134">
        <f t="shared" si="0"/>
        <v>0.94240000000000002</v>
      </c>
      <c r="M28" s="134">
        <f t="shared" si="0"/>
        <v>0.93854545454545446</v>
      </c>
      <c r="N28" s="134">
        <f t="shared" si="0"/>
        <v>0.94529090909090907</v>
      </c>
      <c r="O28" s="134">
        <f t="shared" si="0"/>
        <v>0.94350909090909085</v>
      </c>
      <c r="P28" s="139">
        <f t="shared" si="0"/>
        <v>0.94336363636363629</v>
      </c>
      <c r="Q28" s="140">
        <f t="shared" si="1"/>
        <v>836268.30290788517</v>
      </c>
      <c r="R28" s="141">
        <f t="shared" si="1"/>
        <v>842222.50369432115</v>
      </c>
      <c r="S28" s="141">
        <f t="shared" si="1"/>
        <v>845663.12746892765</v>
      </c>
      <c r="T28" s="141">
        <f t="shared" si="1"/>
        <v>839660.35281062254</v>
      </c>
      <c r="U28" s="141">
        <f t="shared" si="1"/>
        <v>841237.69360527524</v>
      </c>
      <c r="V28" s="142">
        <f t="shared" si="1"/>
        <v>841366.71779141098</v>
      </c>
      <c r="W28" s="140">
        <f t="shared" si="2"/>
        <v>840673.67775798333</v>
      </c>
      <c r="X28" s="141">
        <f t="shared" si="2"/>
        <v>846691.00169779279</v>
      </c>
      <c r="Y28" s="141">
        <f t="shared" si="2"/>
        <v>850168.30685780721</v>
      </c>
      <c r="Z28" s="141">
        <f t="shared" si="2"/>
        <v>844101.63297493802</v>
      </c>
      <c r="AA28" s="141">
        <f t="shared" si="2"/>
        <v>845695.72003931156</v>
      </c>
      <c r="AB28" s="142">
        <f t="shared" si="2"/>
        <v>845826.1154476247</v>
      </c>
      <c r="AC28" s="140">
        <f t="shared" si="3"/>
        <v>4405.3748500981601</v>
      </c>
      <c r="AD28" s="141">
        <f t="shared" si="3"/>
        <v>4468.4980034716427</v>
      </c>
      <c r="AE28" s="141">
        <f t="shared" si="3"/>
        <v>4505.1793888795655</v>
      </c>
      <c r="AF28" s="141">
        <f t="shared" si="3"/>
        <v>4441.2801643154817</v>
      </c>
      <c r="AG28" s="141">
        <f t="shared" si="3"/>
        <v>4458.026434036321</v>
      </c>
      <c r="AH28" s="142">
        <f t="shared" si="3"/>
        <v>4459.397656213725</v>
      </c>
      <c r="AI28" s="143">
        <f t="shared" si="4"/>
        <v>4456.2927495024824</v>
      </c>
      <c r="AJ28" s="144">
        <f t="shared" si="5"/>
        <v>11.140731873756206</v>
      </c>
    </row>
    <row r="29" spans="1:36">
      <c r="A29" s="116">
        <v>450</v>
      </c>
      <c r="B29" s="146">
        <f t="shared" si="7"/>
        <v>1</v>
      </c>
      <c r="C29" s="147">
        <f t="shared" si="7"/>
        <v>2674</v>
      </c>
      <c r="D29" s="134">
        <v>5.0000000000000001E-3</v>
      </c>
      <c r="E29" s="135">
        <v>0.95448484848484849</v>
      </c>
      <c r="F29" s="145">
        <v>0.95072727272727275</v>
      </c>
      <c r="G29" s="145">
        <v>0.94672727272727275</v>
      </c>
      <c r="H29" s="145">
        <v>0.95048484848484849</v>
      </c>
      <c r="I29" s="145">
        <v>0.94978787878787885</v>
      </c>
      <c r="J29" s="137">
        <v>0.94578787878787873</v>
      </c>
      <c r="K29" s="138">
        <f t="shared" si="0"/>
        <v>0.94948484848484849</v>
      </c>
      <c r="L29" s="134">
        <f t="shared" si="0"/>
        <v>0.94572727272727275</v>
      </c>
      <c r="M29" s="134">
        <f t="shared" si="0"/>
        <v>0.94172727272727275</v>
      </c>
      <c r="N29" s="134">
        <f t="shared" si="0"/>
        <v>0.94548484848484848</v>
      </c>
      <c r="O29" s="134">
        <f t="shared" si="0"/>
        <v>0.94478787878787884</v>
      </c>
      <c r="P29" s="139">
        <f t="shared" si="0"/>
        <v>0.94078787878787873</v>
      </c>
      <c r="Q29" s="140">
        <f t="shared" si="1"/>
        <v>940467.31221029896</v>
      </c>
      <c r="R29" s="141">
        <f t="shared" si="1"/>
        <v>944184.33734939748</v>
      </c>
      <c r="S29" s="141">
        <f t="shared" si="1"/>
        <v>948173.59323986934</v>
      </c>
      <c r="T29" s="141">
        <f t="shared" si="1"/>
        <v>944425.15462602815</v>
      </c>
      <c r="U29" s="141">
        <f t="shared" si="1"/>
        <v>945118.18906932964</v>
      </c>
      <c r="V29" s="142">
        <f t="shared" si="1"/>
        <v>949115.35676524288</v>
      </c>
      <c r="W29" s="140">
        <f t="shared" si="2"/>
        <v>945419.82574282703</v>
      </c>
      <c r="X29" s="141">
        <f t="shared" si="2"/>
        <v>949176.17994809174</v>
      </c>
      <c r="Y29" s="141">
        <f t="shared" si="2"/>
        <v>953207.81928757601</v>
      </c>
      <c r="Z29" s="141">
        <f t="shared" si="2"/>
        <v>949419.55065542751</v>
      </c>
      <c r="AA29" s="141">
        <f t="shared" si="2"/>
        <v>950119.93713515927</v>
      </c>
      <c r="AB29" s="142">
        <f t="shared" si="2"/>
        <v>954159.61476518714</v>
      </c>
      <c r="AC29" s="140">
        <f t="shared" si="3"/>
        <v>4952.5135325280717</v>
      </c>
      <c r="AD29" s="141">
        <f t="shared" si="3"/>
        <v>4991.8425986942602</v>
      </c>
      <c r="AE29" s="141">
        <f t="shared" si="3"/>
        <v>5034.2260477066739</v>
      </c>
      <c r="AF29" s="141">
        <f t="shared" si="3"/>
        <v>4994.3960293993587</v>
      </c>
      <c r="AG29" s="141">
        <f t="shared" si="3"/>
        <v>5001.7480658296263</v>
      </c>
      <c r="AH29" s="142">
        <f t="shared" si="3"/>
        <v>5044.2579999442678</v>
      </c>
      <c r="AI29" s="143">
        <f t="shared" si="4"/>
        <v>5003.1640456837094</v>
      </c>
      <c r="AJ29" s="144">
        <f t="shared" si="5"/>
        <v>11.118142323741576</v>
      </c>
    </row>
    <row r="30" spans="1:36">
      <c r="A30" s="116">
        <v>500</v>
      </c>
      <c r="B30" s="146">
        <f t="shared" si="7"/>
        <v>1</v>
      </c>
      <c r="C30" s="147">
        <f t="shared" si="7"/>
        <v>2674</v>
      </c>
      <c r="D30" s="134">
        <v>5.0000000000000001E-3</v>
      </c>
      <c r="E30" s="135">
        <v>0.95399999999999996</v>
      </c>
      <c r="F30" s="145">
        <v>0.95</v>
      </c>
      <c r="G30" s="145">
        <v>0.94599999999999995</v>
      </c>
      <c r="H30" s="145">
        <v>0.95</v>
      </c>
      <c r="I30" s="145">
        <v>0.94899999999999995</v>
      </c>
      <c r="J30" s="137">
        <v>0.94499999999999995</v>
      </c>
      <c r="K30" s="138">
        <f t="shared" si="0"/>
        <v>0.94899999999999995</v>
      </c>
      <c r="L30" s="134">
        <f t="shared" si="0"/>
        <v>0.94499999999999995</v>
      </c>
      <c r="M30" s="134">
        <f t="shared" si="0"/>
        <v>0.94099999999999995</v>
      </c>
      <c r="N30" s="134">
        <f t="shared" si="0"/>
        <v>0.94499999999999995</v>
      </c>
      <c r="O30" s="134">
        <f t="shared" si="0"/>
        <v>0.94399999999999995</v>
      </c>
      <c r="P30" s="139">
        <f t="shared" si="0"/>
        <v>0.94</v>
      </c>
      <c r="Q30" s="140">
        <f t="shared" si="1"/>
        <v>1045494.7589098533</v>
      </c>
      <c r="R30" s="141">
        <f t="shared" si="1"/>
        <v>1049896.8421052631</v>
      </c>
      <c r="S30" s="141">
        <f t="shared" si="1"/>
        <v>1054336.1522198732</v>
      </c>
      <c r="T30" s="141">
        <f t="shared" si="1"/>
        <v>1049896.8421052631</v>
      </c>
      <c r="U30" s="141">
        <f t="shared" si="1"/>
        <v>1051003.1612223394</v>
      </c>
      <c r="V30" s="142">
        <f t="shared" si="1"/>
        <v>1055451.8518518519</v>
      </c>
      <c r="W30" s="140">
        <f t="shared" si="2"/>
        <v>1051003.1612223394</v>
      </c>
      <c r="X30" s="141">
        <f t="shared" si="2"/>
        <v>1055451.8518518519</v>
      </c>
      <c r="Y30" s="141">
        <f t="shared" si="2"/>
        <v>1059938.3634431458</v>
      </c>
      <c r="Z30" s="141">
        <f t="shared" si="2"/>
        <v>1055451.8518518519</v>
      </c>
      <c r="AA30" s="141">
        <f t="shared" si="2"/>
        <v>1056569.9152542374</v>
      </c>
      <c r="AB30" s="142">
        <f t="shared" si="2"/>
        <v>1061065.9574468085</v>
      </c>
      <c r="AC30" s="140">
        <f t="shared" si="3"/>
        <v>5508.4023124860832</v>
      </c>
      <c r="AD30" s="141">
        <f t="shared" si="3"/>
        <v>5555.0097465887666</v>
      </c>
      <c r="AE30" s="141">
        <f t="shared" si="3"/>
        <v>5602.2112232726067</v>
      </c>
      <c r="AF30" s="141">
        <f t="shared" si="3"/>
        <v>5555.0097465887666</v>
      </c>
      <c r="AG30" s="141">
        <f t="shared" si="3"/>
        <v>5566.7540318979882</v>
      </c>
      <c r="AH30" s="142">
        <f t="shared" si="3"/>
        <v>5614.1055949565489</v>
      </c>
      <c r="AI30" s="143">
        <f t="shared" si="4"/>
        <v>5566.9154426317937</v>
      </c>
      <c r="AJ30" s="144">
        <f t="shared" si="5"/>
        <v>11.133830885263587</v>
      </c>
    </row>
    <row r="31" spans="1:36">
      <c r="A31" s="116">
        <v>600</v>
      </c>
      <c r="B31" s="148">
        <v>1.1499999999999999</v>
      </c>
      <c r="C31" s="147">
        <v>2124</v>
      </c>
      <c r="D31" s="134">
        <v>5.0000000000000001E-3</v>
      </c>
      <c r="E31" s="309">
        <v>0.94199999999999995</v>
      </c>
      <c r="F31" s="310"/>
      <c r="G31" s="310"/>
      <c r="H31" s="310"/>
      <c r="I31" s="310"/>
      <c r="J31" s="311"/>
      <c r="K31" s="309">
        <f t="shared" ref="K31:K46" si="8">E31-D31</f>
        <v>0.93699999999999994</v>
      </c>
      <c r="L31" s="310"/>
      <c r="M31" s="310"/>
      <c r="N31" s="310"/>
      <c r="O31" s="310"/>
      <c r="P31" s="311"/>
      <c r="Q31" s="312">
        <f t="shared" ref="Q31:Q46" si="9">($A31*0.746*$B31*$C31*(1/E31))</f>
        <v>1160623.9490445859</v>
      </c>
      <c r="R31" s="313"/>
      <c r="S31" s="313"/>
      <c r="T31" s="313"/>
      <c r="U31" s="313"/>
      <c r="V31" s="314"/>
      <c r="W31" s="312">
        <f t="shared" ref="W31:W46" si="10">($A31*0.746*$B31*$C31*(1/(K31)))</f>
        <v>1166817.2465314837</v>
      </c>
      <c r="X31" s="313"/>
      <c r="Y31" s="313"/>
      <c r="Z31" s="313"/>
      <c r="AA31" s="313"/>
      <c r="AB31" s="314"/>
      <c r="AC31" s="315">
        <f t="shared" ref="AC31:AC46" si="11">W31-Q31</f>
        <v>6193.2974868977908</v>
      </c>
      <c r="AD31" s="316"/>
      <c r="AE31" s="316"/>
      <c r="AF31" s="316"/>
      <c r="AG31" s="316"/>
      <c r="AH31" s="317"/>
      <c r="AI31" s="143">
        <f t="shared" ref="AI31:AI46" si="12">AC31</f>
        <v>6193.2974868977908</v>
      </c>
      <c r="AJ31" s="144">
        <f t="shared" si="5"/>
        <v>10.322162478162985</v>
      </c>
    </row>
    <row r="32" spans="1:36">
      <c r="A32" s="116">
        <v>700</v>
      </c>
      <c r="B32" s="148">
        <f t="shared" ref="B32:C34" si="13">B31</f>
        <v>1.1499999999999999</v>
      </c>
      <c r="C32" s="147">
        <f t="shared" si="13"/>
        <v>2124</v>
      </c>
      <c r="D32" s="134">
        <v>5.0000000000000001E-3</v>
      </c>
      <c r="E32" s="309">
        <v>0.94399999999999995</v>
      </c>
      <c r="F32" s="310"/>
      <c r="G32" s="310"/>
      <c r="H32" s="310"/>
      <c r="I32" s="310"/>
      <c r="J32" s="311"/>
      <c r="K32" s="309">
        <f t="shared" si="8"/>
        <v>0.93899999999999995</v>
      </c>
      <c r="L32" s="310"/>
      <c r="M32" s="310"/>
      <c r="N32" s="310"/>
      <c r="O32" s="310"/>
      <c r="P32" s="311"/>
      <c r="Q32" s="312">
        <f t="shared" si="9"/>
        <v>1351192.5</v>
      </c>
      <c r="R32" s="313"/>
      <c r="S32" s="313"/>
      <c r="T32" s="313"/>
      <c r="U32" s="313"/>
      <c r="V32" s="314"/>
      <c r="W32" s="312">
        <f t="shared" si="10"/>
        <v>1358387.3482428114</v>
      </c>
      <c r="X32" s="313"/>
      <c r="Y32" s="313"/>
      <c r="Z32" s="313"/>
      <c r="AA32" s="313"/>
      <c r="AB32" s="314"/>
      <c r="AC32" s="315">
        <f t="shared" si="11"/>
        <v>7194.848242811393</v>
      </c>
      <c r="AD32" s="316"/>
      <c r="AE32" s="316"/>
      <c r="AF32" s="316"/>
      <c r="AG32" s="316"/>
      <c r="AH32" s="317"/>
      <c r="AI32" s="143">
        <f t="shared" si="12"/>
        <v>7194.848242811393</v>
      </c>
      <c r="AJ32" s="144">
        <f t="shared" si="5"/>
        <v>10.278354632587705</v>
      </c>
    </row>
    <row r="33" spans="1:36">
      <c r="A33" s="116">
        <v>800</v>
      </c>
      <c r="B33" s="148">
        <f t="shared" si="13"/>
        <v>1.1499999999999999</v>
      </c>
      <c r="C33" s="147">
        <f t="shared" si="13"/>
        <v>2124</v>
      </c>
      <c r="D33" s="134">
        <v>5.0000000000000001E-3</v>
      </c>
      <c r="E33" s="309">
        <v>0.94499999999999995</v>
      </c>
      <c r="F33" s="310"/>
      <c r="G33" s="310"/>
      <c r="H33" s="310"/>
      <c r="I33" s="310"/>
      <c r="J33" s="311"/>
      <c r="K33" s="309">
        <f t="shared" si="8"/>
        <v>0.94</v>
      </c>
      <c r="L33" s="310"/>
      <c r="M33" s="310"/>
      <c r="N33" s="310"/>
      <c r="O33" s="310"/>
      <c r="P33" s="311"/>
      <c r="Q33" s="312">
        <f t="shared" si="9"/>
        <v>1542585.9047619049</v>
      </c>
      <c r="R33" s="313"/>
      <c r="S33" s="313"/>
      <c r="T33" s="313"/>
      <c r="U33" s="313"/>
      <c r="V33" s="314"/>
      <c r="W33" s="312">
        <f t="shared" si="10"/>
        <v>1550791.1489361702</v>
      </c>
      <c r="X33" s="313"/>
      <c r="Y33" s="313"/>
      <c r="Z33" s="313"/>
      <c r="AA33" s="313"/>
      <c r="AB33" s="314"/>
      <c r="AC33" s="315">
        <f t="shared" si="11"/>
        <v>8205.2441742653027</v>
      </c>
      <c r="AD33" s="316"/>
      <c r="AE33" s="316"/>
      <c r="AF33" s="316"/>
      <c r="AG33" s="316"/>
      <c r="AH33" s="317"/>
      <c r="AI33" s="143">
        <f t="shared" si="12"/>
        <v>8205.2441742653027</v>
      </c>
      <c r="AJ33" s="144">
        <f t="shared" si="5"/>
        <v>10.256555217831629</v>
      </c>
    </row>
    <row r="34" spans="1:36">
      <c r="A34" s="116">
        <v>900</v>
      </c>
      <c r="B34" s="148">
        <f t="shared" si="13"/>
        <v>1.1499999999999999</v>
      </c>
      <c r="C34" s="147">
        <f t="shared" si="13"/>
        <v>2124</v>
      </c>
      <c r="D34" s="134">
        <v>5.0000000000000001E-3</v>
      </c>
      <c r="E34" s="309">
        <v>0.94599999999999995</v>
      </c>
      <c r="F34" s="310"/>
      <c r="G34" s="310"/>
      <c r="H34" s="310"/>
      <c r="I34" s="310"/>
      <c r="J34" s="311"/>
      <c r="K34" s="309">
        <f t="shared" si="8"/>
        <v>0.94099999999999995</v>
      </c>
      <c r="L34" s="310"/>
      <c r="M34" s="310"/>
      <c r="N34" s="310"/>
      <c r="O34" s="310"/>
      <c r="P34" s="311"/>
      <c r="Q34" s="312">
        <f t="shared" si="9"/>
        <v>1733574.6723044396</v>
      </c>
      <c r="R34" s="313"/>
      <c r="S34" s="313"/>
      <c r="T34" s="313"/>
      <c r="U34" s="313"/>
      <c r="V34" s="314"/>
      <c r="W34" s="312">
        <f t="shared" si="10"/>
        <v>1742786.0148777897</v>
      </c>
      <c r="X34" s="313"/>
      <c r="Y34" s="313"/>
      <c r="Z34" s="313"/>
      <c r="AA34" s="313"/>
      <c r="AB34" s="314"/>
      <c r="AC34" s="315">
        <f t="shared" si="11"/>
        <v>9211.3425733500626</v>
      </c>
      <c r="AD34" s="316"/>
      <c r="AE34" s="316"/>
      <c r="AF34" s="316"/>
      <c r="AG34" s="316"/>
      <c r="AH34" s="317"/>
      <c r="AI34" s="143">
        <f t="shared" si="12"/>
        <v>9211.3425733500626</v>
      </c>
      <c r="AJ34" s="144">
        <f t="shared" si="5"/>
        <v>10.23482508150007</v>
      </c>
    </row>
    <row r="35" spans="1:36">
      <c r="A35" s="116">
        <v>1000</v>
      </c>
      <c r="B35" s="148">
        <f>B34</f>
        <v>1.1499999999999999</v>
      </c>
      <c r="C35" s="147">
        <v>2124</v>
      </c>
      <c r="D35" s="134">
        <v>5.0000000000000001E-3</v>
      </c>
      <c r="E35" s="309">
        <v>0.94799999999999995</v>
      </c>
      <c r="F35" s="310"/>
      <c r="G35" s="310"/>
      <c r="H35" s="310"/>
      <c r="I35" s="310"/>
      <c r="J35" s="311"/>
      <c r="K35" s="309">
        <f t="shared" si="8"/>
        <v>0.94299999999999995</v>
      </c>
      <c r="L35" s="310"/>
      <c r="M35" s="310"/>
      <c r="N35" s="310"/>
      <c r="O35" s="310"/>
      <c r="P35" s="311"/>
      <c r="Q35" s="312">
        <f t="shared" si="9"/>
        <v>1922130.3797468352</v>
      </c>
      <c r="R35" s="313"/>
      <c r="S35" s="313"/>
      <c r="T35" s="313"/>
      <c r="U35" s="313"/>
      <c r="V35" s="314"/>
      <c r="W35" s="312">
        <f t="shared" si="10"/>
        <v>1932321.9512195121</v>
      </c>
      <c r="X35" s="313"/>
      <c r="Y35" s="313"/>
      <c r="Z35" s="313"/>
      <c r="AA35" s="313"/>
      <c r="AB35" s="314"/>
      <c r="AC35" s="315">
        <f t="shared" si="11"/>
        <v>10191.571472676937</v>
      </c>
      <c r="AD35" s="316"/>
      <c r="AE35" s="316"/>
      <c r="AF35" s="316"/>
      <c r="AG35" s="316"/>
      <c r="AH35" s="317"/>
      <c r="AI35" s="143">
        <f t="shared" si="12"/>
        <v>10191.571472676937</v>
      </c>
      <c r="AJ35" s="144">
        <f t="shared" si="5"/>
        <v>10.191571472676937</v>
      </c>
    </row>
    <row r="36" spans="1:36">
      <c r="A36" s="116">
        <v>1250</v>
      </c>
      <c r="B36" s="148">
        <v>0.96</v>
      </c>
      <c r="C36" s="147">
        <f t="shared" ref="C36:C46" si="14">C35</f>
        <v>2124</v>
      </c>
      <c r="D36" s="134">
        <v>5.0000000000000001E-3</v>
      </c>
      <c r="E36" s="309">
        <v>0.95</v>
      </c>
      <c r="F36" s="310"/>
      <c r="G36" s="310"/>
      <c r="H36" s="310"/>
      <c r="I36" s="310"/>
      <c r="J36" s="311"/>
      <c r="K36" s="309">
        <f t="shared" si="8"/>
        <v>0.94499999999999995</v>
      </c>
      <c r="L36" s="310"/>
      <c r="M36" s="310"/>
      <c r="N36" s="310"/>
      <c r="O36" s="310"/>
      <c r="P36" s="311"/>
      <c r="Q36" s="312">
        <f t="shared" si="9"/>
        <v>2001478.7368421049</v>
      </c>
      <c r="R36" s="313"/>
      <c r="S36" s="313"/>
      <c r="T36" s="313"/>
      <c r="U36" s="313"/>
      <c r="V36" s="314"/>
      <c r="W36" s="312">
        <f t="shared" si="10"/>
        <v>2012068.5714285716</v>
      </c>
      <c r="X36" s="313"/>
      <c r="Y36" s="313"/>
      <c r="Z36" s="313"/>
      <c r="AA36" s="313"/>
      <c r="AB36" s="314"/>
      <c r="AC36" s="315">
        <f t="shared" si="11"/>
        <v>10589.834586466663</v>
      </c>
      <c r="AD36" s="316"/>
      <c r="AE36" s="316"/>
      <c r="AF36" s="316"/>
      <c r="AG36" s="316"/>
      <c r="AH36" s="317"/>
      <c r="AI36" s="143">
        <f t="shared" si="12"/>
        <v>10589.834586466663</v>
      </c>
      <c r="AJ36" s="144">
        <f t="shared" si="5"/>
        <v>8.4718676691733297</v>
      </c>
    </row>
    <row r="37" spans="1:36">
      <c r="A37" s="116">
        <v>1500</v>
      </c>
      <c r="B37" s="148">
        <f t="shared" ref="B37:B46" si="15">B36</f>
        <v>0.96</v>
      </c>
      <c r="C37" s="147">
        <f t="shared" si="14"/>
        <v>2124</v>
      </c>
      <c r="D37" s="134">
        <v>5.0000000000000001E-3</v>
      </c>
      <c r="E37" s="309">
        <v>0.95099999999999996</v>
      </c>
      <c r="F37" s="310"/>
      <c r="G37" s="310"/>
      <c r="H37" s="310"/>
      <c r="I37" s="310"/>
      <c r="J37" s="311"/>
      <c r="K37" s="309">
        <f t="shared" si="8"/>
        <v>0.94599999999999995</v>
      </c>
      <c r="L37" s="310"/>
      <c r="M37" s="310"/>
      <c r="N37" s="310"/>
      <c r="O37" s="310"/>
      <c r="P37" s="311"/>
      <c r="Q37" s="312">
        <f t="shared" si="9"/>
        <v>2399248.9589905366</v>
      </c>
      <c r="R37" s="313"/>
      <c r="S37" s="313"/>
      <c r="T37" s="313"/>
      <c r="U37" s="313"/>
      <c r="V37" s="314"/>
      <c r="W37" s="312">
        <f t="shared" si="10"/>
        <v>2411929.9788583512</v>
      </c>
      <c r="X37" s="313"/>
      <c r="Y37" s="313"/>
      <c r="Z37" s="313"/>
      <c r="AA37" s="313"/>
      <c r="AB37" s="314"/>
      <c r="AC37" s="315">
        <f t="shared" si="11"/>
        <v>12681.019867814612</v>
      </c>
      <c r="AD37" s="316"/>
      <c r="AE37" s="316"/>
      <c r="AF37" s="316"/>
      <c r="AG37" s="316"/>
      <c r="AH37" s="317"/>
      <c r="AI37" s="143">
        <f t="shared" si="12"/>
        <v>12681.019867814612</v>
      </c>
      <c r="AJ37" s="144">
        <f t="shared" si="5"/>
        <v>8.4540132452097403</v>
      </c>
    </row>
    <row r="38" spans="1:36">
      <c r="A38" s="116">
        <v>1750</v>
      </c>
      <c r="B38" s="148">
        <f t="shared" si="15"/>
        <v>0.96</v>
      </c>
      <c r="C38" s="147">
        <f t="shared" si="14"/>
        <v>2124</v>
      </c>
      <c r="D38" s="134">
        <v>5.0000000000000001E-3</v>
      </c>
      <c r="E38" s="309">
        <v>0.95299999999999996</v>
      </c>
      <c r="F38" s="310"/>
      <c r="G38" s="310"/>
      <c r="H38" s="310"/>
      <c r="I38" s="310"/>
      <c r="J38" s="311"/>
      <c r="K38" s="309">
        <f t="shared" si="8"/>
        <v>0.94799999999999995</v>
      </c>
      <c r="L38" s="310"/>
      <c r="M38" s="310"/>
      <c r="N38" s="310"/>
      <c r="O38" s="310"/>
      <c r="P38" s="311"/>
      <c r="Q38" s="312">
        <f t="shared" si="9"/>
        <v>2793249.4438614901</v>
      </c>
      <c r="R38" s="313"/>
      <c r="S38" s="313"/>
      <c r="T38" s="313"/>
      <c r="U38" s="313"/>
      <c r="V38" s="314"/>
      <c r="W38" s="312">
        <f t="shared" si="10"/>
        <v>2807981.7721518986</v>
      </c>
      <c r="X38" s="313"/>
      <c r="Y38" s="313"/>
      <c r="Z38" s="313"/>
      <c r="AA38" s="313"/>
      <c r="AB38" s="314"/>
      <c r="AC38" s="315">
        <f t="shared" si="11"/>
        <v>14732.328290408477</v>
      </c>
      <c r="AD38" s="316"/>
      <c r="AE38" s="316"/>
      <c r="AF38" s="316"/>
      <c r="AG38" s="316"/>
      <c r="AH38" s="317"/>
      <c r="AI38" s="143">
        <f t="shared" si="12"/>
        <v>14732.328290408477</v>
      </c>
      <c r="AJ38" s="144">
        <f t="shared" si="5"/>
        <v>8.4184733088048436</v>
      </c>
    </row>
    <row r="39" spans="1:36">
      <c r="A39" s="116">
        <v>2000</v>
      </c>
      <c r="B39" s="148">
        <f t="shared" si="15"/>
        <v>0.96</v>
      </c>
      <c r="C39" s="147">
        <f t="shared" si="14"/>
        <v>2124</v>
      </c>
      <c r="D39" s="134">
        <v>5.0000000000000001E-3</v>
      </c>
      <c r="E39" s="309">
        <v>0.95499999999999996</v>
      </c>
      <c r="F39" s="310"/>
      <c r="G39" s="310"/>
      <c r="H39" s="310"/>
      <c r="I39" s="310"/>
      <c r="J39" s="311"/>
      <c r="K39" s="309">
        <f t="shared" si="8"/>
        <v>0.95</v>
      </c>
      <c r="L39" s="310"/>
      <c r="M39" s="310"/>
      <c r="N39" s="310"/>
      <c r="O39" s="310"/>
      <c r="P39" s="311"/>
      <c r="Q39" s="312">
        <f t="shared" si="9"/>
        <v>3185599.6649214658</v>
      </c>
      <c r="R39" s="313"/>
      <c r="S39" s="313"/>
      <c r="T39" s="313"/>
      <c r="U39" s="313"/>
      <c r="V39" s="314"/>
      <c r="W39" s="312">
        <f t="shared" si="10"/>
        <v>3202365.978947368</v>
      </c>
      <c r="X39" s="313"/>
      <c r="Y39" s="313"/>
      <c r="Z39" s="313"/>
      <c r="AA39" s="313"/>
      <c r="AB39" s="314"/>
      <c r="AC39" s="315">
        <f t="shared" si="11"/>
        <v>16766.314025902189</v>
      </c>
      <c r="AD39" s="316"/>
      <c r="AE39" s="316"/>
      <c r="AF39" s="316"/>
      <c r="AG39" s="316"/>
      <c r="AH39" s="317"/>
      <c r="AI39" s="143">
        <f t="shared" si="12"/>
        <v>16766.314025902189</v>
      </c>
      <c r="AJ39" s="144">
        <f t="shared" si="5"/>
        <v>8.3831570129510951</v>
      </c>
    </row>
    <row r="40" spans="1:36">
      <c r="A40" s="116">
        <v>2250</v>
      </c>
      <c r="B40" s="148">
        <f t="shared" si="15"/>
        <v>0.96</v>
      </c>
      <c r="C40" s="147">
        <f t="shared" si="14"/>
        <v>2124</v>
      </c>
      <c r="D40" s="134">
        <v>5.0000000000000001E-3</v>
      </c>
      <c r="E40" s="309">
        <v>0.95799999999999996</v>
      </c>
      <c r="F40" s="310"/>
      <c r="G40" s="310"/>
      <c r="H40" s="310"/>
      <c r="I40" s="310"/>
      <c r="J40" s="311"/>
      <c r="K40" s="309">
        <f t="shared" si="8"/>
        <v>0.95299999999999996</v>
      </c>
      <c r="L40" s="310"/>
      <c r="M40" s="310"/>
      <c r="N40" s="310"/>
      <c r="O40" s="310"/>
      <c r="P40" s="311"/>
      <c r="Q40" s="312">
        <f t="shared" si="9"/>
        <v>3572576.8684759918</v>
      </c>
      <c r="R40" s="313"/>
      <c r="S40" s="313"/>
      <c r="T40" s="313"/>
      <c r="U40" s="313"/>
      <c r="V40" s="314"/>
      <c r="W40" s="312">
        <f t="shared" si="10"/>
        <v>3591320.7135362015</v>
      </c>
      <c r="X40" s="313"/>
      <c r="Y40" s="313"/>
      <c r="Z40" s="313"/>
      <c r="AA40" s="313"/>
      <c r="AB40" s="314"/>
      <c r="AC40" s="315">
        <f t="shared" si="11"/>
        <v>18743.845060209744</v>
      </c>
      <c r="AD40" s="316"/>
      <c r="AE40" s="316"/>
      <c r="AF40" s="316"/>
      <c r="AG40" s="316"/>
      <c r="AH40" s="317"/>
      <c r="AI40" s="143">
        <f t="shared" si="12"/>
        <v>18743.845060209744</v>
      </c>
      <c r="AJ40" s="144">
        <f t="shared" si="5"/>
        <v>8.3305978045376641</v>
      </c>
    </row>
    <row r="41" spans="1:36">
      <c r="A41" s="116">
        <v>2500</v>
      </c>
      <c r="B41" s="148">
        <f t="shared" si="15"/>
        <v>0.96</v>
      </c>
      <c r="C41" s="147">
        <f t="shared" si="14"/>
        <v>2124</v>
      </c>
      <c r="D41" s="134">
        <v>5.0000000000000001E-3</v>
      </c>
      <c r="E41" s="309">
        <v>0.95899999999999996</v>
      </c>
      <c r="F41" s="310"/>
      <c r="G41" s="310"/>
      <c r="H41" s="310"/>
      <c r="I41" s="310"/>
      <c r="J41" s="311"/>
      <c r="K41" s="309">
        <f t="shared" si="8"/>
        <v>0.95399999999999996</v>
      </c>
      <c r="L41" s="310"/>
      <c r="M41" s="310"/>
      <c r="N41" s="310"/>
      <c r="O41" s="310"/>
      <c r="P41" s="311"/>
      <c r="Q41" s="312">
        <f t="shared" si="9"/>
        <v>3965390.6152241919</v>
      </c>
      <c r="R41" s="313"/>
      <c r="S41" s="313"/>
      <c r="T41" s="313"/>
      <c r="U41" s="313"/>
      <c r="V41" s="314"/>
      <c r="W41" s="312">
        <f t="shared" si="10"/>
        <v>3986173.5849056602</v>
      </c>
      <c r="X41" s="313"/>
      <c r="Y41" s="313"/>
      <c r="Z41" s="313"/>
      <c r="AA41" s="313"/>
      <c r="AB41" s="314"/>
      <c r="AC41" s="315">
        <f t="shared" si="11"/>
        <v>20782.969681468327</v>
      </c>
      <c r="AD41" s="316"/>
      <c r="AE41" s="316"/>
      <c r="AF41" s="316"/>
      <c r="AG41" s="316"/>
      <c r="AH41" s="317"/>
      <c r="AI41" s="143">
        <f t="shared" si="12"/>
        <v>20782.969681468327</v>
      </c>
      <c r="AJ41" s="144">
        <f t="shared" si="5"/>
        <v>8.3131878725873314</v>
      </c>
    </row>
    <row r="42" spans="1:36">
      <c r="A42" s="116">
        <v>3000</v>
      </c>
      <c r="B42" s="148">
        <f t="shared" si="15"/>
        <v>0.96</v>
      </c>
      <c r="C42" s="147">
        <f t="shared" si="14"/>
        <v>2124</v>
      </c>
      <c r="D42" s="134">
        <v>5.0000000000000001E-3</v>
      </c>
      <c r="E42" s="309">
        <v>0.96199999999999997</v>
      </c>
      <c r="F42" s="310"/>
      <c r="G42" s="310"/>
      <c r="H42" s="310"/>
      <c r="I42" s="310"/>
      <c r="J42" s="311"/>
      <c r="K42" s="309">
        <f t="shared" si="8"/>
        <v>0.95699999999999996</v>
      </c>
      <c r="L42" s="310"/>
      <c r="M42" s="310"/>
      <c r="N42" s="310"/>
      <c r="O42" s="310"/>
      <c r="P42" s="311"/>
      <c r="Q42" s="312">
        <f t="shared" si="9"/>
        <v>4743629.4386694394</v>
      </c>
      <c r="R42" s="313"/>
      <c r="S42" s="313"/>
      <c r="T42" s="313"/>
      <c r="U42" s="313"/>
      <c r="V42" s="314"/>
      <c r="W42" s="312">
        <f t="shared" si="10"/>
        <v>4768413.2915360508</v>
      </c>
      <c r="X42" s="313"/>
      <c r="Y42" s="313"/>
      <c r="Z42" s="313"/>
      <c r="AA42" s="313"/>
      <c r="AB42" s="314"/>
      <c r="AC42" s="315">
        <f t="shared" si="11"/>
        <v>24783.852866611443</v>
      </c>
      <c r="AD42" s="316"/>
      <c r="AE42" s="316"/>
      <c r="AF42" s="316"/>
      <c r="AG42" s="316"/>
      <c r="AH42" s="317"/>
      <c r="AI42" s="143">
        <f t="shared" si="12"/>
        <v>24783.852866611443</v>
      </c>
      <c r="AJ42" s="144">
        <f t="shared" si="5"/>
        <v>8.2612842888704812</v>
      </c>
    </row>
    <row r="43" spans="1:36">
      <c r="A43" s="116">
        <v>3500</v>
      </c>
      <c r="B43" s="148">
        <f t="shared" si="15"/>
        <v>0.96</v>
      </c>
      <c r="C43" s="147">
        <f t="shared" si="14"/>
        <v>2124</v>
      </c>
      <c r="D43" s="134">
        <v>5.0000000000000001E-3</v>
      </c>
      <c r="E43" s="309">
        <v>0.96299999999999997</v>
      </c>
      <c r="F43" s="310"/>
      <c r="G43" s="310"/>
      <c r="H43" s="310"/>
      <c r="I43" s="310"/>
      <c r="J43" s="311"/>
      <c r="K43" s="309">
        <f t="shared" si="8"/>
        <v>0.95799999999999996</v>
      </c>
      <c r="L43" s="310"/>
      <c r="M43" s="310"/>
      <c r="N43" s="310"/>
      <c r="O43" s="310"/>
      <c r="P43" s="311"/>
      <c r="Q43" s="312">
        <f t="shared" si="9"/>
        <v>5528487.4766355129</v>
      </c>
      <c r="R43" s="313"/>
      <c r="S43" s="313"/>
      <c r="T43" s="313"/>
      <c r="U43" s="313"/>
      <c r="V43" s="314"/>
      <c r="W43" s="312">
        <f t="shared" si="10"/>
        <v>5557341.7954070978</v>
      </c>
      <c r="X43" s="313"/>
      <c r="Y43" s="313"/>
      <c r="Z43" s="313"/>
      <c r="AA43" s="313"/>
      <c r="AB43" s="314"/>
      <c r="AC43" s="315">
        <f t="shared" si="11"/>
        <v>28854.318771584891</v>
      </c>
      <c r="AD43" s="316"/>
      <c r="AE43" s="316"/>
      <c r="AF43" s="316"/>
      <c r="AG43" s="316"/>
      <c r="AH43" s="317"/>
      <c r="AI43" s="143">
        <f t="shared" si="12"/>
        <v>28854.318771584891</v>
      </c>
      <c r="AJ43" s="144">
        <f t="shared" si="5"/>
        <v>8.2440910775956837</v>
      </c>
    </row>
    <row r="44" spans="1:36">
      <c r="A44" s="116">
        <v>4000</v>
      </c>
      <c r="B44" s="148">
        <f t="shared" si="15"/>
        <v>0.96</v>
      </c>
      <c r="C44" s="147">
        <f t="shared" si="14"/>
        <v>2124</v>
      </c>
      <c r="D44" s="134">
        <v>5.0000000000000001E-3</v>
      </c>
      <c r="E44" s="309">
        <v>0.96299999999999997</v>
      </c>
      <c r="F44" s="310"/>
      <c r="G44" s="310"/>
      <c r="H44" s="310"/>
      <c r="I44" s="310"/>
      <c r="J44" s="311"/>
      <c r="K44" s="309">
        <f t="shared" si="8"/>
        <v>0.95799999999999996</v>
      </c>
      <c r="L44" s="310"/>
      <c r="M44" s="310"/>
      <c r="N44" s="310"/>
      <c r="O44" s="310"/>
      <c r="P44" s="311"/>
      <c r="Q44" s="312">
        <f t="shared" si="9"/>
        <v>6318271.4018691583</v>
      </c>
      <c r="R44" s="313"/>
      <c r="S44" s="313"/>
      <c r="T44" s="313"/>
      <c r="U44" s="313"/>
      <c r="V44" s="314"/>
      <c r="W44" s="312">
        <f t="shared" si="10"/>
        <v>6351247.7661795402</v>
      </c>
      <c r="X44" s="313"/>
      <c r="Y44" s="313"/>
      <c r="Z44" s="313"/>
      <c r="AA44" s="313"/>
      <c r="AB44" s="314"/>
      <c r="AC44" s="315">
        <f t="shared" si="11"/>
        <v>32976.364310381934</v>
      </c>
      <c r="AD44" s="316"/>
      <c r="AE44" s="316"/>
      <c r="AF44" s="316"/>
      <c r="AG44" s="316"/>
      <c r="AH44" s="317"/>
      <c r="AI44" s="143">
        <f t="shared" si="12"/>
        <v>32976.364310381934</v>
      </c>
      <c r="AJ44" s="144">
        <f t="shared" si="5"/>
        <v>8.244091077595483</v>
      </c>
    </row>
    <row r="45" spans="1:36">
      <c r="A45" s="116">
        <v>4500</v>
      </c>
      <c r="B45" s="148">
        <f t="shared" si="15"/>
        <v>0.96</v>
      </c>
      <c r="C45" s="147">
        <f t="shared" si="14"/>
        <v>2124</v>
      </c>
      <c r="D45" s="134">
        <v>5.0000000000000001E-3</v>
      </c>
      <c r="E45" s="309">
        <v>0.96399999999999997</v>
      </c>
      <c r="F45" s="310"/>
      <c r="G45" s="310"/>
      <c r="H45" s="310"/>
      <c r="I45" s="310"/>
      <c r="J45" s="311"/>
      <c r="K45" s="309">
        <f t="shared" si="8"/>
        <v>0.95899999999999996</v>
      </c>
      <c r="L45" s="310"/>
      <c r="M45" s="310"/>
      <c r="N45" s="310"/>
      <c r="O45" s="310"/>
      <c r="P45" s="311"/>
      <c r="Q45" s="312">
        <f t="shared" si="9"/>
        <v>7100681.8257261412</v>
      </c>
      <c r="R45" s="313"/>
      <c r="S45" s="313"/>
      <c r="T45" s="313"/>
      <c r="U45" s="313"/>
      <c r="V45" s="314"/>
      <c r="W45" s="312">
        <f t="shared" si="10"/>
        <v>7137703.1074035447</v>
      </c>
      <c r="X45" s="313"/>
      <c r="Y45" s="313"/>
      <c r="Z45" s="313"/>
      <c r="AA45" s="313"/>
      <c r="AB45" s="314"/>
      <c r="AC45" s="315">
        <f t="shared" si="11"/>
        <v>37021.281677403487</v>
      </c>
      <c r="AD45" s="316"/>
      <c r="AE45" s="316"/>
      <c r="AF45" s="316"/>
      <c r="AG45" s="316"/>
      <c r="AH45" s="317"/>
      <c r="AI45" s="143">
        <f t="shared" si="12"/>
        <v>37021.281677403487</v>
      </c>
      <c r="AJ45" s="144">
        <f t="shared" si="5"/>
        <v>8.2269514838674418</v>
      </c>
    </row>
    <row r="46" spans="1:36">
      <c r="A46" s="116">
        <v>5000</v>
      </c>
      <c r="B46" s="148">
        <f t="shared" si="15"/>
        <v>0.96</v>
      </c>
      <c r="C46" s="147">
        <f t="shared" si="14"/>
        <v>2124</v>
      </c>
      <c r="D46" s="134">
        <v>5.0000000000000001E-3</v>
      </c>
      <c r="E46" s="300">
        <v>0.96499999999999997</v>
      </c>
      <c r="F46" s="301"/>
      <c r="G46" s="301"/>
      <c r="H46" s="301"/>
      <c r="I46" s="301"/>
      <c r="J46" s="302"/>
      <c r="K46" s="300">
        <f t="shared" si="8"/>
        <v>0.96</v>
      </c>
      <c r="L46" s="301"/>
      <c r="M46" s="301"/>
      <c r="N46" s="301"/>
      <c r="O46" s="301"/>
      <c r="P46" s="302"/>
      <c r="Q46" s="303">
        <f t="shared" si="9"/>
        <v>7881470.6735751294</v>
      </c>
      <c r="R46" s="304"/>
      <c r="S46" s="304"/>
      <c r="T46" s="304"/>
      <c r="U46" s="304"/>
      <c r="V46" s="305"/>
      <c r="W46" s="303">
        <f t="shared" si="10"/>
        <v>7922520</v>
      </c>
      <c r="X46" s="304"/>
      <c r="Y46" s="304"/>
      <c r="Z46" s="304"/>
      <c r="AA46" s="304"/>
      <c r="AB46" s="305"/>
      <c r="AC46" s="306">
        <f t="shared" si="11"/>
        <v>41049.32642487064</v>
      </c>
      <c r="AD46" s="307"/>
      <c r="AE46" s="307"/>
      <c r="AF46" s="307"/>
      <c r="AG46" s="307"/>
      <c r="AH46" s="308"/>
      <c r="AI46" s="143">
        <f t="shared" si="12"/>
        <v>41049.32642487064</v>
      </c>
      <c r="AJ46" s="144">
        <f t="shared" si="5"/>
        <v>8.2098652849741285</v>
      </c>
    </row>
    <row r="48" spans="1:36">
      <c r="E48" s="149" t="s">
        <v>220</v>
      </c>
    </row>
    <row r="49" spans="5:5">
      <c r="E49" s="149" t="s">
        <v>221</v>
      </c>
    </row>
    <row r="50" spans="5:5">
      <c r="E50" s="116" t="s">
        <v>222</v>
      </c>
    </row>
  </sheetData>
  <mergeCells count="95">
    <mergeCell ref="E11:G11"/>
    <mergeCell ref="H11:J11"/>
    <mergeCell ref="K11:M11"/>
    <mergeCell ref="N11:P11"/>
    <mergeCell ref="Q11:S11"/>
    <mergeCell ref="E10:J10"/>
    <mergeCell ref="K10:P10"/>
    <mergeCell ref="Q10:V10"/>
    <mergeCell ref="W10:AB10"/>
    <mergeCell ref="AC10:AH10"/>
    <mergeCell ref="E31:J31"/>
    <mergeCell ref="K31:P31"/>
    <mergeCell ref="Q31:V31"/>
    <mergeCell ref="W31:AB31"/>
    <mergeCell ref="AC31:AH31"/>
    <mergeCell ref="T11:V11"/>
    <mergeCell ref="W11:Y11"/>
    <mergeCell ref="Z11:AB11"/>
    <mergeCell ref="AC11:AE11"/>
    <mergeCell ref="AF11:AH11"/>
    <mergeCell ref="E33:J33"/>
    <mergeCell ref="K33:P33"/>
    <mergeCell ref="Q33:V33"/>
    <mergeCell ref="W33:AB33"/>
    <mergeCell ref="AC33:AH33"/>
    <mergeCell ref="E32:J32"/>
    <mergeCell ref="K32:P32"/>
    <mergeCell ref="Q32:V32"/>
    <mergeCell ref="W32:AB32"/>
    <mergeCell ref="AC32:AH32"/>
    <mergeCell ref="E35:J35"/>
    <mergeCell ref="K35:P35"/>
    <mergeCell ref="Q35:V35"/>
    <mergeCell ref="W35:AB35"/>
    <mergeCell ref="AC35:AH35"/>
    <mergeCell ref="E34:J34"/>
    <mergeCell ref="K34:P34"/>
    <mergeCell ref="Q34:V34"/>
    <mergeCell ref="W34:AB34"/>
    <mergeCell ref="AC34:AH34"/>
    <mergeCell ref="E37:J37"/>
    <mergeCell ref="K37:P37"/>
    <mergeCell ref="Q37:V37"/>
    <mergeCell ref="W37:AB37"/>
    <mergeCell ref="AC37:AH37"/>
    <mergeCell ref="E36:J36"/>
    <mergeCell ref="K36:P36"/>
    <mergeCell ref="Q36:V36"/>
    <mergeCell ref="W36:AB36"/>
    <mergeCell ref="AC36:AH36"/>
    <mergeCell ref="E39:J39"/>
    <mergeCell ref="K39:P39"/>
    <mergeCell ref="Q39:V39"/>
    <mergeCell ref="W39:AB39"/>
    <mergeCell ref="AC39:AH39"/>
    <mergeCell ref="E38:J38"/>
    <mergeCell ref="K38:P38"/>
    <mergeCell ref="Q38:V38"/>
    <mergeCell ref="W38:AB38"/>
    <mergeCell ref="AC38:AH38"/>
    <mergeCell ref="E41:J41"/>
    <mergeCell ref="K41:P41"/>
    <mergeCell ref="Q41:V41"/>
    <mergeCell ref="W41:AB41"/>
    <mergeCell ref="AC41:AH41"/>
    <mergeCell ref="E40:J40"/>
    <mergeCell ref="K40:P40"/>
    <mergeCell ref="Q40:V40"/>
    <mergeCell ref="W40:AB40"/>
    <mergeCell ref="AC40:AH40"/>
    <mergeCell ref="E43:J43"/>
    <mergeCell ref="K43:P43"/>
    <mergeCell ref="Q43:V43"/>
    <mergeCell ref="W43:AB43"/>
    <mergeCell ref="AC43:AH43"/>
    <mergeCell ref="E42:J42"/>
    <mergeCell ref="K42:P42"/>
    <mergeCell ref="Q42:V42"/>
    <mergeCell ref="W42:AB42"/>
    <mergeCell ref="AC42:AH42"/>
    <mergeCell ref="E45:J45"/>
    <mergeCell ref="K45:P45"/>
    <mergeCell ref="Q45:V45"/>
    <mergeCell ref="W45:AB45"/>
    <mergeCell ref="AC45:AH45"/>
    <mergeCell ref="E44:J44"/>
    <mergeCell ref="K44:P44"/>
    <mergeCell ref="Q44:V44"/>
    <mergeCell ref="W44:AB44"/>
    <mergeCell ref="AC44:AH44"/>
    <mergeCell ref="E46:J46"/>
    <mergeCell ref="K46:P46"/>
    <mergeCell ref="Q46:V46"/>
    <mergeCell ref="W46:AB46"/>
    <mergeCell ref="AC46:AH4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A1:O71"/>
  <sheetViews>
    <sheetView workbookViewId="0">
      <selection activeCell="N11" sqref="N11"/>
    </sheetView>
  </sheetViews>
  <sheetFormatPr defaultColWidth="8.85546875" defaultRowHeight="12.75"/>
  <cols>
    <col min="1" max="9" width="8.85546875" style="151"/>
    <col min="10" max="10" width="10" style="151" customWidth="1"/>
    <col min="11" max="11" width="8.85546875" style="151"/>
    <col min="12" max="12" width="12.42578125" style="151" customWidth="1"/>
    <col min="13" max="13" width="12.5703125" style="151" customWidth="1"/>
    <col min="14" max="14" width="10.42578125" style="151" customWidth="1"/>
    <col min="15" max="16384" width="8.85546875" style="151"/>
  </cols>
  <sheetData>
    <row r="1" spans="1:15">
      <c r="A1" s="150" t="s">
        <v>225</v>
      </c>
      <c r="C1" s="152"/>
      <c r="D1" s="116" t="s">
        <v>223</v>
      </c>
      <c r="E1" s="116" t="s">
        <v>224</v>
      </c>
      <c r="F1" s="116"/>
    </row>
    <row r="3" spans="1:15">
      <c r="A3" s="151" t="s">
        <v>226</v>
      </c>
    </row>
    <row r="4" spans="1:15">
      <c r="A4" s="151" t="s">
        <v>227</v>
      </c>
      <c r="B4" s="153" t="s">
        <v>228</v>
      </c>
    </row>
    <row r="6" spans="1:15">
      <c r="A6" s="151" t="s">
        <v>229</v>
      </c>
      <c r="C6" s="151">
        <v>1.0780000000000001</v>
      </c>
      <c r="D6" s="151" t="s">
        <v>256</v>
      </c>
    </row>
    <row r="8" spans="1:15" ht="13.5" thickBot="1"/>
    <row r="9" spans="1:15" ht="13.5" thickBot="1">
      <c r="A9" s="154"/>
      <c r="B9" s="334" t="s">
        <v>230</v>
      </c>
      <c r="C9" s="335"/>
      <c r="D9" s="336"/>
      <c r="E9" s="334" t="s">
        <v>231</v>
      </c>
      <c r="F9" s="335"/>
      <c r="G9" s="336"/>
      <c r="H9" s="334" t="s">
        <v>232</v>
      </c>
      <c r="I9" s="335"/>
      <c r="J9" s="335"/>
      <c r="K9" s="337" t="s">
        <v>233</v>
      </c>
      <c r="L9" s="338"/>
      <c r="M9" s="339"/>
    </row>
    <row r="10" spans="1:15" ht="41.25" customHeight="1" thickBot="1">
      <c r="A10" s="155" t="s">
        <v>196</v>
      </c>
      <c r="B10" s="156" t="s">
        <v>234</v>
      </c>
      <c r="C10" s="157" t="s">
        <v>235</v>
      </c>
      <c r="D10" s="158" t="s">
        <v>236</v>
      </c>
      <c r="E10" s="159" t="s">
        <v>234</v>
      </c>
      <c r="F10" s="160" t="s">
        <v>235</v>
      </c>
      <c r="G10" s="161" t="s">
        <v>236</v>
      </c>
      <c r="H10" s="162" t="s">
        <v>234</v>
      </c>
      <c r="I10" s="163" t="s">
        <v>235</v>
      </c>
      <c r="J10" s="163" t="s">
        <v>236</v>
      </c>
      <c r="K10" s="164" t="s">
        <v>196</v>
      </c>
      <c r="L10" s="164" t="s">
        <v>237</v>
      </c>
      <c r="M10" s="164" t="s">
        <v>238</v>
      </c>
      <c r="N10" s="165" t="s">
        <v>257</v>
      </c>
      <c r="O10" s="165" t="s">
        <v>239</v>
      </c>
    </row>
    <row r="11" spans="1:15">
      <c r="A11" s="154">
        <v>7.5</v>
      </c>
      <c r="B11" s="166">
        <v>429</v>
      </c>
      <c r="C11" s="167">
        <v>429</v>
      </c>
      <c r="D11" s="168">
        <v>429</v>
      </c>
      <c r="E11" s="166">
        <v>536</v>
      </c>
      <c r="F11" s="167">
        <v>536</v>
      </c>
      <c r="G11" s="167">
        <v>536</v>
      </c>
      <c r="H11" s="169">
        <f t="shared" ref="H11:J30" si="0">E11-B11</f>
        <v>107</v>
      </c>
      <c r="I11" s="170">
        <f t="shared" si="0"/>
        <v>107</v>
      </c>
      <c r="J11" s="170">
        <f t="shared" si="0"/>
        <v>107</v>
      </c>
      <c r="K11" s="171" t="str">
        <f t="shared" ref="K11:K46" si="1">A11&amp;" HP"</f>
        <v>7.5 HP</v>
      </c>
      <c r="L11" s="172">
        <v>0.25</v>
      </c>
      <c r="M11" s="173">
        <f t="shared" ref="M11:M30" si="2">AVERAGE(H11:J11)</f>
        <v>107</v>
      </c>
      <c r="N11" s="174">
        <f t="shared" ref="N11:N46" si="3">M11*$C$6</f>
        <v>115.346</v>
      </c>
      <c r="O11" s="174">
        <f t="shared" ref="O11:O46" si="4">M11/A11</f>
        <v>14.266666666666667</v>
      </c>
    </row>
    <row r="12" spans="1:15">
      <c r="A12" s="154">
        <v>10</v>
      </c>
      <c r="B12" s="166">
        <v>459</v>
      </c>
      <c r="C12" s="167">
        <v>429</v>
      </c>
      <c r="D12" s="168">
        <v>444</v>
      </c>
      <c r="E12" s="166">
        <v>569</v>
      </c>
      <c r="F12" s="167">
        <v>532</v>
      </c>
      <c r="G12" s="167">
        <v>551</v>
      </c>
      <c r="H12" s="166">
        <f t="shared" si="0"/>
        <v>110</v>
      </c>
      <c r="I12" s="167">
        <f t="shared" si="0"/>
        <v>103</v>
      </c>
      <c r="J12" s="167">
        <f t="shared" si="0"/>
        <v>107</v>
      </c>
      <c r="K12" s="171" t="str">
        <f t="shared" si="1"/>
        <v>10 HP</v>
      </c>
      <c r="L12" s="172">
        <v>0.24</v>
      </c>
      <c r="M12" s="173">
        <f t="shared" si="2"/>
        <v>106.66666666666667</v>
      </c>
      <c r="N12" s="174">
        <f t="shared" si="3"/>
        <v>114.98666666666668</v>
      </c>
      <c r="O12" s="174">
        <f t="shared" si="4"/>
        <v>10.666666666666668</v>
      </c>
    </row>
    <row r="13" spans="1:15">
      <c r="A13" s="154">
        <v>15</v>
      </c>
      <c r="B13" s="166">
        <v>670</v>
      </c>
      <c r="C13" s="167">
        <v>506</v>
      </c>
      <c r="D13" s="168">
        <v>554</v>
      </c>
      <c r="E13" s="166">
        <v>831</v>
      </c>
      <c r="F13" s="167">
        <v>627</v>
      </c>
      <c r="G13" s="167">
        <v>687</v>
      </c>
      <c r="H13" s="166">
        <f t="shared" si="0"/>
        <v>161</v>
      </c>
      <c r="I13" s="167">
        <f t="shared" si="0"/>
        <v>121</v>
      </c>
      <c r="J13" s="167">
        <f t="shared" si="0"/>
        <v>133</v>
      </c>
      <c r="K13" s="171" t="str">
        <f t="shared" si="1"/>
        <v>15 HP</v>
      </c>
      <c r="L13" s="172">
        <v>0.24</v>
      </c>
      <c r="M13" s="173">
        <f t="shared" si="2"/>
        <v>138.33333333333334</v>
      </c>
      <c r="N13" s="174">
        <f t="shared" si="3"/>
        <v>149.12333333333336</v>
      </c>
      <c r="O13" s="174">
        <f t="shared" si="4"/>
        <v>9.2222222222222232</v>
      </c>
    </row>
    <row r="14" spans="1:15">
      <c r="A14" s="154">
        <v>20</v>
      </c>
      <c r="B14" s="166">
        <v>754</v>
      </c>
      <c r="C14" s="167">
        <v>560</v>
      </c>
      <c r="D14" s="168">
        <v>617</v>
      </c>
      <c r="E14" s="166">
        <v>935</v>
      </c>
      <c r="F14" s="167">
        <v>694</v>
      </c>
      <c r="G14" s="167">
        <v>765</v>
      </c>
      <c r="H14" s="166">
        <f t="shared" si="0"/>
        <v>181</v>
      </c>
      <c r="I14" s="167">
        <f t="shared" si="0"/>
        <v>134</v>
      </c>
      <c r="J14" s="167">
        <f t="shared" si="0"/>
        <v>148</v>
      </c>
      <c r="K14" s="171" t="str">
        <f t="shared" si="1"/>
        <v>20 HP</v>
      </c>
      <c r="L14" s="172">
        <v>0.24</v>
      </c>
      <c r="M14" s="173">
        <f t="shared" si="2"/>
        <v>154.33333333333334</v>
      </c>
      <c r="N14" s="174">
        <f t="shared" si="3"/>
        <v>166.37133333333335</v>
      </c>
      <c r="O14" s="174">
        <f t="shared" si="4"/>
        <v>7.7166666666666668</v>
      </c>
    </row>
    <row r="15" spans="1:15">
      <c r="A15" s="154">
        <v>25</v>
      </c>
      <c r="B15" s="166">
        <v>859</v>
      </c>
      <c r="C15" s="167">
        <v>669</v>
      </c>
      <c r="D15" s="168">
        <v>771</v>
      </c>
      <c r="E15" s="166">
        <v>1057</v>
      </c>
      <c r="F15" s="167">
        <v>823</v>
      </c>
      <c r="G15" s="167">
        <v>948</v>
      </c>
      <c r="H15" s="166">
        <f t="shared" si="0"/>
        <v>198</v>
      </c>
      <c r="I15" s="167">
        <f t="shared" si="0"/>
        <v>154</v>
      </c>
      <c r="J15" s="167">
        <f t="shared" si="0"/>
        <v>177</v>
      </c>
      <c r="K15" s="171" t="str">
        <f t="shared" si="1"/>
        <v>25 HP</v>
      </c>
      <c r="L15" s="172">
        <v>0.23</v>
      </c>
      <c r="M15" s="173">
        <f t="shared" si="2"/>
        <v>176.33333333333334</v>
      </c>
      <c r="N15" s="174">
        <f t="shared" si="3"/>
        <v>190.08733333333336</v>
      </c>
      <c r="O15" s="174">
        <f t="shared" si="4"/>
        <v>7.0533333333333337</v>
      </c>
    </row>
    <row r="16" spans="1:15">
      <c r="A16" s="154">
        <v>30</v>
      </c>
      <c r="B16" s="166">
        <v>945</v>
      </c>
      <c r="C16" s="167">
        <v>754</v>
      </c>
      <c r="D16" s="168">
        <v>831</v>
      </c>
      <c r="E16" s="166">
        <v>1162</v>
      </c>
      <c r="F16" s="167">
        <v>927</v>
      </c>
      <c r="G16" s="167">
        <v>1022</v>
      </c>
      <c r="H16" s="166">
        <f t="shared" si="0"/>
        <v>217</v>
      </c>
      <c r="I16" s="167">
        <f t="shared" si="0"/>
        <v>173</v>
      </c>
      <c r="J16" s="167">
        <f t="shared" si="0"/>
        <v>191</v>
      </c>
      <c r="K16" s="171" t="str">
        <f t="shared" si="1"/>
        <v>30 HP</v>
      </c>
      <c r="L16" s="172">
        <v>0.23</v>
      </c>
      <c r="M16" s="173">
        <f t="shared" si="2"/>
        <v>193.66666666666666</v>
      </c>
      <c r="N16" s="174">
        <f t="shared" si="3"/>
        <v>208.77266666666668</v>
      </c>
      <c r="O16" s="174">
        <f t="shared" si="4"/>
        <v>6.4555555555555548</v>
      </c>
    </row>
    <row r="17" spans="1:15">
      <c r="A17" s="154">
        <v>40</v>
      </c>
      <c r="B17" s="166">
        <v>1143</v>
      </c>
      <c r="C17" s="167">
        <v>932</v>
      </c>
      <c r="D17" s="168">
        <v>1015</v>
      </c>
      <c r="E17" s="166">
        <v>1406</v>
      </c>
      <c r="F17" s="167">
        <v>1146</v>
      </c>
      <c r="G17" s="167">
        <v>1248</v>
      </c>
      <c r="H17" s="166">
        <f t="shared" si="0"/>
        <v>263</v>
      </c>
      <c r="I17" s="167">
        <f t="shared" si="0"/>
        <v>214</v>
      </c>
      <c r="J17" s="167">
        <f t="shared" si="0"/>
        <v>233</v>
      </c>
      <c r="K17" s="171" t="str">
        <f t="shared" si="1"/>
        <v>40 HP</v>
      </c>
      <c r="L17" s="172">
        <v>0.23</v>
      </c>
      <c r="M17" s="173">
        <f t="shared" si="2"/>
        <v>236.66666666666666</v>
      </c>
      <c r="N17" s="174">
        <f t="shared" si="3"/>
        <v>255.12666666666667</v>
      </c>
      <c r="O17" s="174">
        <f t="shared" si="4"/>
        <v>5.9166666666666661</v>
      </c>
    </row>
    <row r="18" spans="1:15">
      <c r="A18" s="154">
        <v>50</v>
      </c>
      <c r="B18" s="166">
        <v>1330</v>
      </c>
      <c r="C18" s="167">
        <v>1069</v>
      </c>
      <c r="D18" s="168">
        <v>1173</v>
      </c>
      <c r="E18" s="166">
        <v>1623</v>
      </c>
      <c r="F18" s="167">
        <v>1304</v>
      </c>
      <c r="G18" s="167">
        <v>1431</v>
      </c>
      <c r="H18" s="166">
        <f t="shared" si="0"/>
        <v>293</v>
      </c>
      <c r="I18" s="167">
        <f t="shared" si="0"/>
        <v>235</v>
      </c>
      <c r="J18" s="167">
        <f t="shared" si="0"/>
        <v>258</v>
      </c>
      <c r="K18" s="171" t="str">
        <f t="shared" si="1"/>
        <v>50 HP</v>
      </c>
      <c r="L18" s="172">
        <v>0.22</v>
      </c>
      <c r="M18" s="173">
        <f t="shared" si="2"/>
        <v>262</v>
      </c>
      <c r="N18" s="174">
        <f t="shared" si="3"/>
        <v>282.43600000000004</v>
      </c>
      <c r="O18" s="174">
        <f t="shared" si="4"/>
        <v>5.24</v>
      </c>
    </row>
    <row r="19" spans="1:15">
      <c r="A19" s="154">
        <v>60</v>
      </c>
      <c r="B19" s="166">
        <v>1576</v>
      </c>
      <c r="C19" s="167">
        <v>1257</v>
      </c>
      <c r="D19" s="168">
        <v>1379</v>
      </c>
      <c r="E19" s="166">
        <v>1923</v>
      </c>
      <c r="F19" s="167">
        <v>1534</v>
      </c>
      <c r="G19" s="167">
        <v>1682</v>
      </c>
      <c r="H19" s="166">
        <f t="shared" si="0"/>
        <v>347</v>
      </c>
      <c r="I19" s="167">
        <f t="shared" si="0"/>
        <v>277</v>
      </c>
      <c r="J19" s="167">
        <f t="shared" si="0"/>
        <v>303</v>
      </c>
      <c r="K19" s="171" t="str">
        <f t="shared" si="1"/>
        <v>60 HP</v>
      </c>
      <c r="L19" s="172">
        <v>0.22</v>
      </c>
      <c r="M19" s="173">
        <f t="shared" si="2"/>
        <v>309</v>
      </c>
      <c r="N19" s="174">
        <f t="shared" si="3"/>
        <v>333.10200000000003</v>
      </c>
      <c r="O19" s="174">
        <f t="shared" si="4"/>
        <v>5.15</v>
      </c>
    </row>
    <row r="20" spans="1:15">
      <c r="A20" s="154">
        <v>75</v>
      </c>
      <c r="B20" s="166">
        <v>1789</v>
      </c>
      <c r="C20" s="167">
        <v>1437</v>
      </c>
      <c r="D20" s="168">
        <v>1544</v>
      </c>
      <c r="E20" s="166">
        <v>2165</v>
      </c>
      <c r="F20" s="167">
        <v>1739</v>
      </c>
      <c r="G20" s="167">
        <v>1868</v>
      </c>
      <c r="H20" s="166">
        <f t="shared" si="0"/>
        <v>376</v>
      </c>
      <c r="I20" s="167">
        <f t="shared" si="0"/>
        <v>302</v>
      </c>
      <c r="J20" s="167">
        <f t="shared" si="0"/>
        <v>324</v>
      </c>
      <c r="K20" s="171" t="str">
        <f t="shared" si="1"/>
        <v>75 HP</v>
      </c>
      <c r="L20" s="172">
        <v>0.21</v>
      </c>
      <c r="M20" s="173">
        <f t="shared" si="2"/>
        <v>334</v>
      </c>
      <c r="N20" s="174">
        <f t="shared" si="3"/>
        <v>360.05200000000002</v>
      </c>
      <c r="O20" s="174">
        <f t="shared" si="4"/>
        <v>4.4533333333333331</v>
      </c>
    </row>
    <row r="21" spans="1:15">
      <c r="A21" s="154">
        <v>100</v>
      </c>
      <c r="B21" s="166">
        <v>2207</v>
      </c>
      <c r="C21" s="167">
        <v>1790</v>
      </c>
      <c r="D21" s="168">
        <v>1924</v>
      </c>
      <c r="E21" s="166">
        <v>2670</v>
      </c>
      <c r="F21" s="167">
        <v>2166</v>
      </c>
      <c r="G21" s="167">
        <v>2328</v>
      </c>
      <c r="H21" s="166">
        <f t="shared" si="0"/>
        <v>463</v>
      </c>
      <c r="I21" s="167">
        <f t="shared" si="0"/>
        <v>376</v>
      </c>
      <c r="J21" s="167">
        <f t="shared" si="0"/>
        <v>404</v>
      </c>
      <c r="K21" s="171" t="str">
        <f t="shared" si="1"/>
        <v>100 HP</v>
      </c>
      <c r="L21" s="172">
        <v>0.21</v>
      </c>
      <c r="M21" s="173">
        <f t="shared" si="2"/>
        <v>414.33333333333331</v>
      </c>
      <c r="N21" s="174">
        <f t="shared" si="3"/>
        <v>446.65133333333335</v>
      </c>
      <c r="O21" s="174">
        <f t="shared" si="4"/>
        <v>4.1433333333333335</v>
      </c>
    </row>
    <row r="22" spans="1:15">
      <c r="A22" s="154">
        <v>125</v>
      </c>
      <c r="B22" s="166">
        <v>2500</v>
      </c>
      <c r="C22" s="167">
        <v>2192</v>
      </c>
      <c r="D22" s="168">
        <v>2291</v>
      </c>
      <c r="E22" s="166">
        <v>3000</v>
      </c>
      <c r="F22" s="167">
        <v>2630</v>
      </c>
      <c r="G22" s="167">
        <v>2749</v>
      </c>
      <c r="H22" s="166">
        <f t="shared" si="0"/>
        <v>500</v>
      </c>
      <c r="I22" s="167">
        <f t="shared" si="0"/>
        <v>438</v>
      </c>
      <c r="J22" s="167">
        <f t="shared" si="0"/>
        <v>458</v>
      </c>
      <c r="K22" s="171" t="str">
        <f t="shared" si="1"/>
        <v>125 HP</v>
      </c>
      <c r="L22" s="172">
        <v>0.2</v>
      </c>
      <c r="M22" s="173">
        <f t="shared" si="2"/>
        <v>465.33333333333331</v>
      </c>
      <c r="N22" s="174">
        <f t="shared" si="3"/>
        <v>501.62933333333336</v>
      </c>
      <c r="O22" s="174">
        <f t="shared" si="4"/>
        <v>3.7226666666666666</v>
      </c>
    </row>
    <row r="23" spans="1:15">
      <c r="A23" s="154">
        <v>150</v>
      </c>
      <c r="B23" s="166">
        <v>2785</v>
      </c>
      <c r="C23" s="167">
        <v>2398</v>
      </c>
      <c r="D23" s="168">
        <v>2599</v>
      </c>
      <c r="E23" s="166">
        <v>3342</v>
      </c>
      <c r="F23" s="167">
        <v>2876</v>
      </c>
      <c r="G23" s="167">
        <v>3119</v>
      </c>
      <c r="H23" s="166">
        <f t="shared" si="0"/>
        <v>557</v>
      </c>
      <c r="I23" s="167">
        <f t="shared" si="0"/>
        <v>478</v>
      </c>
      <c r="J23" s="167">
        <f t="shared" si="0"/>
        <v>520</v>
      </c>
      <c r="K23" s="171" t="str">
        <f t="shared" si="1"/>
        <v>150 HP</v>
      </c>
      <c r="L23" s="172">
        <v>0.2</v>
      </c>
      <c r="M23" s="173">
        <f t="shared" si="2"/>
        <v>518.33333333333337</v>
      </c>
      <c r="N23" s="174">
        <f t="shared" si="3"/>
        <v>558.76333333333343</v>
      </c>
      <c r="O23" s="174">
        <f t="shared" si="4"/>
        <v>3.4555555555555557</v>
      </c>
    </row>
    <row r="24" spans="1:15">
      <c r="A24" s="154">
        <v>200</v>
      </c>
      <c r="B24" s="166">
        <v>3539</v>
      </c>
      <c r="C24" s="167">
        <v>2994</v>
      </c>
      <c r="D24" s="168">
        <v>3321</v>
      </c>
      <c r="E24" s="166">
        <v>4211</v>
      </c>
      <c r="F24" s="167">
        <v>3563</v>
      </c>
      <c r="G24" s="167">
        <v>3952</v>
      </c>
      <c r="H24" s="166">
        <f t="shared" si="0"/>
        <v>672</v>
      </c>
      <c r="I24" s="167">
        <f t="shared" si="0"/>
        <v>569</v>
      </c>
      <c r="J24" s="167">
        <f t="shared" si="0"/>
        <v>631</v>
      </c>
      <c r="K24" s="171" t="str">
        <f t="shared" si="1"/>
        <v>200 HP</v>
      </c>
      <c r="L24" s="172">
        <v>0.19</v>
      </c>
      <c r="M24" s="173">
        <f t="shared" si="2"/>
        <v>624</v>
      </c>
      <c r="N24" s="174">
        <f t="shared" si="3"/>
        <v>672.67200000000003</v>
      </c>
      <c r="O24" s="174">
        <f t="shared" si="4"/>
        <v>3.12</v>
      </c>
    </row>
    <row r="25" spans="1:15">
      <c r="A25" s="154">
        <v>250</v>
      </c>
      <c r="B25" s="166">
        <v>4461</v>
      </c>
      <c r="C25" s="167">
        <v>4012</v>
      </c>
      <c r="D25" s="168">
        <v>4192</v>
      </c>
      <c r="E25" s="166">
        <v>5309</v>
      </c>
      <c r="F25" s="167">
        <v>4774</v>
      </c>
      <c r="G25" s="167">
        <v>4988</v>
      </c>
      <c r="H25" s="166">
        <f t="shared" si="0"/>
        <v>848</v>
      </c>
      <c r="I25" s="167">
        <f t="shared" si="0"/>
        <v>762</v>
      </c>
      <c r="J25" s="167">
        <f t="shared" si="0"/>
        <v>796</v>
      </c>
      <c r="K25" s="171" t="str">
        <f t="shared" si="1"/>
        <v>250 HP</v>
      </c>
      <c r="L25" s="172">
        <v>0.19</v>
      </c>
      <c r="M25" s="173">
        <f t="shared" si="2"/>
        <v>802</v>
      </c>
      <c r="N25" s="174">
        <f t="shared" si="3"/>
        <v>864.55600000000004</v>
      </c>
      <c r="O25" s="174">
        <f t="shared" si="4"/>
        <v>3.2080000000000002</v>
      </c>
    </row>
    <row r="26" spans="1:15">
      <c r="A26" s="154">
        <v>300</v>
      </c>
      <c r="B26" s="166">
        <v>4889</v>
      </c>
      <c r="C26" s="167">
        <v>4134</v>
      </c>
      <c r="D26" s="168">
        <v>4489</v>
      </c>
      <c r="E26" s="166">
        <v>5769</v>
      </c>
      <c r="F26" s="167">
        <v>4878</v>
      </c>
      <c r="G26" s="167">
        <v>5297</v>
      </c>
      <c r="H26" s="166">
        <f t="shared" si="0"/>
        <v>880</v>
      </c>
      <c r="I26" s="167">
        <f t="shared" si="0"/>
        <v>744</v>
      </c>
      <c r="J26" s="167">
        <f t="shared" si="0"/>
        <v>808</v>
      </c>
      <c r="K26" s="171" t="str">
        <f t="shared" si="1"/>
        <v>300 HP</v>
      </c>
      <c r="L26" s="172">
        <v>0.18</v>
      </c>
      <c r="M26" s="173">
        <f t="shared" si="2"/>
        <v>810.66666666666663</v>
      </c>
      <c r="N26" s="174">
        <f t="shared" si="3"/>
        <v>873.89866666666671</v>
      </c>
      <c r="O26" s="174">
        <f t="shared" si="4"/>
        <v>2.7022222222222223</v>
      </c>
    </row>
    <row r="27" spans="1:15">
      <c r="A27" s="154">
        <v>350</v>
      </c>
      <c r="B27" s="166">
        <v>5400</v>
      </c>
      <c r="C27" s="167">
        <v>4594</v>
      </c>
      <c r="D27" s="168">
        <v>4999</v>
      </c>
      <c r="E27" s="166">
        <v>6318</v>
      </c>
      <c r="F27" s="167">
        <v>5375</v>
      </c>
      <c r="G27" s="167">
        <v>5849</v>
      </c>
      <c r="H27" s="166">
        <f t="shared" si="0"/>
        <v>918</v>
      </c>
      <c r="I27" s="167">
        <f t="shared" si="0"/>
        <v>781</v>
      </c>
      <c r="J27" s="167">
        <f t="shared" si="0"/>
        <v>850</v>
      </c>
      <c r="K27" s="171" t="str">
        <f t="shared" si="1"/>
        <v>350 HP</v>
      </c>
      <c r="L27" s="172">
        <v>0.17</v>
      </c>
      <c r="M27" s="173">
        <f t="shared" si="2"/>
        <v>849.66666666666663</v>
      </c>
      <c r="N27" s="174">
        <f t="shared" si="3"/>
        <v>915.94066666666663</v>
      </c>
      <c r="O27" s="174">
        <f t="shared" si="4"/>
        <v>2.4276190476190473</v>
      </c>
    </row>
    <row r="28" spans="1:15">
      <c r="A28" s="154">
        <v>400</v>
      </c>
      <c r="B28" s="166">
        <v>5868</v>
      </c>
      <c r="C28" s="167">
        <v>5090</v>
      </c>
      <c r="D28" s="168">
        <v>5788</v>
      </c>
      <c r="E28" s="166">
        <v>6866</v>
      </c>
      <c r="F28" s="167">
        <v>5955</v>
      </c>
      <c r="G28" s="167">
        <v>6772</v>
      </c>
      <c r="H28" s="166">
        <f t="shared" si="0"/>
        <v>998</v>
      </c>
      <c r="I28" s="167">
        <f t="shared" si="0"/>
        <v>865</v>
      </c>
      <c r="J28" s="167">
        <f t="shared" si="0"/>
        <v>984</v>
      </c>
      <c r="K28" s="171" t="str">
        <f t="shared" si="1"/>
        <v>400 HP</v>
      </c>
      <c r="L28" s="172">
        <v>0.17</v>
      </c>
      <c r="M28" s="173">
        <f t="shared" si="2"/>
        <v>949</v>
      </c>
      <c r="N28" s="174">
        <f t="shared" si="3"/>
        <v>1023.022</v>
      </c>
      <c r="O28" s="174">
        <f t="shared" si="4"/>
        <v>2.3725000000000001</v>
      </c>
    </row>
    <row r="29" spans="1:15">
      <c r="A29" s="154">
        <v>450</v>
      </c>
      <c r="B29" s="166">
        <v>6294</v>
      </c>
      <c r="C29" s="167">
        <v>5611</v>
      </c>
      <c r="D29" s="168">
        <v>6400</v>
      </c>
      <c r="E29" s="166">
        <v>7364</v>
      </c>
      <c r="F29" s="167">
        <v>6565</v>
      </c>
      <c r="G29" s="167">
        <v>7488</v>
      </c>
      <c r="H29" s="166">
        <f t="shared" si="0"/>
        <v>1070</v>
      </c>
      <c r="I29" s="167">
        <f t="shared" si="0"/>
        <v>954</v>
      </c>
      <c r="J29" s="167">
        <f t="shared" si="0"/>
        <v>1088</v>
      </c>
      <c r="K29" s="171" t="str">
        <f t="shared" si="1"/>
        <v>450 HP</v>
      </c>
      <c r="L29" s="172">
        <v>0.17</v>
      </c>
      <c r="M29" s="173">
        <f t="shared" si="2"/>
        <v>1037.3333333333333</v>
      </c>
      <c r="N29" s="174">
        <f t="shared" si="3"/>
        <v>1118.2453333333333</v>
      </c>
      <c r="O29" s="174">
        <f t="shared" si="4"/>
        <v>2.3051851851851852</v>
      </c>
    </row>
    <row r="30" spans="1:15" ht="13.5" thickBot="1">
      <c r="A30" s="154">
        <v>500</v>
      </c>
      <c r="B30" s="175">
        <v>7006</v>
      </c>
      <c r="C30" s="176">
        <v>6122</v>
      </c>
      <c r="D30" s="177">
        <v>6649</v>
      </c>
      <c r="E30" s="175">
        <v>8197</v>
      </c>
      <c r="F30" s="176">
        <v>7163</v>
      </c>
      <c r="G30" s="176">
        <v>7779</v>
      </c>
      <c r="H30" s="175">
        <f t="shared" si="0"/>
        <v>1191</v>
      </c>
      <c r="I30" s="176">
        <f t="shared" si="0"/>
        <v>1041</v>
      </c>
      <c r="J30" s="176">
        <f t="shared" si="0"/>
        <v>1130</v>
      </c>
      <c r="K30" s="178" t="str">
        <f t="shared" si="1"/>
        <v>500 HP</v>
      </c>
      <c r="L30" s="179">
        <v>0.17</v>
      </c>
      <c r="M30" s="180">
        <f t="shared" si="2"/>
        <v>1120.6666666666667</v>
      </c>
      <c r="N30" s="174">
        <f t="shared" si="3"/>
        <v>1208.0786666666668</v>
      </c>
      <c r="O30" s="174">
        <f t="shared" si="4"/>
        <v>2.2413333333333334</v>
      </c>
    </row>
    <row r="31" spans="1:15">
      <c r="A31" s="116">
        <v>600</v>
      </c>
      <c r="K31" s="151" t="str">
        <f t="shared" si="1"/>
        <v>600 HP</v>
      </c>
      <c r="M31" s="181">
        <f t="shared" ref="M31:M46" si="5">E55</f>
        <v>1651.4479999999985</v>
      </c>
      <c r="N31" s="174">
        <f t="shared" si="3"/>
        <v>1780.2609439999985</v>
      </c>
      <c r="O31" s="174">
        <f t="shared" si="4"/>
        <v>2.7524133333333309</v>
      </c>
    </row>
    <row r="32" spans="1:15">
      <c r="A32" s="116">
        <v>700</v>
      </c>
      <c r="K32" s="151" t="str">
        <f t="shared" si="1"/>
        <v>700 HP</v>
      </c>
      <c r="M32" s="181">
        <f t="shared" si="5"/>
        <v>1801.7279999999992</v>
      </c>
      <c r="N32" s="174">
        <f t="shared" si="3"/>
        <v>1942.2627839999993</v>
      </c>
      <c r="O32" s="174">
        <f t="shared" si="4"/>
        <v>2.5738971428571418</v>
      </c>
    </row>
    <row r="33" spans="1:15">
      <c r="A33" s="116">
        <v>800</v>
      </c>
      <c r="K33" s="151" t="str">
        <f t="shared" si="1"/>
        <v>800 HP</v>
      </c>
      <c r="M33" s="181">
        <f t="shared" si="5"/>
        <v>1999.0639999999985</v>
      </c>
      <c r="N33" s="174">
        <f t="shared" si="3"/>
        <v>2154.9909919999986</v>
      </c>
      <c r="O33" s="174">
        <f t="shared" si="4"/>
        <v>2.4988299999999981</v>
      </c>
    </row>
    <row r="34" spans="1:15">
      <c r="A34" s="116">
        <v>900</v>
      </c>
      <c r="K34" s="151" t="str">
        <f t="shared" si="1"/>
        <v>900 HP</v>
      </c>
      <c r="M34" s="181">
        <f t="shared" si="5"/>
        <v>2203.8799999999992</v>
      </c>
      <c r="N34" s="174">
        <f t="shared" si="3"/>
        <v>2375.7826399999994</v>
      </c>
      <c r="O34" s="174">
        <f t="shared" si="4"/>
        <v>2.4487555555555547</v>
      </c>
    </row>
    <row r="35" spans="1:15">
      <c r="A35" s="116">
        <v>1000</v>
      </c>
      <c r="K35" s="151" t="str">
        <f t="shared" si="1"/>
        <v>1000 HP</v>
      </c>
      <c r="M35" s="181">
        <f t="shared" si="5"/>
        <v>2375.1039999999994</v>
      </c>
      <c r="N35" s="174">
        <f t="shared" si="3"/>
        <v>2560.3621119999993</v>
      </c>
      <c r="O35" s="174">
        <f t="shared" si="4"/>
        <v>2.3751039999999994</v>
      </c>
    </row>
    <row r="36" spans="1:15">
      <c r="A36" s="116">
        <v>1250</v>
      </c>
      <c r="K36" s="151" t="str">
        <f t="shared" si="1"/>
        <v>1250 HP</v>
      </c>
      <c r="M36" s="181">
        <f t="shared" si="5"/>
        <v>2837.232</v>
      </c>
      <c r="N36" s="174">
        <f t="shared" si="3"/>
        <v>3058.5360960000003</v>
      </c>
      <c r="O36" s="174">
        <f t="shared" si="4"/>
        <v>2.2697856000000001</v>
      </c>
    </row>
    <row r="37" spans="1:15">
      <c r="A37" s="116">
        <v>1500</v>
      </c>
      <c r="K37" s="151" t="str">
        <f t="shared" si="1"/>
        <v>1500 HP</v>
      </c>
      <c r="M37" s="181">
        <f t="shared" si="5"/>
        <v>3250.1280000000006</v>
      </c>
      <c r="N37" s="174">
        <f t="shared" si="3"/>
        <v>3503.6379840000009</v>
      </c>
      <c r="O37" s="174">
        <f t="shared" si="4"/>
        <v>2.1667520000000002</v>
      </c>
    </row>
    <row r="38" spans="1:15">
      <c r="A38" s="116">
        <v>1750</v>
      </c>
      <c r="K38" s="151" t="str">
        <f t="shared" si="1"/>
        <v>1750 HP</v>
      </c>
      <c r="M38" s="181">
        <f t="shared" si="5"/>
        <v>3709.5360000000001</v>
      </c>
      <c r="N38" s="174">
        <f t="shared" si="3"/>
        <v>3998.8798080000001</v>
      </c>
      <c r="O38" s="174">
        <f t="shared" si="4"/>
        <v>2.1197348571428574</v>
      </c>
    </row>
    <row r="39" spans="1:15">
      <c r="A39" s="116">
        <v>2000</v>
      </c>
      <c r="K39" s="151" t="str">
        <f t="shared" si="1"/>
        <v>2000 HP</v>
      </c>
      <c r="M39" s="181">
        <f t="shared" si="5"/>
        <v>4161.1919999999991</v>
      </c>
      <c r="N39" s="174">
        <f t="shared" si="3"/>
        <v>4485.7649759999995</v>
      </c>
      <c r="O39" s="174">
        <f t="shared" si="4"/>
        <v>2.0805959999999994</v>
      </c>
    </row>
    <row r="40" spans="1:15">
      <c r="A40" s="116">
        <v>2250</v>
      </c>
      <c r="K40" s="151" t="str">
        <f t="shared" si="1"/>
        <v>2250 HP</v>
      </c>
      <c r="M40" s="181">
        <f t="shared" si="5"/>
        <v>4533.2879999999968</v>
      </c>
      <c r="N40" s="174">
        <f t="shared" si="3"/>
        <v>4886.884463999997</v>
      </c>
      <c r="O40" s="174">
        <f t="shared" si="4"/>
        <v>2.0147946666666652</v>
      </c>
    </row>
    <row r="41" spans="1:15">
      <c r="A41" s="116">
        <v>2500</v>
      </c>
      <c r="K41" s="151" t="str">
        <f t="shared" si="1"/>
        <v>2500 HP</v>
      </c>
      <c r="M41" s="181">
        <f t="shared" si="5"/>
        <v>4959.783999999996</v>
      </c>
      <c r="N41" s="174">
        <f t="shared" si="3"/>
        <v>5346.6471519999959</v>
      </c>
      <c r="O41" s="174">
        <f t="shared" si="4"/>
        <v>1.9839135999999984</v>
      </c>
    </row>
    <row r="42" spans="1:15">
      <c r="A42" s="116">
        <v>3000</v>
      </c>
      <c r="K42" s="151" t="str">
        <f t="shared" si="1"/>
        <v>3000 HP</v>
      </c>
      <c r="M42" s="181">
        <f t="shared" si="5"/>
        <v>5798.903999999995</v>
      </c>
      <c r="N42" s="174">
        <f t="shared" si="3"/>
        <v>6251.2185119999949</v>
      </c>
      <c r="O42" s="174">
        <f t="shared" si="4"/>
        <v>1.9329679999999982</v>
      </c>
    </row>
    <row r="43" spans="1:15">
      <c r="A43" s="116">
        <v>3500</v>
      </c>
      <c r="K43" s="151" t="str">
        <f t="shared" si="1"/>
        <v>3500 HP</v>
      </c>
      <c r="M43" s="181">
        <f t="shared" si="5"/>
        <v>6408.0479999999952</v>
      </c>
      <c r="N43" s="174">
        <f t="shared" si="3"/>
        <v>6907.8757439999954</v>
      </c>
      <c r="O43" s="174">
        <f t="shared" si="4"/>
        <v>1.8308708571428558</v>
      </c>
    </row>
    <row r="44" spans="1:15">
      <c r="A44" s="116">
        <v>4000</v>
      </c>
      <c r="K44" s="151" t="str">
        <f t="shared" si="1"/>
        <v>4000 HP</v>
      </c>
      <c r="M44" s="181">
        <f t="shared" si="5"/>
        <v>7154.2799999999988</v>
      </c>
      <c r="N44" s="174">
        <f t="shared" si="3"/>
        <v>7712.3138399999989</v>
      </c>
      <c r="O44" s="174">
        <f t="shared" si="4"/>
        <v>1.7885699999999998</v>
      </c>
    </row>
    <row r="45" spans="1:15">
      <c r="A45" s="116">
        <v>4500</v>
      </c>
      <c r="K45" s="151" t="str">
        <f t="shared" si="1"/>
        <v>4500 HP</v>
      </c>
      <c r="M45" s="181">
        <f t="shared" si="5"/>
        <v>7710.112000000001</v>
      </c>
      <c r="N45" s="174">
        <f t="shared" si="3"/>
        <v>8311.5007360000018</v>
      </c>
      <c r="O45" s="174">
        <f t="shared" si="4"/>
        <v>1.7133582222222223</v>
      </c>
    </row>
    <row r="46" spans="1:15">
      <c r="A46" s="116">
        <v>5000</v>
      </c>
      <c r="K46" s="151" t="str">
        <f t="shared" si="1"/>
        <v>5000 HP</v>
      </c>
      <c r="M46" s="181">
        <f t="shared" si="5"/>
        <v>8230.1759999999995</v>
      </c>
      <c r="N46" s="174">
        <f t="shared" si="3"/>
        <v>8872.1297279999999</v>
      </c>
      <c r="O46" s="174">
        <f t="shared" si="4"/>
        <v>1.6460351999999998</v>
      </c>
    </row>
    <row r="50" spans="1:14" ht="15">
      <c r="A50" s="340" t="s">
        <v>240</v>
      </c>
      <c r="B50" s="340"/>
      <c r="C50" s="340"/>
      <c r="D50" s="340"/>
      <c r="E50" s="340"/>
      <c r="F50" s="340"/>
      <c r="G50" s="340"/>
      <c r="H50" s="340"/>
      <c r="I50" s="340"/>
      <c r="J50" s="340"/>
      <c r="K50" s="340"/>
      <c r="L50" s="340"/>
      <c r="M50" s="340"/>
      <c r="N50" s="340"/>
    </row>
    <row r="51" spans="1:14">
      <c r="A51" s="327" t="s">
        <v>241</v>
      </c>
      <c r="B51" s="327" t="s">
        <v>242</v>
      </c>
      <c r="C51" s="327" t="s">
        <v>243</v>
      </c>
      <c r="D51" s="327" t="s">
        <v>244</v>
      </c>
      <c r="E51" s="342" t="s">
        <v>245</v>
      </c>
      <c r="F51" s="329" t="s">
        <v>246</v>
      </c>
      <c r="G51" s="329"/>
      <c r="H51" s="182">
        <v>0.8</v>
      </c>
      <c r="I51" s="183"/>
      <c r="J51" s="184"/>
      <c r="K51" s="184"/>
      <c r="L51" s="184"/>
      <c r="M51" s="184"/>
      <c r="N51" s="184"/>
    </row>
    <row r="52" spans="1:14">
      <c r="A52" s="327"/>
      <c r="B52" s="327"/>
      <c r="C52" s="327"/>
      <c r="D52" s="327"/>
      <c r="E52" s="342"/>
      <c r="F52" s="330" t="s">
        <v>247</v>
      </c>
      <c r="G52" s="330"/>
      <c r="H52" s="185">
        <v>1.17</v>
      </c>
      <c r="I52" s="324" t="s">
        <v>248</v>
      </c>
      <c r="J52" s="324" t="s">
        <v>249</v>
      </c>
      <c r="K52" s="331" t="s">
        <v>250</v>
      </c>
      <c r="L52" s="331" t="s">
        <v>251</v>
      </c>
      <c r="M52" s="324" t="s">
        <v>252</v>
      </c>
      <c r="N52" s="184"/>
    </row>
    <row r="53" spans="1:14">
      <c r="A53" s="327"/>
      <c r="B53" s="327"/>
      <c r="C53" s="327"/>
      <c r="D53" s="327"/>
      <c r="E53" s="342"/>
      <c r="F53" s="327" t="s">
        <v>212</v>
      </c>
      <c r="G53" s="328" t="s">
        <v>253</v>
      </c>
      <c r="H53" s="186" t="s">
        <v>254</v>
      </c>
      <c r="I53" s="325"/>
      <c r="J53" s="325"/>
      <c r="K53" s="332"/>
      <c r="L53" s="332"/>
      <c r="M53" s="325" t="s">
        <v>252</v>
      </c>
      <c r="N53" s="184"/>
    </row>
    <row r="54" spans="1:14">
      <c r="A54" s="341"/>
      <c r="B54" s="341"/>
      <c r="C54" s="341"/>
      <c r="D54" s="327"/>
      <c r="E54" s="342"/>
      <c r="F54" s="327"/>
      <c r="G54" s="327"/>
      <c r="H54" s="187" t="s">
        <v>255</v>
      </c>
      <c r="I54" s="326"/>
      <c r="J54" s="326"/>
      <c r="K54" s="333"/>
      <c r="L54" s="333"/>
      <c r="M54" s="326"/>
      <c r="N54" s="184"/>
    </row>
    <row r="55" spans="1:14">
      <c r="A55" s="188">
        <v>600</v>
      </c>
      <c r="B55" s="189">
        <v>12143</v>
      </c>
      <c r="C55" s="189">
        <f>B55*H51</f>
        <v>9714.4</v>
      </c>
      <c r="D55" s="189">
        <f>C55*H52</f>
        <v>11365.847999999998</v>
      </c>
      <c r="E55" s="189">
        <f t="shared" ref="E55:E70" si="6">D55-C55</f>
        <v>1651.4479999999985</v>
      </c>
      <c r="F55" s="190">
        <v>0.7</v>
      </c>
      <c r="G55" s="191">
        <v>5.0000000000000001E-3</v>
      </c>
      <c r="H55" s="192">
        <v>12584</v>
      </c>
      <c r="I55" s="193">
        <v>2</v>
      </c>
      <c r="J55" s="194">
        <f t="shared" ref="J55:J70" si="7">A55*I55</f>
        <v>1200</v>
      </c>
      <c r="K55" s="186">
        <v>52</v>
      </c>
      <c r="L55" s="195">
        <f t="shared" ref="L55:L70" si="8">K55*0.7</f>
        <v>36.4</v>
      </c>
      <c r="M55" s="196">
        <f t="shared" ref="M55:M70" si="9">L55*H55</f>
        <v>458057.6</v>
      </c>
      <c r="N55" s="184"/>
    </row>
    <row r="56" spans="1:14">
      <c r="A56" s="197">
        <v>700</v>
      </c>
      <c r="B56" s="198">
        <v>13248</v>
      </c>
      <c r="C56" s="198">
        <f>B56*H51</f>
        <v>10598.400000000001</v>
      </c>
      <c r="D56" s="198">
        <f>C56*H52</f>
        <v>12400.128000000001</v>
      </c>
      <c r="E56" s="198">
        <f t="shared" si="6"/>
        <v>1801.7279999999992</v>
      </c>
      <c r="F56" s="199">
        <v>0.7</v>
      </c>
      <c r="G56" s="200">
        <v>5.0000000000000001E-3</v>
      </c>
      <c r="H56" s="201">
        <v>14682</v>
      </c>
      <c r="I56" s="202">
        <v>2</v>
      </c>
      <c r="J56" s="203">
        <f t="shared" si="7"/>
        <v>1400</v>
      </c>
      <c r="K56" s="187">
        <v>33</v>
      </c>
      <c r="L56" s="204">
        <f t="shared" si="8"/>
        <v>23.099999999999998</v>
      </c>
      <c r="M56" s="205">
        <f t="shared" si="9"/>
        <v>339154.19999999995</v>
      </c>
      <c r="N56" s="184"/>
    </row>
    <row r="57" spans="1:14">
      <c r="A57" s="188">
        <v>800</v>
      </c>
      <c r="B57" s="206">
        <v>14699</v>
      </c>
      <c r="C57" s="206">
        <f>B57*H51</f>
        <v>11759.2</v>
      </c>
      <c r="D57" s="206">
        <f>C57*H52</f>
        <v>13758.263999999999</v>
      </c>
      <c r="E57" s="206">
        <f t="shared" si="6"/>
        <v>1999.0639999999985</v>
      </c>
      <c r="F57" s="207">
        <v>0.7</v>
      </c>
      <c r="G57" s="208">
        <v>5.0000000000000001E-3</v>
      </c>
      <c r="H57" s="209">
        <v>16708</v>
      </c>
      <c r="I57" s="210">
        <v>2</v>
      </c>
      <c r="J57" s="211">
        <f t="shared" si="7"/>
        <v>1600</v>
      </c>
      <c r="K57" s="212">
        <v>24</v>
      </c>
      <c r="L57" s="213">
        <f t="shared" si="8"/>
        <v>16.799999999999997</v>
      </c>
      <c r="M57" s="214">
        <f t="shared" si="9"/>
        <v>280694.39999999997</v>
      </c>
      <c r="N57" s="184"/>
    </row>
    <row r="58" spans="1:14">
      <c r="A58" s="188">
        <v>900</v>
      </c>
      <c r="B58" s="206">
        <v>16205</v>
      </c>
      <c r="C58" s="206">
        <f>B58*H51</f>
        <v>12964</v>
      </c>
      <c r="D58" s="206">
        <f>C58*H52</f>
        <v>15167.88</v>
      </c>
      <c r="E58" s="206">
        <f t="shared" si="6"/>
        <v>2203.8799999999992</v>
      </c>
      <c r="F58" s="207">
        <v>0.7</v>
      </c>
      <c r="G58" s="208">
        <v>5.0000000000000001E-3</v>
      </c>
      <c r="H58" s="209">
        <v>18737</v>
      </c>
      <c r="I58" s="210">
        <v>2</v>
      </c>
      <c r="J58" s="211">
        <f t="shared" si="7"/>
        <v>1800</v>
      </c>
      <c r="K58" s="212">
        <v>14</v>
      </c>
      <c r="L58" s="213">
        <f t="shared" si="8"/>
        <v>9.7999999999999989</v>
      </c>
      <c r="M58" s="214">
        <f t="shared" si="9"/>
        <v>183622.59999999998</v>
      </c>
      <c r="N58" s="184"/>
    </row>
    <row r="59" spans="1:14">
      <c r="A59" s="215">
        <v>1000</v>
      </c>
      <c r="B59" s="189">
        <v>17464</v>
      </c>
      <c r="C59" s="189">
        <f>B59*H51</f>
        <v>13971.2</v>
      </c>
      <c r="D59" s="189">
        <f>C59*H52</f>
        <v>16346.304</v>
      </c>
      <c r="E59" s="189">
        <f t="shared" si="6"/>
        <v>2375.1039999999994</v>
      </c>
      <c r="F59" s="190">
        <v>0.7</v>
      </c>
      <c r="G59" s="191">
        <v>5.0000000000000001E-3</v>
      </c>
      <c r="H59" s="192">
        <v>20754</v>
      </c>
      <c r="I59" s="193">
        <v>2</v>
      </c>
      <c r="J59" s="194">
        <f t="shared" si="7"/>
        <v>2000</v>
      </c>
      <c r="K59" s="186">
        <v>14</v>
      </c>
      <c r="L59" s="195">
        <f t="shared" si="8"/>
        <v>9.7999999999999989</v>
      </c>
      <c r="M59" s="196">
        <f t="shared" si="9"/>
        <v>203389.19999999998</v>
      </c>
      <c r="N59" s="184"/>
    </row>
    <row r="60" spans="1:14">
      <c r="A60" s="197">
        <v>1250</v>
      </c>
      <c r="B60" s="198">
        <v>20862</v>
      </c>
      <c r="C60" s="198">
        <f>B60*H51</f>
        <v>16689.600000000002</v>
      </c>
      <c r="D60" s="198">
        <f>C60*H52</f>
        <v>19526.832000000002</v>
      </c>
      <c r="E60" s="198">
        <f t="shared" si="6"/>
        <v>2837.232</v>
      </c>
      <c r="F60" s="199">
        <v>0.7</v>
      </c>
      <c r="G60" s="200">
        <v>5.0000000000000001E-3</v>
      </c>
      <c r="H60" s="201">
        <v>26695</v>
      </c>
      <c r="I60" s="202">
        <v>2</v>
      </c>
      <c r="J60" s="203">
        <f t="shared" si="7"/>
        <v>2500</v>
      </c>
      <c r="K60" s="187">
        <v>12</v>
      </c>
      <c r="L60" s="204">
        <f t="shared" si="8"/>
        <v>8.3999999999999986</v>
      </c>
      <c r="M60" s="205">
        <f t="shared" si="9"/>
        <v>224237.99999999997</v>
      </c>
      <c r="N60" s="184"/>
    </row>
    <row r="61" spans="1:14">
      <c r="A61" s="188">
        <v>1500</v>
      </c>
      <c r="B61" s="206">
        <v>23898</v>
      </c>
      <c r="C61" s="206">
        <f>B61*H51</f>
        <v>19118.400000000001</v>
      </c>
      <c r="D61" s="206">
        <f>C61*H52</f>
        <v>22368.528000000002</v>
      </c>
      <c r="E61" s="206">
        <f t="shared" si="6"/>
        <v>3250.1280000000006</v>
      </c>
      <c r="F61" s="207">
        <v>0.7</v>
      </c>
      <c r="G61" s="208">
        <v>5.0000000000000001E-3</v>
      </c>
      <c r="H61" s="209">
        <v>31867</v>
      </c>
      <c r="I61" s="210">
        <v>2</v>
      </c>
      <c r="J61" s="211">
        <f t="shared" si="7"/>
        <v>3000</v>
      </c>
      <c r="K61" s="212">
        <v>12</v>
      </c>
      <c r="L61" s="213">
        <f t="shared" si="8"/>
        <v>8.3999999999999986</v>
      </c>
      <c r="M61" s="214">
        <f t="shared" si="9"/>
        <v>267682.79999999993</v>
      </c>
      <c r="N61" s="184"/>
    </row>
    <row r="62" spans="1:14">
      <c r="A62" s="188">
        <v>1750</v>
      </c>
      <c r="B62" s="206">
        <v>27276</v>
      </c>
      <c r="C62" s="206">
        <f>B62*H51</f>
        <v>21820.800000000003</v>
      </c>
      <c r="D62" s="206">
        <f>C62*H52</f>
        <v>25530.336000000003</v>
      </c>
      <c r="E62" s="216">
        <f t="shared" si="6"/>
        <v>3709.5360000000001</v>
      </c>
      <c r="F62" s="217">
        <v>0.7</v>
      </c>
      <c r="G62" s="218">
        <v>5.0000000000000001E-3</v>
      </c>
      <c r="H62" s="219">
        <v>37035</v>
      </c>
      <c r="I62" s="220">
        <v>2</v>
      </c>
      <c r="J62" s="211">
        <f t="shared" si="7"/>
        <v>3500</v>
      </c>
      <c r="K62" s="212">
        <v>11</v>
      </c>
      <c r="L62" s="213">
        <f t="shared" si="8"/>
        <v>7.6999999999999993</v>
      </c>
      <c r="M62" s="214">
        <f t="shared" si="9"/>
        <v>285169.5</v>
      </c>
      <c r="N62" s="184"/>
    </row>
    <row r="63" spans="1:14">
      <c r="A63" s="215">
        <v>2000</v>
      </c>
      <c r="B63" s="189">
        <v>30597</v>
      </c>
      <c r="C63" s="189">
        <f>B63*H51</f>
        <v>24477.600000000002</v>
      </c>
      <c r="D63" s="189">
        <f>C63*H52</f>
        <v>28638.792000000001</v>
      </c>
      <c r="E63" s="221">
        <f t="shared" si="6"/>
        <v>4161.1919999999991</v>
      </c>
      <c r="F63" s="222">
        <v>0.7</v>
      </c>
      <c r="G63" s="223">
        <v>5.0000000000000001E-3</v>
      </c>
      <c r="H63" s="224">
        <v>42355</v>
      </c>
      <c r="I63" s="225">
        <v>2</v>
      </c>
      <c r="J63" s="194">
        <f t="shared" si="7"/>
        <v>4000</v>
      </c>
      <c r="K63" s="186">
        <v>7</v>
      </c>
      <c r="L63" s="195">
        <f t="shared" si="8"/>
        <v>4.8999999999999995</v>
      </c>
      <c r="M63" s="196">
        <f t="shared" si="9"/>
        <v>207539.49999999997</v>
      </c>
      <c r="N63" s="184"/>
    </row>
    <row r="64" spans="1:14">
      <c r="A64" s="197">
        <v>2250</v>
      </c>
      <c r="B64" s="198">
        <v>33333</v>
      </c>
      <c r="C64" s="198">
        <f>B64*H51</f>
        <v>26666.400000000001</v>
      </c>
      <c r="D64" s="198">
        <f>C64*H52</f>
        <v>31199.687999999998</v>
      </c>
      <c r="E64" s="198">
        <f t="shared" si="6"/>
        <v>4533.2879999999968</v>
      </c>
      <c r="F64" s="199">
        <v>0.7</v>
      </c>
      <c r="G64" s="200">
        <v>5.0000000000000001E-3</v>
      </c>
      <c r="H64" s="201">
        <v>47468</v>
      </c>
      <c r="I64" s="202">
        <v>2</v>
      </c>
      <c r="J64" s="203">
        <f t="shared" si="7"/>
        <v>4500</v>
      </c>
      <c r="K64" s="187">
        <v>7</v>
      </c>
      <c r="L64" s="204">
        <f t="shared" si="8"/>
        <v>4.8999999999999995</v>
      </c>
      <c r="M64" s="205">
        <f t="shared" si="9"/>
        <v>232593.19999999998</v>
      </c>
      <c r="N64" s="184"/>
    </row>
    <row r="65" spans="1:14">
      <c r="A65" s="188">
        <v>2500</v>
      </c>
      <c r="B65" s="206">
        <v>36469</v>
      </c>
      <c r="C65" s="206">
        <f>B65*H51</f>
        <v>29175.200000000001</v>
      </c>
      <c r="D65" s="206">
        <f>C65*H52</f>
        <v>34134.983999999997</v>
      </c>
      <c r="E65" s="216">
        <f t="shared" si="6"/>
        <v>4959.783999999996</v>
      </c>
      <c r="F65" s="217">
        <v>0.7</v>
      </c>
      <c r="G65" s="218">
        <v>5.0000000000000001E-3</v>
      </c>
      <c r="H65" s="219">
        <v>52450</v>
      </c>
      <c r="I65" s="220">
        <v>2</v>
      </c>
      <c r="J65" s="211">
        <f t="shared" si="7"/>
        <v>5000</v>
      </c>
      <c r="K65" s="212">
        <v>5</v>
      </c>
      <c r="L65" s="213">
        <f t="shared" si="8"/>
        <v>3.5</v>
      </c>
      <c r="M65" s="214">
        <f t="shared" si="9"/>
        <v>183575</v>
      </c>
      <c r="N65" s="184"/>
    </row>
    <row r="66" spans="1:14">
      <c r="A66" s="188">
        <v>3000</v>
      </c>
      <c r="B66" s="206">
        <v>42639</v>
      </c>
      <c r="C66" s="206">
        <f>B66*H51</f>
        <v>34111.200000000004</v>
      </c>
      <c r="D66" s="206">
        <f>C66*H52</f>
        <v>39910.103999999999</v>
      </c>
      <c r="E66" s="206">
        <f t="shared" si="6"/>
        <v>5798.903999999995</v>
      </c>
      <c r="F66" s="207">
        <v>0.7</v>
      </c>
      <c r="G66" s="208">
        <v>5.0000000000000001E-3</v>
      </c>
      <c r="H66" s="209">
        <v>63071</v>
      </c>
      <c r="I66" s="210">
        <v>2</v>
      </c>
      <c r="J66" s="211">
        <f t="shared" si="7"/>
        <v>6000</v>
      </c>
      <c r="K66" s="212">
        <v>3</v>
      </c>
      <c r="L66" s="213">
        <f t="shared" si="8"/>
        <v>2.0999999999999996</v>
      </c>
      <c r="M66" s="214">
        <f t="shared" si="9"/>
        <v>132449.09999999998</v>
      </c>
      <c r="N66" s="184"/>
    </row>
    <row r="67" spans="1:14">
      <c r="A67" s="215">
        <v>3500</v>
      </c>
      <c r="B67" s="189">
        <v>47118</v>
      </c>
      <c r="C67" s="189">
        <f>B67*H51</f>
        <v>37694.400000000001</v>
      </c>
      <c r="D67" s="189">
        <f>C67*H52</f>
        <v>44102.447999999997</v>
      </c>
      <c r="E67" s="189">
        <f t="shared" si="6"/>
        <v>6408.0479999999952</v>
      </c>
      <c r="F67" s="190">
        <v>0.7</v>
      </c>
      <c r="G67" s="191">
        <v>5.0000000000000001E-3</v>
      </c>
      <c r="H67" s="192">
        <v>73392</v>
      </c>
      <c r="I67" s="193">
        <v>2</v>
      </c>
      <c r="J67" s="194">
        <f t="shared" si="7"/>
        <v>7000</v>
      </c>
      <c r="K67" s="186">
        <v>1</v>
      </c>
      <c r="L67" s="195">
        <f t="shared" si="8"/>
        <v>0.7</v>
      </c>
      <c r="M67" s="196">
        <f t="shared" si="9"/>
        <v>51374.399999999994</v>
      </c>
      <c r="N67" s="184"/>
    </row>
    <row r="68" spans="1:14">
      <c r="A68" s="197">
        <v>4000</v>
      </c>
      <c r="B68" s="198">
        <v>52605</v>
      </c>
      <c r="C68" s="198">
        <f>B68*H51</f>
        <v>42084</v>
      </c>
      <c r="D68" s="198">
        <f>C68*H52</f>
        <v>49238.28</v>
      </c>
      <c r="E68" s="198">
        <f t="shared" si="6"/>
        <v>7154.2799999999988</v>
      </c>
      <c r="F68" s="199">
        <v>0.7</v>
      </c>
      <c r="G68" s="200">
        <v>5.0000000000000001E-3</v>
      </c>
      <c r="H68" s="201">
        <v>83919</v>
      </c>
      <c r="I68" s="202">
        <v>2</v>
      </c>
      <c r="J68" s="203">
        <f t="shared" si="7"/>
        <v>8000</v>
      </c>
      <c r="K68" s="187">
        <v>3</v>
      </c>
      <c r="L68" s="204">
        <f t="shared" si="8"/>
        <v>2.0999999999999996</v>
      </c>
      <c r="M68" s="205">
        <f t="shared" si="9"/>
        <v>176229.89999999997</v>
      </c>
      <c r="N68" s="184"/>
    </row>
    <row r="69" spans="1:14">
      <c r="A69" s="215">
        <v>4500</v>
      </c>
      <c r="B69" s="189">
        <v>56692</v>
      </c>
      <c r="C69" s="189">
        <f>B69*H51</f>
        <v>45353.600000000006</v>
      </c>
      <c r="D69" s="189">
        <f>C69*H52</f>
        <v>53063.712000000007</v>
      </c>
      <c r="E69" s="189">
        <f t="shared" si="6"/>
        <v>7710.112000000001</v>
      </c>
      <c r="F69" s="190">
        <v>0.7</v>
      </c>
      <c r="G69" s="191">
        <v>5.0000000000000001E-3</v>
      </c>
      <c r="H69" s="192">
        <v>94213</v>
      </c>
      <c r="I69" s="226">
        <v>2</v>
      </c>
      <c r="J69" s="227">
        <f t="shared" si="7"/>
        <v>9000</v>
      </c>
      <c r="K69" s="186">
        <v>1</v>
      </c>
      <c r="L69" s="195">
        <f t="shared" si="8"/>
        <v>0.7</v>
      </c>
      <c r="M69" s="196">
        <f t="shared" si="9"/>
        <v>65949.099999999991</v>
      </c>
      <c r="N69" s="184"/>
    </row>
    <row r="70" spans="1:14">
      <c r="A70" s="197">
        <v>5000</v>
      </c>
      <c r="B70" s="198">
        <v>60516</v>
      </c>
      <c r="C70" s="198">
        <f>B70*H51</f>
        <v>48412.800000000003</v>
      </c>
      <c r="D70" s="198">
        <f>C70*H52</f>
        <v>56642.976000000002</v>
      </c>
      <c r="E70" s="198">
        <f t="shared" si="6"/>
        <v>8230.1759999999995</v>
      </c>
      <c r="F70" s="199">
        <v>0.7</v>
      </c>
      <c r="G70" s="200">
        <v>5.0000000000000001E-3</v>
      </c>
      <c r="H70" s="201">
        <v>104681</v>
      </c>
      <c r="I70" s="228">
        <v>2</v>
      </c>
      <c r="J70" s="229">
        <f t="shared" si="7"/>
        <v>10000</v>
      </c>
      <c r="K70" s="187">
        <v>1</v>
      </c>
      <c r="L70" s="204">
        <f t="shared" si="8"/>
        <v>0.7</v>
      </c>
      <c r="M70" s="205">
        <f t="shared" si="9"/>
        <v>73276.7</v>
      </c>
      <c r="N70" s="184"/>
    </row>
    <row r="71" spans="1:14">
      <c r="A71" s="184"/>
      <c r="B71" s="184"/>
      <c r="C71" s="184"/>
      <c r="D71" s="184"/>
      <c r="E71" s="184"/>
      <c r="F71" s="184"/>
      <c r="G71" s="184"/>
      <c r="H71" s="184"/>
      <c r="I71" s="184"/>
      <c r="J71" s="184"/>
      <c r="K71" s="230"/>
      <c r="L71" s="231"/>
      <c r="M71" s="232">
        <f>SUM(M55:M70)</f>
        <v>3364995.2</v>
      </c>
      <c r="N71" s="184"/>
    </row>
  </sheetData>
  <mergeCells count="19">
    <mergeCell ref="A51:A54"/>
    <mergeCell ref="B51:B54"/>
    <mergeCell ref="C51:C54"/>
    <mergeCell ref="D51:D54"/>
    <mergeCell ref="E51:E54"/>
    <mergeCell ref="B9:D9"/>
    <mergeCell ref="E9:G9"/>
    <mergeCell ref="H9:J9"/>
    <mergeCell ref="K9:M9"/>
    <mergeCell ref="A50:N50"/>
    <mergeCell ref="M52:M54"/>
    <mergeCell ref="F53:F54"/>
    <mergeCell ref="G53:G54"/>
    <mergeCell ref="F51:G51"/>
    <mergeCell ref="F52:G52"/>
    <mergeCell ref="I52:I54"/>
    <mergeCell ref="J52:J54"/>
    <mergeCell ref="K52:K54"/>
    <mergeCell ref="L52:L5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dimension ref="A1:P44"/>
  <sheetViews>
    <sheetView workbookViewId="0">
      <selection activeCell="B44" sqref="B44"/>
    </sheetView>
  </sheetViews>
  <sheetFormatPr defaultColWidth="8.85546875" defaultRowHeight="12.75"/>
  <cols>
    <col min="1" max="1" width="8.85546875" style="151"/>
    <col min="2" max="2" width="9.28515625" style="151" bestFit="1" customWidth="1"/>
    <col min="3" max="3" width="10.28515625" style="151" bestFit="1" customWidth="1"/>
    <col min="4" max="4" width="11.7109375" style="151" bestFit="1" customWidth="1"/>
    <col min="5" max="16384" width="8.85546875" style="151"/>
  </cols>
  <sheetData>
    <row r="1" spans="1:4">
      <c r="A1" s="151" t="s">
        <v>292</v>
      </c>
    </row>
    <row r="10" spans="1:4">
      <c r="A10" s="234" t="s">
        <v>196</v>
      </c>
      <c r="B10" s="235" t="s">
        <v>293</v>
      </c>
      <c r="C10" s="151" t="s">
        <v>294</v>
      </c>
      <c r="D10" s="236" t="s">
        <v>295</v>
      </c>
    </row>
    <row r="11" spans="1:4">
      <c r="A11" s="129">
        <v>15</v>
      </c>
      <c r="B11" s="237">
        <f>SavingsAnalysis!C13</f>
        <v>2221</v>
      </c>
      <c r="C11" s="238">
        <v>40000</v>
      </c>
      <c r="D11" s="239">
        <f t="shared" ref="D11:D44" si="0">ROUND(MIN(C11/B11,20),0)</f>
        <v>18</v>
      </c>
    </row>
    <row r="12" spans="1:4">
      <c r="A12" s="129">
        <v>20</v>
      </c>
      <c r="B12" s="237">
        <f>SavingsAnalysis!C14</f>
        <v>2221</v>
      </c>
      <c r="C12" s="238">
        <v>40000</v>
      </c>
      <c r="D12" s="239">
        <f t="shared" si="0"/>
        <v>18</v>
      </c>
    </row>
    <row r="13" spans="1:4">
      <c r="A13" s="129">
        <v>25</v>
      </c>
      <c r="B13" s="237">
        <f>SavingsAnalysis!C15</f>
        <v>2691</v>
      </c>
      <c r="C13" s="238">
        <v>45000</v>
      </c>
      <c r="D13" s="239">
        <f t="shared" si="0"/>
        <v>17</v>
      </c>
    </row>
    <row r="14" spans="1:4">
      <c r="A14" s="129">
        <v>30</v>
      </c>
      <c r="B14" s="237">
        <f>SavingsAnalysis!C16</f>
        <v>2691</v>
      </c>
      <c r="C14" s="238">
        <v>45000</v>
      </c>
      <c r="D14" s="239">
        <f t="shared" si="0"/>
        <v>17</v>
      </c>
    </row>
    <row r="15" spans="1:4">
      <c r="A15" s="129">
        <v>40</v>
      </c>
      <c r="B15" s="237">
        <f>SavingsAnalysis!C17</f>
        <v>2691</v>
      </c>
      <c r="C15" s="238">
        <v>45000</v>
      </c>
      <c r="D15" s="239">
        <f t="shared" si="0"/>
        <v>17</v>
      </c>
    </row>
    <row r="16" spans="1:4">
      <c r="A16" s="129">
        <v>50</v>
      </c>
      <c r="B16" s="237">
        <f>SavingsAnalysis!C18</f>
        <v>2691</v>
      </c>
      <c r="C16" s="238">
        <v>45000</v>
      </c>
      <c r="D16" s="239">
        <f t="shared" si="0"/>
        <v>17</v>
      </c>
    </row>
    <row r="17" spans="1:16">
      <c r="A17" s="129">
        <v>60</v>
      </c>
      <c r="B17" s="237">
        <f>SavingsAnalysis!C19</f>
        <v>2357</v>
      </c>
      <c r="C17" s="238">
        <v>50000</v>
      </c>
      <c r="D17" s="239">
        <f t="shared" si="0"/>
        <v>20</v>
      </c>
    </row>
    <row r="18" spans="1:16">
      <c r="A18" s="129">
        <v>75</v>
      </c>
      <c r="B18" s="237">
        <f>SavingsAnalysis!C20</f>
        <v>2357</v>
      </c>
      <c r="C18" s="238">
        <v>50000</v>
      </c>
      <c r="D18" s="239">
        <f t="shared" si="0"/>
        <v>20</v>
      </c>
    </row>
    <row r="19" spans="1:16">
      <c r="A19" s="129">
        <v>100</v>
      </c>
      <c r="B19" s="237">
        <f>SavingsAnalysis!C21</f>
        <v>2357</v>
      </c>
      <c r="C19" s="238">
        <v>50000</v>
      </c>
      <c r="D19" s="239">
        <f t="shared" si="0"/>
        <v>20</v>
      </c>
    </row>
    <row r="20" spans="1:16">
      <c r="A20" s="129">
        <v>125</v>
      </c>
      <c r="B20" s="237">
        <f>SavingsAnalysis!C22</f>
        <v>2198</v>
      </c>
      <c r="C20" s="238">
        <v>50000</v>
      </c>
      <c r="D20" s="239">
        <f t="shared" si="0"/>
        <v>20</v>
      </c>
    </row>
    <row r="21" spans="1:16">
      <c r="A21" s="129">
        <v>150</v>
      </c>
      <c r="B21" s="237">
        <f>SavingsAnalysis!C23</f>
        <v>2198</v>
      </c>
      <c r="C21" s="238">
        <v>50000</v>
      </c>
      <c r="D21" s="239">
        <f t="shared" si="0"/>
        <v>20</v>
      </c>
    </row>
    <row r="22" spans="1:16">
      <c r="A22" s="129">
        <v>200</v>
      </c>
      <c r="B22" s="237">
        <f>SavingsAnalysis!C24</f>
        <v>2198</v>
      </c>
      <c r="C22" s="238">
        <v>50000</v>
      </c>
      <c r="D22" s="239">
        <f t="shared" si="0"/>
        <v>20</v>
      </c>
    </row>
    <row r="23" spans="1:16">
      <c r="A23" s="129">
        <v>250</v>
      </c>
      <c r="B23" s="237">
        <f>SavingsAnalysis!C25</f>
        <v>2674</v>
      </c>
      <c r="C23" s="238">
        <v>50000</v>
      </c>
      <c r="D23" s="239">
        <f t="shared" si="0"/>
        <v>19</v>
      </c>
    </row>
    <row r="24" spans="1:16">
      <c r="A24" s="129">
        <v>300</v>
      </c>
      <c r="B24" s="237">
        <f>SavingsAnalysis!C26</f>
        <v>2674</v>
      </c>
      <c r="C24" s="238">
        <v>50000</v>
      </c>
      <c r="D24" s="239">
        <f t="shared" si="0"/>
        <v>19</v>
      </c>
    </row>
    <row r="25" spans="1:16">
      <c r="A25" s="129">
        <v>350</v>
      </c>
      <c r="B25" s="237">
        <f>SavingsAnalysis!C27</f>
        <v>2674</v>
      </c>
      <c r="C25" s="238">
        <v>50000</v>
      </c>
      <c r="D25" s="239">
        <f t="shared" si="0"/>
        <v>19</v>
      </c>
      <c r="N25" s="150"/>
      <c r="O25" s="150"/>
      <c r="P25" s="150"/>
    </row>
    <row r="26" spans="1:16">
      <c r="A26" s="129">
        <v>400</v>
      </c>
      <c r="B26" s="237">
        <f>SavingsAnalysis!C28</f>
        <v>2674</v>
      </c>
      <c r="C26" s="238">
        <v>50000</v>
      </c>
      <c r="D26" s="239">
        <f t="shared" si="0"/>
        <v>19</v>
      </c>
      <c r="N26" s="150"/>
      <c r="O26" s="150"/>
      <c r="P26" s="150"/>
    </row>
    <row r="27" spans="1:16">
      <c r="A27" s="129">
        <v>450</v>
      </c>
      <c r="B27" s="237">
        <f>SavingsAnalysis!C29</f>
        <v>2674</v>
      </c>
      <c r="C27" s="238">
        <v>50000</v>
      </c>
      <c r="D27" s="239">
        <f t="shared" si="0"/>
        <v>19</v>
      </c>
      <c r="N27" s="150"/>
      <c r="O27" s="150"/>
      <c r="P27" s="150"/>
    </row>
    <row r="28" spans="1:16">
      <c r="A28" s="129">
        <v>500</v>
      </c>
      <c r="B28" s="237">
        <f>SavingsAnalysis!C30</f>
        <v>2674</v>
      </c>
      <c r="C28" s="238">
        <v>50000</v>
      </c>
      <c r="D28" s="239">
        <f t="shared" si="0"/>
        <v>19</v>
      </c>
      <c r="N28" s="150"/>
      <c r="O28" s="150"/>
      <c r="P28" s="150"/>
    </row>
    <row r="29" spans="1:16">
      <c r="A29" s="129">
        <f>'[5]CostData&amp;Analysis'!A55</f>
        <v>600</v>
      </c>
      <c r="B29" s="237">
        <f>SavingsAnalysis!C31</f>
        <v>2124</v>
      </c>
      <c r="C29" s="238">
        <v>50000</v>
      </c>
      <c r="D29" s="239">
        <f t="shared" si="0"/>
        <v>20</v>
      </c>
      <c r="N29" s="150"/>
      <c r="O29" s="150"/>
      <c r="P29" s="150"/>
    </row>
    <row r="30" spans="1:16">
      <c r="A30" s="129">
        <f>'[5]CostData&amp;Analysis'!A56</f>
        <v>700</v>
      </c>
      <c r="B30" s="237">
        <f>SavingsAnalysis!C32</f>
        <v>2124</v>
      </c>
      <c r="C30" s="238">
        <v>50000</v>
      </c>
      <c r="D30" s="239">
        <f t="shared" si="0"/>
        <v>20</v>
      </c>
      <c r="N30" s="150"/>
      <c r="O30" s="150"/>
      <c r="P30" s="150"/>
    </row>
    <row r="31" spans="1:16">
      <c r="A31" s="129">
        <f>'[5]CostData&amp;Analysis'!A57</f>
        <v>800</v>
      </c>
      <c r="B31" s="237">
        <f>SavingsAnalysis!C33</f>
        <v>2124</v>
      </c>
      <c r="C31" s="238">
        <v>50000</v>
      </c>
      <c r="D31" s="239">
        <f t="shared" si="0"/>
        <v>20</v>
      </c>
      <c r="N31" s="150"/>
      <c r="O31" s="150"/>
      <c r="P31" s="150"/>
    </row>
    <row r="32" spans="1:16">
      <c r="A32" s="129">
        <f>'[5]CostData&amp;Analysis'!A58</f>
        <v>900</v>
      </c>
      <c r="B32" s="237">
        <f>SavingsAnalysis!C34</f>
        <v>2124</v>
      </c>
      <c r="C32" s="238">
        <v>50000</v>
      </c>
      <c r="D32" s="239">
        <f t="shared" si="0"/>
        <v>20</v>
      </c>
      <c r="N32" s="150"/>
      <c r="O32" s="150"/>
      <c r="P32" s="150"/>
    </row>
    <row r="33" spans="1:16">
      <c r="A33" s="129">
        <f>'[5]CostData&amp;Analysis'!A59</f>
        <v>1000</v>
      </c>
      <c r="B33" s="237">
        <f>SavingsAnalysis!C35</f>
        <v>2124</v>
      </c>
      <c r="C33" s="238">
        <v>50000</v>
      </c>
      <c r="D33" s="239">
        <f t="shared" si="0"/>
        <v>20</v>
      </c>
      <c r="N33" s="150"/>
      <c r="O33" s="150"/>
      <c r="P33" s="150"/>
    </row>
    <row r="34" spans="1:16">
      <c r="A34" s="129">
        <f>'[5]CostData&amp;Analysis'!A60</f>
        <v>1250</v>
      </c>
      <c r="B34" s="237">
        <f>SavingsAnalysis!C36</f>
        <v>2124</v>
      </c>
      <c r="C34" s="238">
        <v>50000</v>
      </c>
      <c r="D34" s="239">
        <f t="shared" si="0"/>
        <v>20</v>
      </c>
      <c r="N34" s="150"/>
      <c r="O34" s="150"/>
      <c r="P34" s="150"/>
    </row>
    <row r="35" spans="1:16">
      <c r="A35" s="129">
        <f>'[5]CostData&amp;Analysis'!A61</f>
        <v>1500</v>
      </c>
      <c r="B35" s="237">
        <f>SavingsAnalysis!C37</f>
        <v>2124</v>
      </c>
      <c r="C35" s="238">
        <v>50000</v>
      </c>
      <c r="D35" s="239">
        <f t="shared" si="0"/>
        <v>20</v>
      </c>
      <c r="N35" s="150"/>
      <c r="O35" s="150"/>
      <c r="P35" s="150"/>
    </row>
    <row r="36" spans="1:16">
      <c r="A36" s="129">
        <f>'[5]CostData&amp;Analysis'!A62</f>
        <v>1750</v>
      </c>
      <c r="B36" s="237">
        <f>SavingsAnalysis!C38</f>
        <v>2124</v>
      </c>
      <c r="C36" s="238">
        <v>50000</v>
      </c>
      <c r="D36" s="239">
        <f t="shared" si="0"/>
        <v>20</v>
      </c>
    </row>
    <row r="37" spans="1:16">
      <c r="A37" s="129">
        <f>'[5]CostData&amp;Analysis'!A63</f>
        <v>2000</v>
      </c>
      <c r="B37" s="237">
        <f>SavingsAnalysis!C39</f>
        <v>2124</v>
      </c>
      <c r="C37" s="238">
        <v>50000</v>
      </c>
      <c r="D37" s="239">
        <f t="shared" si="0"/>
        <v>20</v>
      </c>
    </row>
    <row r="38" spans="1:16">
      <c r="A38" s="129">
        <f>'[5]CostData&amp;Analysis'!A64</f>
        <v>2250</v>
      </c>
      <c r="B38" s="237">
        <f>SavingsAnalysis!C40</f>
        <v>2124</v>
      </c>
      <c r="C38" s="238">
        <v>50000</v>
      </c>
      <c r="D38" s="239">
        <f t="shared" si="0"/>
        <v>20</v>
      </c>
    </row>
    <row r="39" spans="1:16">
      <c r="A39" s="129">
        <f>'[5]CostData&amp;Analysis'!A65</f>
        <v>2500</v>
      </c>
      <c r="B39" s="237">
        <f>SavingsAnalysis!C41</f>
        <v>2124</v>
      </c>
      <c r="C39" s="238">
        <v>50000</v>
      </c>
      <c r="D39" s="239">
        <f t="shared" si="0"/>
        <v>20</v>
      </c>
    </row>
    <row r="40" spans="1:16">
      <c r="A40" s="129">
        <f>'[5]CostData&amp;Analysis'!A66</f>
        <v>3000</v>
      </c>
      <c r="B40" s="237">
        <f>SavingsAnalysis!C42</f>
        <v>2124</v>
      </c>
      <c r="C40" s="238">
        <v>50000</v>
      </c>
      <c r="D40" s="239">
        <f t="shared" si="0"/>
        <v>20</v>
      </c>
    </row>
    <row r="41" spans="1:16">
      <c r="A41" s="129">
        <f>'[5]CostData&amp;Analysis'!A67</f>
        <v>3500</v>
      </c>
      <c r="B41" s="237">
        <f>SavingsAnalysis!C43</f>
        <v>2124</v>
      </c>
      <c r="C41" s="238">
        <v>50000</v>
      </c>
      <c r="D41" s="239">
        <f t="shared" si="0"/>
        <v>20</v>
      </c>
    </row>
    <row r="42" spans="1:16">
      <c r="A42" s="129">
        <f>'[5]CostData&amp;Analysis'!A68</f>
        <v>4000</v>
      </c>
      <c r="B42" s="237">
        <f>SavingsAnalysis!C44</f>
        <v>2124</v>
      </c>
      <c r="C42" s="238">
        <v>50000</v>
      </c>
      <c r="D42" s="239">
        <f t="shared" si="0"/>
        <v>20</v>
      </c>
    </row>
    <row r="43" spans="1:16">
      <c r="A43" s="129">
        <f>'[5]CostData&amp;Analysis'!A69</f>
        <v>4500</v>
      </c>
      <c r="B43" s="237">
        <f>SavingsAnalysis!C45</f>
        <v>2124</v>
      </c>
      <c r="C43" s="238">
        <v>50000</v>
      </c>
      <c r="D43" s="239">
        <f t="shared" si="0"/>
        <v>20</v>
      </c>
    </row>
    <row r="44" spans="1:16">
      <c r="A44" s="129">
        <f>'[5]CostData&amp;Analysis'!A70</f>
        <v>5000</v>
      </c>
      <c r="B44" s="237">
        <f>SavingsAnalysis!C46</f>
        <v>2124</v>
      </c>
      <c r="C44" s="238">
        <v>50000</v>
      </c>
      <c r="D44" s="239">
        <f t="shared" si="0"/>
        <v>20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BD54"/>
  <sheetViews>
    <sheetView workbookViewId="0">
      <selection activeCell="C15" sqref="C15"/>
    </sheetView>
  </sheetViews>
  <sheetFormatPr defaultRowHeight="12.75"/>
  <cols>
    <col min="1" max="2" width="21.85546875" style="248" customWidth="1"/>
    <col min="3" max="3" width="40.28515625" style="248" bestFit="1" customWidth="1"/>
    <col min="4" max="4" width="12.28515625" style="248" bestFit="1" customWidth="1"/>
    <col min="5" max="5" width="30.5703125" style="248" bestFit="1" customWidth="1"/>
    <col min="6" max="16384" width="9.140625" style="248"/>
  </cols>
  <sheetData>
    <row r="1" spans="1:56" ht="15.75" thickBot="1">
      <c r="A1" s="240" t="s">
        <v>329</v>
      </c>
      <c r="B1" s="240" t="s">
        <v>330</v>
      </c>
      <c r="C1" s="240" t="s">
        <v>331</v>
      </c>
      <c r="D1" s="240" t="s">
        <v>332</v>
      </c>
      <c r="E1" s="240" t="s">
        <v>333</v>
      </c>
      <c r="F1" s="240" t="s">
        <v>334</v>
      </c>
      <c r="G1" s="240" t="s">
        <v>335</v>
      </c>
      <c r="H1" s="240" t="s">
        <v>336</v>
      </c>
      <c r="I1" s="240" t="s">
        <v>337</v>
      </c>
      <c r="J1" s="240" t="s">
        <v>37</v>
      </c>
      <c r="K1" s="241">
        <v>2016</v>
      </c>
      <c r="L1" s="242">
        <v>2017</v>
      </c>
      <c r="M1" s="242">
        <v>2018</v>
      </c>
      <c r="N1" s="242">
        <v>2019</v>
      </c>
      <c r="O1" s="242">
        <v>2020</v>
      </c>
      <c r="P1" s="242">
        <v>2021</v>
      </c>
      <c r="Q1" s="242">
        <v>2022</v>
      </c>
      <c r="R1" s="242">
        <v>2023</v>
      </c>
      <c r="S1" s="242">
        <v>2024</v>
      </c>
      <c r="T1" s="242">
        <v>2025</v>
      </c>
      <c r="U1" s="242">
        <v>2026</v>
      </c>
      <c r="V1" s="242">
        <v>2027</v>
      </c>
      <c r="W1" s="242">
        <v>2028</v>
      </c>
      <c r="X1" s="242">
        <v>2029</v>
      </c>
      <c r="Y1" s="242">
        <v>2030</v>
      </c>
      <c r="Z1" s="242">
        <v>2031</v>
      </c>
      <c r="AA1" s="242">
        <v>2032</v>
      </c>
      <c r="AB1" s="242">
        <v>2033</v>
      </c>
      <c r="AC1" s="242">
        <v>2034</v>
      </c>
      <c r="AD1" s="242">
        <v>2035</v>
      </c>
      <c r="AE1" s="243" t="s">
        <v>32</v>
      </c>
      <c r="AF1" s="244" t="s">
        <v>193</v>
      </c>
      <c r="AG1" s="245"/>
      <c r="AH1" s="245"/>
      <c r="AI1" s="245"/>
      <c r="AJ1" s="245"/>
      <c r="AK1" s="245"/>
      <c r="AL1" s="245"/>
      <c r="AM1" s="245"/>
      <c r="AN1" s="245"/>
      <c r="AO1" s="245"/>
      <c r="AP1" s="245"/>
      <c r="AQ1" s="246"/>
      <c r="AR1" s="247"/>
      <c r="AS1" s="244" t="s">
        <v>194</v>
      </c>
      <c r="AT1" s="245"/>
      <c r="AU1" s="245"/>
      <c r="AV1" s="245"/>
      <c r="AW1" s="245"/>
      <c r="AX1" s="245"/>
      <c r="AY1" s="245"/>
      <c r="AZ1" s="245"/>
      <c r="BA1" s="245"/>
      <c r="BB1" s="245"/>
      <c r="BC1" s="245"/>
      <c r="BD1" s="246"/>
    </row>
    <row r="2" spans="1:56" ht="15">
      <c r="A2" s="240"/>
      <c r="B2" s="240"/>
      <c r="C2" s="240"/>
      <c r="D2" s="240"/>
      <c r="E2" s="240"/>
      <c r="F2" s="240" t="s">
        <v>195</v>
      </c>
      <c r="G2" s="240" t="s">
        <v>22</v>
      </c>
      <c r="H2" s="240" t="s">
        <v>36</v>
      </c>
      <c r="I2" s="240">
        <v>1</v>
      </c>
      <c r="J2" s="240"/>
      <c r="K2" s="249" t="str">
        <f t="shared" ref="K2:AD2" si="0">CONCATENATE("aMW_",K$1)</f>
        <v>aMW_2016</v>
      </c>
      <c r="L2" s="250" t="str">
        <f t="shared" si="0"/>
        <v>aMW_2017</v>
      </c>
      <c r="M2" s="250" t="str">
        <f t="shared" si="0"/>
        <v>aMW_2018</v>
      </c>
      <c r="N2" s="250" t="str">
        <f t="shared" si="0"/>
        <v>aMW_2019</v>
      </c>
      <c r="O2" s="250" t="str">
        <f t="shared" si="0"/>
        <v>aMW_2020</v>
      </c>
      <c r="P2" s="250" t="str">
        <f t="shared" si="0"/>
        <v>aMW_2021</v>
      </c>
      <c r="Q2" s="250" t="str">
        <f t="shared" si="0"/>
        <v>aMW_2022</v>
      </c>
      <c r="R2" s="250" t="str">
        <f t="shared" si="0"/>
        <v>aMW_2023</v>
      </c>
      <c r="S2" s="250" t="str">
        <f t="shared" si="0"/>
        <v>aMW_2024</v>
      </c>
      <c r="T2" s="250" t="str">
        <f t="shared" si="0"/>
        <v>aMW_2025</v>
      </c>
      <c r="U2" s="250" t="str">
        <f t="shared" si="0"/>
        <v>aMW_2026</v>
      </c>
      <c r="V2" s="250" t="str">
        <f t="shared" si="0"/>
        <v>aMW_2027</v>
      </c>
      <c r="W2" s="250" t="str">
        <f t="shared" si="0"/>
        <v>aMW_2028</v>
      </c>
      <c r="X2" s="250" t="str">
        <f t="shared" si="0"/>
        <v>aMW_2029</v>
      </c>
      <c r="Y2" s="250" t="str">
        <f t="shared" si="0"/>
        <v>aMW_2030</v>
      </c>
      <c r="Z2" s="250" t="str">
        <f t="shared" si="0"/>
        <v>aMW_2031</v>
      </c>
      <c r="AA2" s="250" t="str">
        <f t="shared" si="0"/>
        <v>aMW_2032</v>
      </c>
      <c r="AB2" s="250" t="str">
        <f t="shared" si="0"/>
        <v>aMW_2033</v>
      </c>
      <c r="AC2" s="250" t="str">
        <f t="shared" si="0"/>
        <v>aMW_2034</v>
      </c>
      <c r="AD2" s="250" t="str">
        <f t="shared" si="0"/>
        <v>aMW_2035</v>
      </c>
      <c r="AE2" s="251" t="s">
        <v>32</v>
      </c>
      <c r="AF2" s="252" t="s">
        <v>149</v>
      </c>
      <c r="AG2" s="252" t="s">
        <v>150</v>
      </c>
      <c r="AH2" s="252" t="s">
        <v>151</v>
      </c>
      <c r="AI2" s="252" t="s">
        <v>152</v>
      </c>
      <c r="AJ2" s="252" t="s">
        <v>153</v>
      </c>
      <c r="AK2" s="252" t="s">
        <v>154</v>
      </c>
      <c r="AL2" s="252" t="s">
        <v>155</v>
      </c>
      <c r="AM2" s="252" t="s">
        <v>156</v>
      </c>
      <c r="AN2" s="252" t="s">
        <v>157</v>
      </c>
      <c r="AO2" s="252" t="s">
        <v>158</v>
      </c>
      <c r="AP2" s="252" t="s">
        <v>159</v>
      </c>
      <c r="AQ2" s="252" t="s">
        <v>160</v>
      </c>
      <c r="AR2" s="252"/>
      <c r="AS2" s="252" t="s">
        <v>149</v>
      </c>
      <c r="AT2" s="252" t="s">
        <v>150</v>
      </c>
      <c r="AU2" s="252" t="s">
        <v>151</v>
      </c>
      <c r="AV2" s="252" t="s">
        <v>152</v>
      </c>
      <c r="AW2" s="252" t="s">
        <v>153</v>
      </c>
      <c r="AX2" s="252" t="s">
        <v>154</v>
      </c>
      <c r="AY2" s="252" t="s">
        <v>155</v>
      </c>
      <c r="AZ2" s="252" t="s">
        <v>156</v>
      </c>
      <c r="BA2" s="252" t="s">
        <v>157</v>
      </c>
      <c r="BB2" s="252" t="s">
        <v>158</v>
      </c>
      <c r="BC2" s="252" t="s">
        <v>159</v>
      </c>
      <c r="BD2" s="252" t="s">
        <v>160</v>
      </c>
    </row>
    <row r="3" spans="1:56" ht="15">
      <c r="A3" s="253" t="str">
        <f>VLOOKUP(CONCATENATE($C3," - ",$B3),[3]ACHIEV!$B$17:$C$50,2,FALSE)</f>
        <v>Retro12Med</v>
      </c>
      <c r="B3" s="253" t="str">
        <f>'SC-Retro'!$C$7</f>
        <v>Retro</v>
      </c>
      <c r="C3" s="253" t="str">
        <f>'SC-Retro'!$C$8</f>
        <v>Irr Motor</v>
      </c>
      <c r="D3" s="253" t="s">
        <v>338</v>
      </c>
      <c r="E3" s="253" t="str">
        <f>'SC-Retro'!$A$9</f>
        <v>Motors/Drives</v>
      </c>
      <c r="F3" s="254">
        <f t="shared" ref="F3:F10" si="1">VLOOKUP($I3,MeasureOutput,14,FALSE)</f>
        <v>2.1209184506490418E-3</v>
      </c>
      <c r="G3" s="255">
        <f>'SC-Retro'!A58</f>
        <v>797.38994023341627</v>
      </c>
      <c r="H3" s="255">
        <f>'SC-Retro'!B58</f>
        <v>20.967614982634366</v>
      </c>
      <c r="I3" s="256" t="str">
        <f>'SC-Retro'!C58</f>
        <v>Montana Wells Green Motors Program Rewind vs. Standard Practice:  Motor size 50HP</v>
      </c>
      <c r="J3" s="256" t="str">
        <f>'SC-Retro'!D58</f>
        <v xml:space="preserve">Montana </v>
      </c>
      <c r="K3" s="257">
        <f>'SC-Retro'!E58</f>
        <v>6.7549041808146956E-3</v>
      </c>
      <c r="L3" s="257">
        <f>'SC-Retro'!F58</f>
        <v>7.8036666534607221E-3</v>
      </c>
      <c r="M3" s="257">
        <f>'SC-Retro'!G58</f>
        <v>8.6256396902904299E-3</v>
      </c>
      <c r="N3" s="257">
        <f>'SC-Retro'!H58</f>
        <v>9.1189665814323563E-3</v>
      </c>
      <c r="O3" s="257">
        <f>'SC-Retro'!I58</f>
        <v>8.8515220915617535E-3</v>
      </c>
      <c r="P3" s="257">
        <f>'SC-Retro'!J58</f>
        <v>7.4327465761170426E-3</v>
      </c>
      <c r="Q3" s="257">
        <f>'SC-Retro'!K58</f>
        <v>5.6172231924638879E-3</v>
      </c>
      <c r="R3" s="257">
        <f>'SC-Retro'!L58</f>
        <v>3.8602715743131636E-3</v>
      </c>
      <c r="S3" s="257">
        <f>'SC-Retro'!M58</f>
        <v>2.4323231133218954E-3</v>
      </c>
      <c r="T3" s="257">
        <f>'SC-Retro'!N58</f>
        <v>1.4149543205687429E-3</v>
      </c>
      <c r="U3" s="257">
        <f>'SC-Retro'!O58</f>
        <v>7.6443262812244132E-4</v>
      </c>
      <c r="V3" s="257">
        <f>'SC-Retro'!P58</f>
        <v>3.8550103768140672E-4</v>
      </c>
      <c r="W3" s="257">
        <f>'SC-Retro'!Q58</f>
        <v>1.8227331199648528E-4</v>
      </c>
      <c r="X3" s="257">
        <f>'SC-Retro'!R58</f>
        <v>8.1119778966338123E-5</v>
      </c>
      <c r="Y3" s="257">
        <f>'SC-Retro'!S58</f>
        <v>3.4098266003034796E-5</v>
      </c>
      <c r="Z3" s="257">
        <f>'SC-Retro'!T58</f>
        <v>1.357876703832433E-5</v>
      </c>
      <c r="AA3" s="257">
        <f>'SC-Retro'!U58</f>
        <v>5.1372610572533946E-6</v>
      </c>
      <c r="AB3" s="257">
        <f>'SC-Retro'!V58</f>
        <v>1.8510614002929566E-6</v>
      </c>
      <c r="AC3" s="257">
        <f>'SC-Retro'!W58</f>
        <v>6.3666744379797411E-7</v>
      </c>
      <c r="AD3" s="257">
        <f>'SC-Retro'!X58</f>
        <v>2.094569854600333E-7</v>
      </c>
      <c r="AE3" s="257">
        <f>'SC-Retro'!Y58</f>
        <v>7.3179398170502813E-2</v>
      </c>
      <c r="AF3" s="258">
        <f t="shared" ref="AF3:AF10" si="2">VLOOKUP($I3,MeasureOutput,15,FALSE)</f>
        <v>0</v>
      </c>
      <c r="AG3" s="258">
        <f t="shared" ref="AG3:AG10" si="3">VLOOKUP($I3,MeasureOutput,16,FALSE)</f>
        <v>2.7934029203454488E-2</v>
      </c>
      <c r="AH3" s="258">
        <f t="shared" ref="AH3:AH10" si="4">VLOOKUP($I3,MeasureOutput,17,FALSE)</f>
        <v>1.5380237767110789</v>
      </c>
      <c r="AI3" s="258">
        <f t="shared" ref="AI3:AI10" si="5">VLOOKUP($I3,MeasureOutput,18,FALSE)</f>
        <v>18.526324179533617</v>
      </c>
      <c r="AJ3" s="258">
        <f t="shared" ref="AJ3:AJ10" si="6">VLOOKUP($I3,MeasureOutput,19,FALSE)</f>
        <v>73.381881459214426</v>
      </c>
      <c r="AK3" s="258">
        <f t="shared" ref="AK3:AK10" si="7">VLOOKUP($I3,MeasureOutput,20,FALSE)</f>
        <v>97.25520973288431</v>
      </c>
      <c r="AL3" s="258">
        <f t="shared" ref="AL3:AL10" si="8">VLOOKUP($I3,MeasureOutput,21,FALSE)</f>
        <v>94.155061241327232</v>
      </c>
      <c r="AM3" s="258">
        <f t="shared" ref="AM3:AM10" si="9">VLOOKUP($I3,MeasureOutput,22,FALSE)</f>
        <v>95.502411136506495</v>
      </c>
      <c r="AN3" s="258">
        <f t="shared" ref="AN3:AN10" si="10">VLOOKUP($I3,MeasureOutput,23,FALSE)</f>
        <v>44.896800908404124</v>
      </c>
      <c r="AO3" s="258">
        <f t="shared" ref="AO3:AO10" si="11">VLOOKUP($I3,MeasureOutput,24,FALSE)</f>
        <v>25.816902757479024</v>
      </c>
      <c r="AP3" s="258">
        <f t="shared" ref="AP3:AP10" si="12">VLOOKUP($I3,MeasureOutput,25,FALSE)</f>
        <v>7.2967299632589322</v>
      </c>
      <c r="AQ3" s="258">
        <f t="shared" ref="AQ3:AQ10" si="13">VLOOKUP($I3,MeasureOutput,26,FALSE)</f>
        <v>5.0000369695510534E-2</v>
      </c>
      <c r="AR3" s="258"/>
      <c r="AS3" s="258">
        <f t="shared" ref="AS3:AS10" si="14">VLOOKUP($I3,MeasureOutput,28,FALSE)</f>
        <v>0</v>
      </c>
      <c r="AT3" s="258">
        <f t="shared" ref="AT3:AT10" si="15">VLOOKUP($I3,MeasureOutput,29,FALSE)</f>
        <v>1.91034744507655E-2</v>
      </c>
      <c r="AU3" s="258">
        <f t="shared" ref="AU3:AU10" si="16">VLOOKUP($I3,MeasureOutput,30,FALSE)</f>
        <v>0.56711431090469422</v>
      </c>
      <c r="AV3" s="258">
        <f t="shared" ref="AV3:AV10" si="17">VLOOKUP($I3,MeasureOutput,31,FALSE)</f>
        <v>12.209678326492483</v>
      </c>
      <c r="AW3" s="258">
        <f t="shared" ref="AW3:AW10" si="18">VLOOKUP($I3,MeasureOutput,32,FALSE)</f>
        <v>47.582713062606473</v>
      </c>
      <c r="AX3" s="258">
        <f t="shared" ref="AX3:AX10" si="19">VLOOKUP($I3,MeasureOutput,33,FALSE)</f>
        <v>71.489901493315926</v>
      </c>
      <c r="AY3" s="258">
        <f t="shared" ref="AY3:AY10" si="20">VLOOKUP($I3,MeasureOutput,34,FALSE)</f>
        <v>81.090475032381391</v>
      </c>
      <c r="AZ3" s="258">
        <f t="shared" ref="AZ3:AZ10" si="21">VLOOKUP($I3,MeasureOutput,35,FALSE)</f>
        <v>69.451473136247188</v>
      </c>
      <c r="BA3" s="258">
        <f t="shared" ref="BA3:BA10" si="22">VLOOKUP($I3,MeasureOutput,36,FALSE)</f>
        <v>35.935489924771581</v>
      </c>
      <c r="BB3" s="258">
        <f t="shared" ref="BB3:BB10" si="23">VLOOKUP($I3,MeasureOutput,37,FALSE)</f>
        <v>16.959446719743305</v>
      </c>
      <c r="BC3" s="258">
        <f t="shared" ref="BC3:BC10" si="24">VLOOKUP($I3,MeasureOutput,38,FALSE)</f>
        <v>3.6003150965130035</v>
      </c>
      <c r="BD3" s="258">
        <f t="shared" ref="BD3:BD10" si="25">VLOOKUP($I3,MeasureOutput,39,FALSE)</f>
        <v>3.6950101771177447E-2</v>
      </c>
    </row>
    <row r="4" spans="1:56" ht="15">
      <c r="A4" s="253" t="str">
        <f>VLOOKUP(CONCATENATE($C4," - ",$B4),[3]ACHIEV!$B$17:$C$50,2,FALSE)</f>
        <v>Retro12Med</v>
      </c>
      <c r="B4" s="253" t="str">
        <f>'SC-Retro'!$C$7</f>
        <v>Retro</v>
      </c>
      <c r="C4" s="253" t="str">
        <f>'SC-Retro'!$C$8</f>
        <v>Irr Motor</v>
      </c>
      <c r="D4" s="253" t="s">
        <v>338</v>
      </c>
      <c r="E4" s="253" t="str">
        <f>'SC-Retro'!$A$9</f>
        <v>Motors/Drives</v>
      </c>
      <c r="F4" s="254">
        <f t="shared" si="1"/>
        <v>2.1209184506490418E-3</v>
      </c>
      <c r="G4" s="255">
        <f>'SC-Retro'!A59</f>
        <v>797.38994023341627</v>
      </c>
      <c r="H4" s="255">
        <f>'SC-Retro'!B59</f>
        <v>20.967614982634366</v>
      </c>
      <c r="I4" s="256" t="str">
        <f>'SC-Retro'!C59</f>
        <v>Oregon River Green Motors Program Rewind vs. Standard Practice:  Motor size 50HP</v>
      </c>
      <c r="J4" s="256" t="str">
        <f>'SC-Retro'!D59</f>
        <v xml:space="preserve">Oregon </v>
      </c>
      <c r="K4" s="257">
        <f>'SC-Retro'!E59</f>
        <v>3.7299179316407721E-2</v>
      </c>
      <c r="L4" s="257">
        <f>'SC-Retro'!F59</f>
        <v>4.3058794366224853E-2</v>
      </c>
      <c r="M4" s="257">
        <f>'SC-Retro'!G59</f>
        <v>4.7569124502398565E-2</v>
      </c>
      <c r="N4" s="257">
        <f>'SC-Retro'!H59</f>
        <v>5.0310872776904103E-2</v>
      </c>
      <c r="O4" s="257">
        <f>'SC-Retro'!I59</f>
        <v>4.9272331418295331E-2</v>
      </c>
      <c r="P4" s="257">
        <f>'SC-Retro'!J59</f>
        <v>4.155623620201359E-2</v>
      </c>
      <c r="Q4" s="257">
        <f>'SC-Retro'!K59</f>
        <v>3.1543518241859851E-2</v>
      </c>
      <c r="R4" s="257">
        <f>'SC-Retro'!L59</f>
        <v>2.1782727996880472E-2</v>
      </c>
      <c r="S4" s="257">
        <f>'SC-Retro'!M59</f>
        <v>1.3778455563727397E-2</v>
      </c>
      <c r="T4" s="257">
        <f>'SC-Retro'!N59</f>
        <v>8.1189005987914748E-3</v>
      </c>
      <c r="U4" s="257">
        <f>'SC-Retro'!O59</f>
        <v>4.4010136640226039E-3</v>
      </c>
      <c r="V4" s="257">
        <f>'SC-Retro'!P59</f>
        <v>2.2264987920812395E-3</v>
      </c>
      <c r="W4" s="257">
        <f>'SC-Retro'!Q59</f>
        <v>1.0552147969389142E-3</v>
      </c>
      <c r="X4" s="257">
        <f>'SC-Retro'!R59</f>
        <v>4.7097768309764429E-4</v>
      </c>
      <c r="Y4" s="257">
        <f>'SC-Retro'!S59</f>
        <v>2.0009157272352893E-4</v>
      </c>
      <c r="Z4" s="257">
        <f>'SC-Retro'!T59</f>
        <v>7.9935595105174787E-5</v>
      </c>
      <c r="AA4" s="257">
        <f>'SC-Retro'!U59</f>
        <v>3.0354015336130465E-5</v>
      </c>
      <c r="AB4" s="257">
        <f>'SC-Retro'!V59</f>
        <v>1.0976190613478755E-5</v>
      </c>
      <c r="AC4" s="257">
        <f>'SC-Retro'!W59</f>
        <v>3.7858630727518048E-6</v>
      </c>
      <c r="AD4" s="257">
        <f>'SC-Retro'!X59</f>
        <v>1.2603789151163344E-6</v>
      </c>
      <c r="AE4" s="257">
        <f>'SC-Retro'!Y59</f>
        <v>0.4403470730395086</v>
      </c>
      <c r="AF4" s="258">
        <f t="shared" si="2"/>
        <v>0</v>
      </c>
      <c r="AG4" s="258">
        <f t="shared" si="3"/>
        <v>2.7934029203454488E-2</v>
      </c>
      <c r="AH4" s="258">
        <f t="shared" si="4"/>
        <v>1.5380237767110789</v>
      </c>
      <c r="AI4" s="258">
        <f t="shared" si="5"/>
        <v>18.526324179533617</v>
      </c>
      <c r="AJ4" s="258">
        <f t="shared" si="6"/>
        <v>73.381881459214426</v>
      </c>
      <c r="AK4" s="258">
        <f t="shared" si="7"/>
        <v>97.25520973288431</v>
      </c>
      <c r="AL4" s="258">
        <f t="shared" si="8"/>
        <v>94.155061241327232</v>
      </c>
      <c r="AM4" s="258">
        <f t="shared" si="9"/>
        <v>95.502411136506495</v>
      </c>
      <c r="AN4" s="258">
        <f t="shared" si="10"/>
        <v>44.896800908404124</v>
      </c>
      <c r="AO4" s="258">
        <f t="shared" si="11"/>
        <v>25.816902757479024</v>
      </c>
      <c r="AP4" s="258">
        <f t="shared" si="12"/>
        <v>7.2967299632589322</v>
      </c>
      <c r="AQ4" s="258">
        <f t="shared" si="13"/>
        <v>5.0000369695510534E-2</v>
      </c>
      <c r="AR4" s="258"/>
      <c r="AS4" s="258">
        <f t="shared" si="14"/>
        <v>0</v>
      </c>
      <c r="AT4" s="258">
        <f t="shared" si="15"/>
        <v>1.91034744507655E-2</v>
      </c>
      <c r="AU4" s="258">
        <f t="shared" si="16"/>
        <v>0.56711431090469422</v>
      </c>
      <c r="AV4" s="258">
        <f t="shared" si="17"/>
        <v>12.209678326492483</v>
      </c>
      <c r="AW4" s="258">
        <f t="shared" si="18"/>
        <v>47.582713062606473</v>
      </c>
      <c r="AX4" s="258">
        <f t="shared" si="19"/>
        <v>71.489901493315926</v>
      </c>
      <c r="AY4" s="258">
        <f t="shared" si="20"/>
        <v>81.090475032381391</v>
      </c>
      <c r="AZ4" s="258">
        <f t="shared" si="21"/>
        <v>69.451473136247188</v>
      </c>
      <c r="BA4" s="258">
        <f t="shared" si="22"/>
        <v>35.935489924771581</v>
      </c>
      <c r="BB4" s="258">
        <f t="shared" si="23"/>
        <v>16.959446719743305</v>
      </c>
      <c r="BC4" s="258">
        <f t="shared" si="24"/>
        <v>3.6003150965130035</v>
      </c>
      <c r="BD4" s="258">
        <f t="shared" si="25"/>
        <v>3.6950101771177447E-2</v>
      </c>
    </row>
    <row r="5" spans="1:56" ht="15">
      <c r="A5" s="253" t="str">
        <f>VLOOKUP(CONCATENATE($C5," - ",$B5),[3]ACHIEV!$B$17:$C$50,2,FALSE)</f>
        <v>Retro12Med</v>
      </c>
      <c r="B5" s="253" t="str">
        <f>'SC-Retro'!$C$7</f>
        <v>Retro</v>
      </c>
      <c r="C5" s="253" t="str">
        <f>'SC-Retro'!$C$8</f>
        <v>Irr Motor</v>
      </c>
      <c r="D5" s="253" t="s">
        <v>338</v>
      </c>
      <c r="E5" s="253" t="str">
        <f>'SC-Retro'!$A$9</f>
        <v>Motors/Drives</v>
      </c>
      <c r="F5" s="254">
        <f t="shared" si="1"/>
        <v>2.2804118462575679E-3</v>
      </c>
      <c r="G5" s="255">
        <f>'SC-Retro'!A60</f>
        <v>857.35378710031875</v>
      </c>
      <c r="H5" s="255">
        <f>'SC-Retro'!B60</f>
        <v>21.497662727169729</v>
      </c>
      <c r="I5" s="256" t="str">
        <f>'SC-Retro'!C60</f>
        <v>Oregon Wells Green Motors Program Rewind vs. Standard Practice:  Motor size 60HP</v>
      </c>
      <c r="J5" s="256" t="str">
        <f>'SC-Retro'!D60</f>
        <v xml:space="preserve">Oregon </v>
      </c>
      <c r="K5" s="257">
        <f>'SC-Retro'!E60</f>
        <v>3.8347439808518208E-2</v>
      </c>
      <c r="L5" s="257">
        <f>'SC-Retro'!F60</f>
        <v>4.4268923752427386E-2</v>
      </c>
      <c r="M5" s="257">
        <f>'SC-Retro'!G60</f>
        <v>4.8906012733561696E-2</v>
      </c>
      <c r="N5" s="257">
        <f>'SC-Retro'!H60</f>
        <v>5.172481542181441E-2</v>
      </c>
      <c r="O5" s="257">
        <f>'SC-Retro'!I60</f>
        <v>5.0657086775560044E-2</v>
      </c>
      <c r="P5" s="257">
        <f>'SC-Retro'!J60</f>
        <v>4.2724137518067987E-2</v>
      </c>
      <c r="Q5" s="257">
        <f>'SC-Retro'!K60</f>
        <v>3.2430020962861072E-2</v>
      </c>
      <c r="R5" s="257">
        <f>'SC-Retro'!L60</f>
        <v>2.2394912328761309E-2</v>
      </c>
      <c r="S5" s="257">
        <f>'SC-Retro'!M60</f>
        <v>1.4165686888235428E-2</v>
      </c>
      <c r="T5" s="257">
        <f>'SC-Retro'!N60</f>
        <v>8.3470751295201245E-3</v>
      </c>
      <c r="U5" s="257">
        <f>'SC-Retro'!O60</f>
        <v>4.5247002660815357E-3</v>
      </c>
      <c r="V5" s="257">
        <f>'SC-Retro'!P60</f>
        <v>2.289072574192412E-3</v>
      </c>
      <c r="W5" s="257">
        <f>'SC-Retro'!Q60</f>
        <v>1.0848706768428144E-3</v>
      </c>
      <c r="X5" s="257">
        <f>'SC-Retro'!R60</f>
        <v>4.8421409491434619E-4</v>
      </c>
      <c r="Y5" s="257">
        <f>'SC-Retro'!S60</f>
        <v>2.0571496965435788E-4</v>
      </c>
      <c r="Z5" s="257">
        <f>'SC-Retro'!T60</f>
        <v>8.2182114406612473E-5</v>
      </c>
      <c r="AA5" s="257">
        <f>'SC-Retro'!U60</f>
        <v>3.1207088128533281E-5</v>
      </c>
      <c r="AB5" s="257">
        <f>'SC-Retro'!V60</f>
        <v>1.1284666756516092E-5</v>
      </c>
      <c r="AC5" s="257">
        <f>'SC-Retro'!W60</f>
        <v>3.8922614107431143E-6</v>
      </c>
      <c r="AD5" s="257">
        <f>'SC-Retro'!X60</f>
        <v>1.2958007513609809E-6</v>
      </c>
      <c r="AE5" s="257">
        <f>'SC-Retro'!Y60</f>
        <v>0.45272263861343387</v>
      </c>
      <c r="AF5" s="258">
        <f t="shared" si="2"/>
        <v>0</v>
      </c>
      <c r="AG5" s="258">
        <f t="shared" si="3"/>
        <v>3.0034672521128153E-2</v>
      </c>
      <c r="AH5" s="258">
        <f t="shared" si="4"/>
        <v>1.6536834026619174</v>
      </c>
      <c r="AI5" s="258">
        <f t="shared" si="5"/>
        <v>19.919506623975991</v>
      </c>
      <c r="AJ5" s="258">
        <f t="shared" si="6"/>
        <v>78.900210297596146</v>
      </c>
      <c r="AK5" s="258">
        <f t="shared" si="7"/>
        <v>104.56881655080335</v>
      </c>
      <c r="AL5" s="258">
        <f t="shared" si="8"/>
        <v>101.23553641306827</v>
      </c>
      <c r="AM5" s="258">
        <f t="shared" si="9"/>
        <v>102.6842072288087</v>
      </c>
      <c r="AN5" s="258">
        <f t="shared" si="10"/>
        <v>48.273047282539828</v>
      </c>
      <c r="AO5" s="258">
        <f t="shared" si="11"/>
        <v>27.758337838882262</v>
      </c>
      <c r="AP5" s="258">
        <f t="shared" si="12"/>
        <v>7.8454451853470353</v>
      </c>
      <c r="AQ5" s="258">
        <f t="shared" si="13"/>
        <v>5.3760405231991534E-2</v>
      </c>
      <c r="AR5" s="258"/>
      <c r="AS5" s="258">
        <f t="shared" si="14"/>
        <v>0</v>
      </c>
      <c r="AT5" s="258">
        <f t="shared" si="15"/>
        <v>2.0540058684893368E-2</v>
      </c>
      <c r="AU5" s="258">
        <f t="shared" si="16"/>
        <v>0.60976139482095681</v>
      </c>
      <c r="AV5" s="258">
        <f t="shared" si="17"/>
        <v>13.127848025560443</v>
      </c>
      <c r="AW5" s="258">
        <f t="shared" si="18"/>
        <v>51.160940446266068</v>
      </c>
      <c r="AX5" s="258">
        <f t="shared" si="19"/>
        <v>76.86595314556061</v>
      </c>
      <c r="AY5" s="258">
        <f t="shared" si="20"/>
        <v>87.188491300034229</v>
      </c>
      <c r="AZ5" s="258">
        <f t="shared" si="21"/>
        <v>74.67423466068233</v>
      </c>
      <c r="BA5" s="258">
        <f t="shared" si="22"/>
        <v>38.637844326565698</v>
      </c>
      <c r="BB5" s="258">
        <f t="shared" si="23"/>
        <v>18.234799736803428</v>
      </c>
      <c r="BC5" s="258">
        <f t="shared" si="24"/>
        <v>3.871059348762671</v>
      </c>
      <c r="BD5" s="258">
        <f t="shared" si="25"/>
        <v>3.9728755140788267E-2</v>
      </c>
    </row>
    <row r="6" spans="1:56" ht="15">
      <c r="A6" s="253" t="str">
        <f>VLOOKUP(CONCATENATE($C6," - ",$B6),[3]ACHIEV!$B$17:$C$50,2,FALSE)</f>
        <v>Retro12Med</v>
      </c>
      <c r="B6" s="253" t="str">
        <f>'SC-Retro'!$C$7</f>
        <v>Retro</v>
      </c>
      <c r="C6" s="253" t="str">
        <f>'SC-Retro'!$C$8</f>
        <v>Irr Motor</v>
      </c>
      <c r="D6" s="253" t="s">
        <v>338</v>
      </c>
      <c r="E6" s="253" t="str">
        <f>'SC-Retro'!$A$9</f>
        <v>Motors/Drives</v>
      </c>
      <c r="F6" s="254">
        <f t="shared" si="1"/>
        <v>2.2804118462575679E-3</v>
      </c>
      <c r="G6" s="255">
        <f>'SC-Retro'!A61</f>
        <v>857.35378710031875</v>
      </c>
      <c r="H6" s="255">
        <f>'SC-Retro'!B61</f>
        <v>21.497662727169729</v>
      </c>
      <c r="I6" s="256" t="str">
        <f>'SC-Retro'!C61</f>
        <v>Idaho River Green Motors Program Rewind vs. Standard Practice:  Motor size 60HP</v>
      </c>
      <c r="J6" s="256" t="str">
        <f>'SC-Retro'!D61</f>
        <v xml:space="preserve">Idaho </v>
      </c>
      <c r="K6" s="257">
        <f>'SC-Retro'!E61</f>
        <v>5.1812068133332168E-2</v>
      </c>
      <c r="L6" s="257">
        <f>'SC-Retro'!F61</f>
        <v>5.9221415764612519E-2</v>
      </c>
      <c r="M6" s="257">
        <f>'SC-Retro'!G61</f>
        <v>6.4784438368131969E-2</v>
      </c>
      <c r="N6" s="257">
        <f>'SC-Retro'!H61</f>
        <v>6.7802548852036557E-2</v>
      </c>
      <c r="O6" s="257">
        <f>'SC-Retro'!I61</f>
        <v>6.5170869678485899E-2</v>
      </c>
      <c r="P6" s="257">
        <f>'SC-Retro'!J61</f>
        <v>5.4369894921129508E-2</v>
      </c>
      <c r="Q6" s="257">
        <f>'SC-Retro'!K61</f>
        <v>4.08292813742493E-2</v>
      </c>
      <c r="R6" s="257">
        <f>'SC-Retro'!L61</f>
        <v>2.7878246246220515E-2</v>
      </c>
      <c r="S6" s="257">
        <f>'SC-Retro'!M61</f>
        <v>1.7451563299602724E-2</v>
      </c>
      <c r="T6" s="257">
        <f>'SC-Retro'!N61</f>
        <v>1.0085531584513795E-2</v>
      </c>
      <c r="U6" s="257">
        <f>'SC-Retro'!O61</f>
        <v>5.412844855552287E-3</v>
      </c>
      <c r="V6" s="257">
        <f>'SC-Retro'!P61</f>
        <v>2.7116668085918312E-3</v>
      </c>
      <c r="W6" s="257">
        <f>'SC-Retro'!Q61</f>
        <v>1.2736761858558915E-3</v>
      </c>
      <c r="X6" s="257">
        <f>'SC-Retro'!R61</f>
        <v>5.6311176619617859E-4</v>
      </c>
      <c r="Y6" s="257">
        <f>'SC-Retro'!S61</f>
        <v>2.3514905814280511E-4</v>
      </c>
      <c r="Z6" s="257">
        <f>'SC-Retro'!T61</f>
        <v>9.3031572231705364E-5</v>
      </c>
      <c r="AA6" s="257">
        <f>'SC-Retro'!U61</f>
        <v>3.4968699951788209E-5</v>
      </c>
      <c r="AB6" s="257">
        <f>'SC-Retro'!V61</f>
        <v>1.2518975258636277E-5</v>
      </c>
      <c r="AC6" s="257">
        <f>'SC-Retro'!W61</f>
        <v>4.2784373186644851E-6</v>
      </c>
      <c r="AD6" s="257">
        <f>'SC-Retro'!X61</f>
        <v>1.398678469522009E-6</v>
      </c>
      <c r="AE6" s="257">
        <f>'SC-Retro'!Y61</f>
        <v>0.48866572011841969</v>
      </c>
      <c r="AF6" s="258">
        <f t="shared" si="2"/>
        <v>0</v>
      </c>
      <c r="AG6" s="258">
        <f t="shared" si="3"/>
        <v>3.0034672521128153E-2</v>
      </c>
      <c r="AH6" s="258">
        <f t="shared" si="4"/>
        <v>1.6536834026619174</v>
      </c>
      <c r="AI6" s="258">
        <f t="shared" si="5"/>
        <v>19.919506623975991</v>
      </c>
      <c r="AJ6" s="258">
        <f t="shared" si="6"/>
        <v>78.900210297596146</v>
      </c>
      <c r="AK6" s="258">
        <f t="shared" si="7"/>
        <v>104.56881655080335</v>
      </c>
      <c r="AL6" s="258">
        <f t="shared" si="8"/>
        <v>101.23553641306827</v>
      </c>
      <c r="AM6" s="258">
        <f t="shared" si="9"/>
        <v>102.6842072288087</v>
      </c>
      <c r="AN6" s="258">
        <f t="shared" si="10"/>
        <v>48.273047282539828</v>
      </c>
      <c r="AO6" s="258">
        <f t="shared" si="11"/>
        <v>27.758337838882262</v>
      </c>
      <c r="AP6" s="258">
        <f t="shared" si="12"/>
        <v>7.8454451853470353</v>
      </c>
      <c r="AQ6" s="258">
        <f t="shared" si="13"/>
        <v>5.3760405231991534E-2</v>
      </c>
      <c r="AR6" s="258"/>
      <c r="AS6" s="258">
        <f t="shared" si="14"/>
        <v>0</v>
      </c>
      <c r="AT6" s="258">
        <f t="shared" si="15"/>
        <v>2.0540058684893368E-2</v>
      </c>
      <c r="AU6" s="258">
        <f t="shared" si="16"/>
        <v>0.60976139482095681</v>
      </c>
      <c r="AV6" s="258">
        <f t="shared" si="17"/>
        <v>13.127848025560443</v>
      </c>
      <c r="AW6" s="258">
        <f t="shared" si="18"/>
        <v>51.160940446266068</v>
      </c>
      <c r="AX6" s="258">
        <f t="shared" si="19"/>
        <v>76.86595314556061</v>
      </c>
      <c r="AY6" s="258">
        <f t="shared" si="20"/>
        <v>87.188491300034229</v>
      </c>
      <c r="AZ6" s="258">
        <f t="shared" si="21"/>
        <v>74.67423466068233</v>
      </c>
      <c r="BA6" s="258">
        <f t="shared" si="22"/>
        <v>38.637844326565698</v>
      </c>
      <c r="BB6" s="258">
        <f t="shared" si="23"/>
        <v>18.234799736803428</v>
      </c>
      <c r="BC6" s="258">
        <f t="shared" si="24"/>
        <v>3.871059348762671</v>
      </c>
      <c r="BD6" s="258">
        <f t="shared" si="25"/>
        <v>3.9728755140788267E-2</v>
      </c>
    </row>
    <row r="7" spans="1:56" ht="15">
      <c r="A7" s="253" t="str">
        <f>VLOOKUP(CONCATENATE($C7," - ",$B7),[3]ACHIEV!$B$17:$C$50,2,FALSE)</f>
        <v>Retro12Med</v>
      </c>
      <c r="B7" s="253" t="str">
        <f>'SC-Retro'!$C$7</f>
        <v>Retro</v>
      </c>
      <c r="C7" s="253" t="str">
        <f>'SC-Retro'!$C$8</f>
        <v>Irr Motor</v>
      </c>
      <c r="D7" s="253" t="s">
        <v>338</v>
      </c>
      <c r="E7" s="253" t="str">
        <f>'SC-Retro'!$A$9</f>
        <v>Motors/Drives</v>
      </c>
      <c r="F7" s="254">
        <f t="shared" si="1"/>
        <v>2.9563896396480236E-3</v>
      </c>
      <c r="G7" s="255">
        <f>'SC-Retro'!A62</f>
        <v>1111.4974068636257</v>
      </c>
      <c r="H7" s="255">
        <f>'SC-Retro'!B62</f>
        <v>24.294257144078045</v>
      </c>
      <c r="I7" s="248" t="str">
        <f>'SC-Retro'!C62</f>
        <v>Washington Wells Green Motors Program Rewind vs. Standard Practice:  Motor size 100HP</v>
      </c>
      <c r="J7" s="248" t="str">
        <f>'SC-Retro'!D62</f>
        <v xml:space="preserve">Washington </v>
      </c>
      <c r="K7" s="257">
        <f>'SC-Retro'!E62</f>
        <v>3.9137098367246562E-2</v>
      </c>
      <c r="L7" s="257">
        <f>'SC-Retro'!F62</f>
        <v>4.5205176539894608E-2</v>
      </c>
      <c r="M7" s="257">
        <f>'SC-Retro'!G62</f>
        <v>4.9983452616220364E-2</v>
      </c>
      <c r="N7" s="257">
        <f>'SC-Retro'!H62</f>
        <v>5.2864193552277533E-2</v>
      </c>
      <c r="O7" s="257">
        <f>'SC-Retro'!I62</f>
        <v>5.1687213903088197E-2</v>
      </c>
      <c r="P7" s="257">
        <f>'SC-Retro'!J62</f>
        <v>4.3606778998236909E-2</v>
      </c>
      <c r="Q7" s="257">
        <f>'SC-Retro'!K62</f>
        <v>3.3095578472537163E-2</v>
      </c>
      <c r="R7" s="257">
        <f>'SC-Retro'!L62</f>
        <v>2.2842454342097685E-2</v>
      </c>
      <c r="S7" s="257">
        <f>'SC-Retro'!M62</f>
        <v>1.4445599909125997E-2</v>
      </c>
      <c r="T7" s="257">
        <f>'SC-Retro'!N62</f>
        <v>8.4980310499273414E-3</v>
      </c>
      <c r="U7" s="257">
        <f>'SC-Retro'!O62</f>
        <v>4.6052904764942587E-3</v>
      </c>
      <c r="V7" s="257">
        <f>'SC-Retro'!P62</f>
        <v>2.3283147682050852E-3</v>
      </c>
      <c r="W7" s="257">
        <f>'SC-Retro'!Q62</f>
        <v>1.1038678396233144E-3</v>
      </c>
      <c r="X7" s="257">
        <f>'SC-Retro'!R62</f>
        <v>4.9235061265323198E-4</v>
      </c>
      <c r="Y7" s="257">
        <f>'SC-Retro'!S62</f>
        <v>2.088244048268822E-4</v>
      </c>
      <c r="Z7" s="257">
        <f>'SC-Retro'!T62</f>
        <v>8.3398121946223956E-5</v>
      </c>
      <c r="AA7" s="257">
        <f>'SC-Retro'!U62</f>
        <v>3.1649027330770169E-5</v>
      </c>
      <c r="AB7" s="257">
        <f>'SC-Retro'!V62</f>
        <v>1.143730994513565E-5</v>
      </c>
      <c r="AC7" s="257">
        <f>'SC-Retro'!W62</f>
        <v>3.9436027948008574E-6</v>
      </c>
      <c r="AD7" s="257">
        <f>'SC-Retro'!X62</f>
        <v>1.3101825020011575E-6</v>
      </c>
      <c r="AE7" s="257">
        <f>'SC-Retro'!Y62</f>
        <v>0.45774728772778478</v>
      </c>
      <c r="AF7" s="258">
        <f t="shared" si="2"/>
        <v>0</v>
      </c>
      <c r="AG7" s="258">
        <f t="shared" si="3"/>
        <v>3.8937788723298596E-2</v>
      </c>
      <c r="AH7" s="258">
        <f t="shared" si="4"/>
        <v>2.1438813725296653</v>
      </c>
      <c r="AI7" s="258">
        <f t="shared" si="5"/>
        <v>25.824205003437484</v>
      </c>
      <c r="AJ7" s="258">
        <f t="shared" si="6"/>
        <v>102.28843735953707</v>
      </c>
      <c r="AK7" s="258">
        <f t="shared" si="7"/>
        <v>135.56593577094247</v>
      </c>
      <c r="AL7" s="258">
        <f t="shared" si="8"/>
        <v>131.24457825764202</v>
      </c>
      <c r="AM7" s="258">
        <f t="shared" si="9"/>
        <v>133.12267558376499</v>
      </c>
      <c r="AN7" s="258">
        <f t="shared" si="10"/>
        <v>62.582527403789264</v>
      </c>
      <c r="AO7" s="258">
        <f t="shared" si="11"/>
        <v>35.986684833004595</v>
      </c>
      <c r="AP7" s="258">
        <f t="shared" si="12"/>
        <v>10.171054365662467</v>
      </c>
      <c r="AQ7" s="258">
        <f t="shared" si="13"/>
        <v>6.9696491584173084E-2</v>
      </c>
      <c r="AR7" s="258"/>
      <c r="AS7" s="258">
        <f t="shared" si="14"/>
        <v>0</v>
      </c>
      <c r="AT7" s="258">
        <f t="shared" si="15"/>
        <v>2.6628706035463412E-2</v>
      </c>
      <c r="AU7" s="258">
        <f t="shared" si="16"/>
        <v>0.79051171097205142</v>
      </c>
      <c r="AV7" s="258">
        <f t="shared" si="17"/>
        <v>17.019309015314171</v>
      </c>
      <c r="AW7" s="258">
        <f t="shared" si="18"/>
        <v>66.326472798417029</v>
      </c>
      <c r="AX7" s="258">
        <f t="shared" si="19"/>
        <v>99.651169543845128</v>
      </c>
      <c r="AY7" s="258">
        <f t="shared" si="20"/>
        <v>113.03359645275637</v>
      </c>
      <c r="AZ7" s="258">
        <f t="shared" si="21"/>
        <v>96.809764456271594</v>
      </c>
      <c r="BA7" s="258">
        <f t="shared" si="22"/>
        <v>50.091181052604533</v>
      </c>
      <c r="BB7" s="258">
        <f t="shared" si="23"/>
        <v>23.640103918690674</v>
      </c>
      <c r="BC7" s="258">
        <f t="shared" si="24"/>
        <v>5.0185495097853341</v>
      </c>
      <c r="BD7" s="258">
        <f t="shared" si="25"/>
        <v>5.1505468315776078E-2</v>
      </c>
    </row>
    <row r="8" spans="1:56" ht="15">
      <c r="A8" s="253" t="str">
        <f>VLOOKUP(CONCATENATE($C8," - ",$B8),[3]ACHIEV!$B$17:$C$50,2,FALSE)</f>
        <v>Retro12Med</v>
      </c>
      <c r="B8" s="253" t="str">
        <f>'SC-Retro'!$C$7</f>
        <v>Retro</v>
      </c>
      <c r="C8" s="253" t="str">
        <f>'SC-Retro'!$C$8</f>
        <v>Irr Motor</v>
      </c>
      <c r="D8" s="253" t="s">
        <v>338</v>
      </c>
      <c r="E8" s="253" t="str">
        <f>'SC-Retro'!$A$9</f>
        <v>Motors/Drives</v>
      </c>
      <c r="F8" s="254">
        <f t="shared" si="1"/>
        <v>3.9125029310240079E-3</v>
      </c>
      <c r="G8" s="255">
        <f>'SC-Retro'!A63</f>
        <v>1470.9620152427756</v>
      </c>
      <c r="H8" s="255">
        <f>'SC-Retro'!B63</f>
        <v>24.664060668826579</v>
      </c>
      <c r="I8" s="248" t="str">
        <f>'SC-Retro'!C63</f>
        <v>Idaho Wells Green Motors Program Rewind vs. Standard Practice:  Motor size 150HP</v>
      </c>
      <c r="J8" s="248" t="str">
        <f>'SC-Retro'!D63</f>
        <v xml:space="preserve">Idaho </v>
      </c>
      <c r="K8" s="257">
        <f>'SC-Retro'!E63</f>
        <v>6.9923397690675682E-2</v>
      </c>
      <c r="L8" s="257">
        <f>'SC-Retro'!F63</f>
        <v>7.9922743011484859E-2</v>
      </c>
      <c r="M8" s="257">
        <f>'SC-Retro'!G63</f>
        <v>8.7430365383691699E-2</v>
      </c>
      <c r="N8" s="257">
        <f>'SC-Retro'!H63</f>
        <v>9.1503480919195496E-2</v>
      </c>
      <c r="O8" s="257">
        <f>'SC-Retro'!I63</f>
        <v>8.7951876899589346E-2</v>
      </c>
      <c r="P8" s="257">
        <f>'SC-Retro'!J63</f>
        <v>7.3375333622797953E-2</v>
      </c>
      <c r="Q8" s="257">
        <f>'SC-Retro'!K63</f>
        <v>5.5101488549141292E-2</v>
      </c>
      <c r="R8" s="257">
        <f>'SC-Retro'!L63</f>
        <v>3.7623313822885154E-2</v>
      </c>
      <c r="S8" s="257">
        <f>'SC-Retro'!M63</f>
        <v>2.3551899101612692E-2</v>
      </c>
      <c r="T8" s="257">
        <f>'SC-Retro'!N63</f>
        <v>1.3611011127582145E-2</v>
      </c>
      <c r="U8" s="257">
        <f>'SC-Retro'!O63</f>
        <v>7.3049487717557577E-3</v>
      </c>
      <c r="V8" s="257">
        <f>'SC-Retro'!P63</f>
        <v>3.6595519826353186E-3</v>
      </c>
      <c r="W8" s="257">
        <f>'SC-Retro'!Q63</f>
        <v>1.7189000493776816E-3</v>
      </c>
      <c r="X8" s="257">
        <f>'SC-Retro'!R63</f>
        <v>7.5995206118211931E-4</v>
      </c>
      <c r="Y8" s="257">
        <f>'SC-Retro'!S63</f>
        <v>3.1734732276647549E-4</v>
      </c>
      <c r="Z8" s="257">
        <f>'SC-Retro'!T63</f>
        <v>1.2555151448898546E-4</v>
      </c>
      <c r="AA8" s="257">
        <f>'SC-Retro'!U63</f>
        <v>4.7192293254199934E-5</v>
      </c>
      <c r="AB8" s="257">
        <f>'SC-Retro'!V63</f>
        <v>1.6895084817627727E-5</v>
      </c>
      <c r="AC8" s="257">
        <f>'SC-Retro'!W63</f>
        <v>5.7739998596030753E-6</v>
      </c>
      <c r="AD8" s="257">
        <f>'SC-Retro'!X63</f>
        <v>1.887597897348848E-6</v>
      </c>
      <c r="AE8" s="257">
        <f>'SC-Retro'!Y63</f>
        <v>0.65948279458195747</v>
      </c>
      <c r="AF8" s="258">
        <f t="shared" si="2"/>
        <v>0</v>
      </c>
      <c r="AG8" s="258">
        <f t="shared" si="3"/>
        <v>5.1530491943422192E-2</v>
      </c>
      <c r="AH8" s="258">
        <f t="shared" si="4"/>
        <v>2.8372248506420572</v>
      </c>
      <c r="AI8" s="258">
        <f t="shared" si="5"/>
        <v>34.175900365874341</v>
      </c>
      <c r="AJ8" s="258">
        <f t="shared" si="6"/>
        <v>135.36910210073026</v>
      </c>
      <c r="AK8" s="258">
        <f t="shared" si="7"/>
        <v>179.40873352335669</v>
      </c>
      <c r="AL8" s="258">
        <f t="shared" si="8"/>
        <v>173.68982431394559</v>
      </c>
      <c r="AM8" s="258">
        <f t="shared" si="9"/>
        <v>176.17530903986261</v>
      </c>
      <c r="AN8" s="258">
        <f t="shared" si="10"/>
        <v>82.82207413207118</v>
      </c>
      <c r="AO8" s="258">
        <f t="shared" si="11"/>
        <v>47.62498420327659</v>
      </c>
      <c r="AP8" s="258">
        <f t="shared" si="12"/>
        <v>13.460431427434134</v>
      </c>
      <c r="AQ8" s="258">
        <f t="shared" si="13"/>
        <v>9.2236734951361976E-2</v>
      </c>
      <c r="AR8" s="258"/>
      <c r="AS8" s="258">
        <f t="shared" si="14"/>
        <v>0</v>
      </c>
      <c r="AT8" s="258">
        <f t="shared" si="15"/>
        <v>3.5240581625611146E-2</v>
      </c>
      <c r="AU8" s="258">
        <f t="shared" si="16"/>
        <v>1.046167712370681</v>
      </c>
      <c r="AV8" s="258">
        <f t="shared" si="17"/>
        <v>22.52345073646914</v>
      </c>
      <c r="AW8" s="258">
        <f t="shared" si="18"/>
        <v>87.776832846426203</v>
      </c>
      <c r="AX8" s="258">
        <f t="shared" si="19"/>
        <v>131.87892681381561</v>
      </c>
      <c r="AY8" s="258">
        <f t="shared" si="20"/>
        <v>149.58930700293149</v>
      </c>
      <c r="AZ8" s="258">
        <f t="shared" si="21"/>
        <v>128.11859509560492</v>
      </c>
      <c r="BA8" s="258">
        <f t="shared" si="22"/>
        <v>66.290955041400537</v>
      </c>
      <c r="BB8" s="258">
        <f t="shared" si="23"/>
        <v>31.285448518416921</v>
      </c>
      <c r="BC8" s="258">
        <f t="shared" si="24"/>
        <v>6.6415770787445645</v>
      </c>
      <c r="BD8" s="258">
        <f t="shared" si="25"/>
        <v>6.8162630881506439E-2</v>
      </c>
    </row>
    <row r="9" spans="1:56" ht="15">
      <c r="A9" s="253" t="str">
        <f>VLOOKUP(CONCATENATE($C9," - ",$B9),[3]ACHIEV!$B$17:$C$50,2,FALSE)</f>
        <v>Retro12Med</v>
      </c>
      <c r="B9" s="253" t="str">
        <f>'SC-Retro'!$C$7</f>
        <v>Retro</v>
      </c>
      <c r="C9" s="253" t="str">
        <f>'SC-Retro'!$C$8</f>
        <v>Irr Motor</v>
      </c>
      <c r="D9" s="253" t="s">
        <v>338</v>
      </c>
      <c r="E9" s="253" t="str">
        <f>'SC-Retro'!$A$9</f>
        <v>Motors/Drives</v>
      </c>
      <c r="F9" s="254">
        <f t="shared" si="1"/>
        <v>2.1764292973797451E-3</v>
      </c>
      <c r="G9" s="255">
        <f>'SC-Retro'!A64</f>
        <v>818.2600452312563</v>
      </c>
      <c r="H9" s="255">
        <f>'SC-Retro'!B64</f>
        <v>25.425128524182412</v>
      </c>
      <c r="I9" s="248" t="str">
        <f>'SC-Retro'!C64</f>
        <v>Montana River Green Motors Program Rewind vs. Standard Practice:  Motor size 40HP</v>
      </c>
      <c r="J9" s="248" t="str">
        <f>'SC-Retro'!D64</f>
        <v xml:space="preserve">Montana </v>
      </c>
      <c r="K9" s="257">
        <f>'SC-Retro'!E64</f>
        <v>2.3348213824970498E-2</v>
      </c>
      <c r="L9" s="257">
        <f>'SC-Retro'!F64</f>
        <v>2.6973243848711095E-2</v>
      </c>
      <c r="M9" s="257">
        <f>'SC-Retro'!G64</f>
        <v>2.9814379963827051E-2</v>
      </c>
      <c r="N9" s="257">
        <f>'SC-Retro'!H64</f>
        <v>3.1519556148665313E-2</v>
      </c>
      <c r="O9" s="257">
        <f>'SC-Retro'!I64</f>
        <v>3.0595138722649972E-2</v>
      </c>
      <c r="P9" s="257">
        <f>'SC-Retro'!J64</f>
        <v>2.5691164777568703E-2</v>
      </c>
      <c r="Q9" s="257">
        <f>'SC-Retro'!K64</f>
        <v>1.9415838432279918E-2</v>
      </c>
      <c r="R9" s="257">
        <f>'SC-Retro'!L64</f>
        <v>1.3342964419170903E-2</v>
      </c>
      <c r="S9" s="257">
        <f>'SC-Retro'!M64</f>
        <v>8.4072843405468087E-3</v>
      </c>
      <c r="T9" s="257">
        <f>'SC-Retro'!N64</f>
        <v>4.8907660486192687E-3</v>
      </c>
      <c r="U9" s="257">
        <f>'SC-Retro'!O64</f>
        <v>2.6422486505255343E-3</v>
      </c>
      <c r="V9" s="257">
        <f>'SC-Retro'!P64</f>
        <v>1.3324779177619557E-3</v>
      </c>
      <c r="W9" s="257">
        <f>'SC-Retro'!Q64</f>
        <v>6.3002466788007348E-4</v>
      </c>
      <c r="X9" s="257">
        <f>'SC-Retro'!R64</f>
        <v>2.8038916527043544E-4</v>
      </c>
      <c r="Y9" s="257">
        <f>'SC-Retro'!S64</f>
        <v>1.1786008866872759E-4</v>
      </c>
      <c r="Z9" s="257">
        <f>'SC-Retro'!T64</f>
        <v>4.693478216770505E-5</v>
      </c>
      <c r="AA9" s="257">
        <f>'SC-Retro'!U64</f>
        <v>1.7756857303781894E-5</v>
      </c>
      <c r="AB9" s="257">
        <f>'SC-Retro'!V64</f>
        <v>6.3981629080601848E-6</v>
      </c>
      <c r="AC9" s="257">
        <f>'SC-Retro'!W64</f>
        <v>2.2006304183281018E-6</v>
      </c>
      <c r="AD9" s="257">
        <f>'SC-Retro'!X64</f>
        <v>7.2398458257105389E-7</v>
      </c>
      <c r="AE9" s="257">
        <f>'SC-Retro'!Y64</f>
        <v>0.25294337126503591</v>
      </c>
      <c r="AF9" s="258">
        <f t="shared" si="2"/>
        <v>0</v>
      </c>
      <c r="AG9" s="258">
        <f t="shared" si="3"/>
        <v>2.8665147183596265E-2</v>
      </c>
      <c r="AH9" s="258">
        <f t="shared" si="4"/>
        <v>1.5782785079154114</v>
      </c>
      <c r="AI9" s="258">
        <f t="shared" si="5"/>
        <v>19.011214082631351</v>
      </c>
      <c r="AJ9" s="258">
        <f t="shared" si="6"/>
        <v>75.302507107619974</v>
      </c>
      <c r="AK9" s="258">
        <f t="shared" si="7"/>
        <v>99.800672543862461</v>
      </c>
      <c r="AL9" s="258">
        <f t="shared" si="8"/>
        <v>96.619383795496091</v>
      </c>
      <c r="AM9" s="258">
        <f t="shared" si="9"/>
        <v>98.001997910052125</v>
      </c>
      <c r="AN9" s="258">
        <f t="shared" si="10"/>
        <v>46.071885897250652</v>
      </c>
      <c r="AO9" s="258">
        <f t="shared" si="11"/>
        <v>26.492609139114457</v>
      </c>
      <c r="AP9" s="258">
        <f t="shared" si="12"/>
        <v>7.4877074421440089</v>
      </c>
      <c r="AQ9" s="258">
        <f t="shared" si="13"/>
        <v>5.1309030506017705E-2</v>
      </c>
      <c r="AR9" s="258"/>
      <c r="AS9" s="258">
        <f t="shared" si="14"/>
        <v>0</v>
      </c>
      <c r="AT9" s="258">
        <f t="shared" si="15"/>
        <v>1.9603470121007247E-2</v>
      </c>
      <c r="AU9" s="258">
        <f t="shared" si="16"/>
        <v>0.58195740663135231</v>
      </c>
      <c r="AV9" s="258">
        <f t="shared" si="17"/>
        <v>12.529242514359161</v>
      </c>
      <c r="AW9" s="258">
        <f t="shared" si="18"/>
        <v>48.82809649120604</v>
      </c>
      <c r="AX9" s="258">
        <f t="shared" si="19"/>
        <v>73.361008307146562</v>
      </c>
      <c r="AY9" s="258">
        <f t="shared" si="20"/>
        <v>83.212857875278971</v>
      </c>
      <c r="AZ9" s="258">
        <f t="shared" si="21"/>
        <v>71.269228118438022</v>
      </c>
      <c r="BA9" s="258">
        <f t="shared" si="22"/>
        <v>36.87603031791884</v>
      </c>
      <c r="BB9" s="258">
        <f t="shared" si="23"/>
        <v>17.403326703534809</v>
      </c>
      <c r="BC9" s="258">
        <f t="shared" si="24"/>
        <v>3.6945462252221772</v>
      </c>
      <c r="BD9" s="258">
        <f t="shared" si="25"/>
        <v>3.7917197623201386E-2</v>
      </c>
    </row>
    <row r="10" spans="1:56" ht="15">
      <c r="A10" s="253" t="str">
        <f>VLOOKUP(CONCATENATE($C10," - ",$B10),[3]ACHIEV!$B$17:$C$50,2,FALSE)</f>
        <v>Retro12Med</v>
      </c>
      <c r="B10" s="253" t="str">
        <f>'SC-Retro'!$C$7</f>
        <v>Retro</v>
      </c>
      <c r="C10" s="253" t="str">
        <f>'SC-Retro'!$C$8</f>
        <v>Irr Motor</v>
      </c>
      <c r="D10" s="253" t="s">
        <v>338</v>
      </c>
      <c r="E10" s="253" t="str">
        <f>'SC-Retro'!$A$9</f>
        <v>Motors/Drives</v>
      </c>
      <c r="F10" s="254">
        <f t="shared" si="1"/>
        <v>2.2397714690255044E-3</v>
      </c>
      <c r="G10" s="255">
        <f>'SC-Retro'!A65</f>
        <v>842.07444999887502</v>
      </c>
      <c r="H10" s="255">
        <f>'SC-Retro'!B65</f>
        <v>27.631302258884162</v>
      </c>
      <c r="I10" s="248" t="str">
        <f>'SC-Retro'!C65</f>
        <v>Washington River Green Motors Program Rewind vs. Standard Practice:  Motor size 75HP</v>
      </c>
      <c r="J10" s="259" t="str">
        <f>'SC-Retro'!D65</f>
        <v xml:space="preserve">Washington </v>
      </c>
      <c r="K10" s="257">
        <f>'SC-Retro'!E65</f>
        <v>3.5474515988350559E-2</v>
      </c>
      <c r="L10" s="257">
        <f>'SC-Retro'!F65</f>
        <v>4.0974722828781923E-2</v>
      </c>
      <c r="M10" s="257">
        <f>'SC-Retro'!G65</f>
        <v>4.5305831626776767E-2</v>
      </c>
      <c r="N10" s="257">
        <f>'SC-Retro'!H65</f>
        <v>4.7916983057460769E-2</v>
      </c>
      <c r="O10" s="257">
        <f>'SC-Retro'!I65</f>
        <v>4.6850149154974187E-2</v>
      </c>
      <c r="P10" s="257">
        <f>'SC-Retro'!J65</f>
        <v>3.9525908749229975E-2</v>
      </c>
      <c r="Q10" s="257">
        <f>'SC-Retro'!K65</f>
        <v>2.9998382012149393E-2</v>
      </c>
      <c r="R10" s="257">
        <f>'SC-Retro'!L65</f>
        <v>2.0704780006124961E-2</v>
      </c>
      <c r="S10" s="257">
        <f>'SC-Retro'!M65</f>
        <v>1.3093731684678762E-2</v>
      </c>
      <c r="T10" s="257">
        <f>'SC-Retro'!N65</f>
        <v>7.7027564874977772E-3</v>
      </c>
      <c r="U10" s="257">
        <f>'SC-Retro'!O65</f>
        <v>4.1743117771888081E-3</v>
      </c>
      <c r="V10" s="257">
        <f>'SC-Retro'!P65</f>
        <v>2.1104231768936574E-3</v>
      </c>
      <c r="W10" s="257">
        <f>'SC-Retro'!Q65</f>
        <v>1.0005641439814865E-3</v>
      </c>
      <c r="X10" s="257">
        <f>'SC-Retro'!R65</f>
        <v>4.4627477276287596E-4</v>
      </c>
      <c r="Y10" s="257">
        <f>'SC-Retro'!S65</f>
        <v>1.8928190890075438E-4</v>
      </c>
      <c r="Z10" s="257">
        <f>'SC-Retro'!T65</f>
        <v>7.5593442891915531E-5</v>
      </c>
      <c r="AA10" s="257">
        <f>'SC-Retro'!U65</f>
        <v>2.8687204031476062E-5</v>
      </c>
      <c r="AB10" s="257">
        <f>'SC-Retro'!V65</f>
        <v>1.0366967696613647E-5</v>
      </c>
      <c r="AC10" s="257">
        <f>'SC-Retro'!W65</f>
        <v>3.574547072527629E-6</v>
      </c>
      <c r="AD10" s="257">
        <f>'SC-Retro'!X65</f>
        <v>1.1875711806421055E-6</v>
      </c>
      <c r="AE10" s="257">
        <f>'SC-Retro'!Y65</f>
        <v>0.41490974432363986</v>
      </c>
      <c r="AF10" s="258">
        <f t="shared" si="2"/>
        <v>0</v>
      </c>
      <c r="AG10" s="258">
        <f t="shared" si="3"/>
        <v>2.9499409374121034E-2</v>
      </c>
      <c r="AH10" s="258">
        <f t="shared" si="4"/>
        <v>1.624212271200784</v>
      </c>
      <c r="AI10" s="258">
        <f t="shared" si="5"/>
        <v>19.56451098369131</v>
      </c>
      <c r="AJ10" s="258">
        <f t="shared" si="6"/>
        <v>77.494089593809349</v>
      </c>
      <c r="AK10" s="258">
        <f t="shared" si="7"/>
        <v>102.70524258353538</v>
      </c>
      <c r="AL10" s="258">
        <f t="shared" si="8"/>
        <v>99.431366523375161</v>
      </c>
      <c r="AM10" s="258">
        <f t="shared" si="9"/>
        <v>100.85421984104681</v>
      </c>
      <c r="AN10" s="258">
        <f t="shared" si="10"/>
        <v>47.412748799648128</v>
      </c>
      <c r="AO10" s="258">
        <f t="shared" si="11"/>
        <v>27.263642407897461</v>
      </c>
      <c r="AP10" s="258">
        <f t="shared" si="12"/>
        <v>7.7056275237219047</v>
      </c>
      <c r="AQ10" s="258">
        <f t="shared" si="13"/>
        <v>5.2802313757259758E-2</v>
      </c>
      <c r="AR10" s="258"/>
      <c r="AS10" s="258">
        <f t="shared" si="14"/>
        <v>0</v>
      </c>
      <c r="AT10" s="258">
        <f t="shared" si="15"/>
        <v>2.0174003871289096E-2</v>
      </c>
      <c r="AU10" s="258">
        <f t="shared" si="16"/>
        <v>0.59889452744007499</v>
      </c>
      <c r="AV10" s="258">
        <f t="shared" si="17"/>
        <v>12.89388998114862</v>
      </c>
      <c r="AW10" s="258">
        <f t="shared" si="18"/>
        <v>50.249175353177471</v>
      </c>
      <c r="AX10" s="258">
        <f t="shared" si="19"/>
        <v>75.49608597123229</v>
      </c>
      <c r="AY10" s="258">
        <f t="shared" si="20"/>
        <v>85.63466093270695</v>
      </c>
      <c r="AZ10" s="258">
        <f t="shared" si="21"/>
        <v>73.343427214165061</v>
      </c>
      <c r="BA10" s="258">
        <f t="shared" si="22"/>
        <v>37.949259687154026</v>
      </c>
      <c r="BB10" s="258">
        <f t="shared" si="23"/>
        <v>17.909828113247357</v>
      </c>
      <c r="BC10" s="258">
        <f t="shared" si="24"/>
        <v>3.8020712348482464</v>
      </c>
      <c r="BD10" s="258">
        <f t="shared" si="25"/>
        <v>3.9020728825922529E-2</v>
      </c>
    </row>
    <row r="11" spans="1:56" ht="15">
      <c r="A11" s="253"/>
      <c r="B11" s="253"/>
      <c r="C11" s="253"/>
      <c r="D11" s="253"/>
      <c r="E11" s="253"/>
      <c r="F11" s="254"/>
      <c r="G11" s="255"/>
      <c r="H11" s="255"/>
      <c r="K11" s="257"/>
      <c r="L11" s="257"/>
      <c r="M11" s="257"/>
      <c r="N11" s="257"/>
      <c r="O11" s="257"/>
      <c r="P11" s="257"/>
      <c r="Q11" s="257"/>
      <c r="R11" s="257"/>
      <c r="S11" s="257"/>
      <c r="T11" s="257"/>
      <c r="U11" s="257"/>
      <c r="V11" s="257"/>
      <c r="W11" s="257"/>
      <c r="X11" s="257"/>
      <c r="Y11" s="257"/>
      <c r="Z11" s="257"/>
      <c r="AA11" s="257"/>
      <c r="AB11" s="257"/>
      <c r="AC11" s="257"/>
      <c r="AD11" s="257"/>
      <c r="AE11" s="257"/>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c r="BC11" s="258"/>
      <c r="BD11" s="258"/>
    </row>
    <row r="12" spans="1:56" ht="15">
      <c r="A12" s="253"/>
      <c r="B12" s="253"/>
      <c r="C12" s="253"/>
      <c r="D12" s="253"/>
      <c r="E12" s="253"/>
      <c r="F12" s="254"/>
      <c r="G12" s="255"/>
      <c r="H12" s="255"/>
      <c r="K12" s="257"/>
      <c r="L12" s="257"/>
      <c r="M12" s="257"/>
      <c r="N12" s="257"/>
      <c r="O12" s="257"/>
      <c r="P12" s="257"/>
      <c r="Q12" s="257"/>
      <c r="R12" s="257"/>
      <c r="S12" s="257"/>
      <c r="T12" s="257"/>
      <c r="U12" s="257"/>
      <c r="V12" s="257"/>
      <c r="W12" s="257"/>
      <c r="X12" s="257"/>
      <c r="Y12" s="257"/>
      <c r="Z12" s="257"/>
      <c r="AA12" s="257"/>
      <c r="AB12" s="257"/>
      <c r="AC12" s="257"/>
      <c r="AD12" s="257"/>
      <c r="AE12" s="257"/>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row>
    <row r="13" spans="1:56" ht="15">
      <c r="A13" s="253"/>
      <c r="B13" s="253"/>
      <c r="C13" s="253"/>
      <c r="D13" s="253"/>
      <c r="E13" s="253"/>
      <c r="F13" s="254"/>
      <c r="G13" s="255"/>
      <c r="H13" s="255"/>
      <c r="K13" s="257"/>
      <c r="L13" s="257"/>
      <c r="M13" s="257"/>
      <c r="N13" s="257"/>
      <c r="O13" s="257"/>
      <c r="P13" s="257"/>
      <c r="Q13" s="257"/>
      <c r="R13" s="257"/>
      <c r="S13" s="257"/>
      <c r="T13" s="257"/>
      <c r="U13" s="257"/>
      <c r="V13" s="257"/>
      <c r="W13" s="257"/>
      <c r="X13" s="257"/>
      <c r="Y13" s="257"/>
      <c r="Z13" s="257"/>
      <c r="AA13" s="257"/>
      <c r="AB13" s="257"/>
      <c r="AC13" s="257"/>
      <c r="AD13" s="257"/>
      <c r="AE13" s="257"/>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row>
    <row r="14" spans="1:56" ht="15">
      <c r="A14" s="253"/>
      <c r="B14" s="253"/>
      <c r="C14" s="253"/>
      <c r="D14" s="253"/>
      <c r="E14" s="253"/>
      <c r="F14" s="254"/>
      <c r="G14" s="255"/>
      <c r="H14" s="255"/>
      <c r="K14" s="257"/>
      <c r="L14" s="257"/>
      <c r="M14" s="257"/>
      <c r="N14" s="257"/>
      <c r="O14" s="257"/>
      <c r="P14" s="257"/>
      <c r="Q14" s="257"/>
      <c r="R14" s="257"/>
      <c r="S14" s="257"/>
      <c r="T14" s="257"/>
      <c r="U14" s="257"/>
      <c r="V14" s="257"/>
      <c r="W14" s="257"/>
      <c r="X14" s="257"/>
      <c r="Y14" s="257"/>
      <c r="Z14" s="257"/>
      <c r="AA14" s="257"/>
      <c r="AB14" s="257"/>
      <c r="AC14" s="257"/>
      <c r="AD14" s="257"/>
      <c r="AE14" s="257"/>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row>
    <row r="15" spans="1:56" ht="15">
      <c r="A15" s="253"/>
      <c r="B15" s="253"/>
      <c r="C15" s="253"/>
      <c r="D15" s="253"/>
      <c r="E15" s="253"/>
      <c r="F15" s="254"/>
      <c r="G15" s="255"/>
      <c r="H15" s="255"/>
      <c r="K15" s="257"/>
      <c r="L15" s="257"/>
      <c r="M15" s="257"/>
      <c r="N15" s="257"/>
      <c r="O15" s="257"/>
      <c r="P15" s="257"/>
      <c r="Q15" s="257"/>
      <c r="R15" s="257"/>
      <c r="S15" s="257"/>
      <c r="T15" s="257"/>
      <c r="U15" s="257"/>
      <c r="V15" s="257"/>
      <c r="W15" s="257"/>
      <c r="X15" s="257"/>
      <c r="Y15" s="257"/>
      <c r="Z15" s="257"/>
      <c r="AA15" s="257"/>
      <c r="AB15" s="257"/>
      <c r="AC15" s="257"/>
      <c r="AD15" s="257"/>
      <c r="AE15" s="257"/>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row>
    <row r="16" spans="1:56" ht="15">
      <c r="A16" s="253"/>
      <c r="B16" s="253"/>
      <c r="C16" s="253"/>
      <c r="D16" s="253"/>
      <c r="E16" s="253"/>
      <c r="F16" s="254"/>
      <c r="G16" s="255"/>
      <c r="H16" s="255"/>
      <c r="K16" s="257"/>
      <c r="L16" s="257"/>
      <c r="M16" s="257"/>
      <c r="N16" s="257"/>
      <c r="O16" s="257"/>
      <c r="P16" s="257"/>
      <c r="Q16" s="257"/>
      <c r="R16" s="257"/>
      <c r="S16" s="257"/>
      <c r="T16" s="257"/>
      <c r="U16" s="257"/>
      <c r="V16" s="257"/>
      <c r="W16" s="257"/>
      <c r="X16" s="257"/>
      <c r="Y16" s="257"/>
      <c r="Z16" s="257"/>
      <c r="AA16" s="257"/>
      <c r="AB16" s="257"/>
      <c r="AC16" s="257"/>
      <c r="AD16" s="257"/>
      <c r="AE16" s="257"/>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row>
    <row r="17" spans="1:56" ht="15">
      <c r="A17" s="253"/>
      <c r="B17" s="253"/>
      <c r="C17" s="253"/>
      <c r="D17" s="253"/>
      <c r="E17" s="253"/>
      <c r="F17" s="254"/>
      <c r="G17" s="255"/>
      <c r="H17" s="255"/>
      <c r="K17" s="257"/>
      <c r="L17" s="257"/>
      <c r="M17" s="257"/>
      <c r="N17" s="257"/>
      <c r="O17" s="257"/>
      <c r="P17" s="257"/>
      <c r="Q17" s="257"/>
      <c r="R17" s="257"/>
      <c r="S17" s="257"/>
      <c r="T17" s="257"/>
      <c r="U17" s="257"/>
      <c r="V17" s="257"/>
      <c r="W17" s="257"/>
      <c r="X17" s="257"/>
      <c r="Y17" s="257"/>
      <c r="Z17" s="257"/>
      <c r="AA17" s="257"/>
      <c r="AB17" s="257"/>
      <c r="AC17" s="257"/>
      <c r="AD17" s="257"/>
      <c r="AE17" s="257"/>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row>
    <row r="18" spans="1:56" ht="15">
      <c r="A18" s="253"/>
      <c r="B18" s="253"/>
      <c r="C18" s="253"/>
      <c r="D18" s="253"/>
      <c r="E18" s="253"/>
      <c r="F18" s="254"/>
      <c r="G18" s="255"/>
      <c r="H18" s="255"/>
      <c r="K18" s="257"/>
      <c r="L18" s="257"/>
      <c r="M18" s="257"/>
      <c r="N18" s="257"/>
      <c r="O18" s="257"/>
      <c r="P18" s="257"/>
      <c r="Q18" s="257"/>
      <c r="R18" s="257"/>
      <c r="S18" s="257"/>
      <c r="T18" s="257"/>
      <c r="U18" s="257"/>
      <c r="V18" s="257"/>
      <c r="W18" s="257"/>
      <c r="X18" s="257"/>
      <c r="Y18" s="257"/>
      <c r="Z18" s="257"/>
      <c r="AA18" s="257"/>
      <c r="AB18" s="257"/>
      <c r="AC18" s="257"/>
      <c r="AD18" s="257"/>
      <c r="AE18" s="257"/>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row>
    <row r="19" spans="1:56" ht="15">
      <c r="A19" s="253"/>
      <c r="B19" s="253"/>
      <c r="C19" s="253"/>
      <c r="D19" s="253"/>
      <c r="E19" s="253"/>
      <c r="F19" s="254"/>
      <c r="G19" s="255"/>
      <c r="H19" s="255"/>
      <c r="K19" s="257"/>
      <c r="L19" s="257"/>
      <c r="M19" s="257"/>
      <c r="N19" s="257"/>
      <c r="O19" s="257"/>
      <c r="P19" s="257"/>
      <c r="Q19" s="257"/>
      <c r="R19" s="257"/>
      <c r="S19" s="257"/>
      <c r="T19" s="257"/>
      <c r="U19" s="257"/>
      <c r="V19" s="257"/>
      <c r="W19" s="257"/>
      <c r="X19" s="257"/>
      <c r="Y19" s="257"/>
      <c r="Z19" s="257"/>
      <c r="AA19" s="257"/>
      <c r="AB19" s="257"/>
      <c r="AC19" s="257"/>
      <c r="AD19" s="257"/>
      <c r="AE19" s="257"/>
      <c r="AF19" s="258"/>
      <c r="AG19" s="258"/>
      <c r="AH19" s="258"/>
      <c r="AI19" s="258"/>
      <c r="AJ19" s="258"/>
      <c r="AK19" s="258"/>
      <c r="AL19" s="258"/>
      <c r="AM19" s="258"/>
      <c r="AN19" s="258"/>
      <c r="AO19" s="258"/>
      <c r="AP19" s="258"/>
      <c r="AQ19" s="258"/>
      <c r="AR19" s="258"/>
      <c r="AS19" s="258"/>
      <c r="AT19" s="258"/>
      <c r="AU19" s="258"/>
      <c r="AV19" s="258"/>
      <c r="AW19" s="258"/>
      <c r="AX19" s="258"/>
      <c r="AY19" s="258"/>
      <c r="AZ19" s="258"/>
      <c r="BA19" s="258"/>
      <c r="BB19" s="258"/>
      <c r="BC19" s="258"/>
      <c r="BD19" s="258"/>
    </row>
    <row r="20" spans="1:56" ht="15">
      <c r="A20" s="253"/>
      <c r="B20" s="253"/>
      <c r="C20" s="253"/>
      <c r="D20" s="253"/>
      <c r="E20" s="253"/>
      <c r="F20" s="254"/>
      <c r="G20" s="255"/>
      <c r="H20" s="255"/>
      <c r="K20" s="257"/>
      <c r="L20" s="257"/>
      <c r="M20" s="257"/>
      <c r="N20" s="257"/>
      <c r="O20" s="257"/>
      <c r="P20" s="257"/>
      <c r="Q20" s="257"/>
      <c r="R20" s="257"/>
      <c r="S20" s="257"/>
      <c r="T20" s="257"/>
      <c r="U20" s="257"/>
      <c r="V20" s="257"/>
      <c r="W20" s="257"/>
      <c r="X20" s="257"/>
      <c r="Y20" s="257"/>
      <c r="Z20" s="257"/>
      <c r="AA20" s="257"/>
      <c r="AB20" s="257"/>
      <c r="AC20" s="257"/>
      <c r="AD20" s="257"/>
      <c r="AE20" s="257"/>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row>
    <row r="21" spans="1:56" ht="15">
      <c r="A21" s="253"/>
      <c r="B21" s="253"/>
      <c r="C21" s="253"/>
      <c r="D21" s="253"/>
      <c r="E21" s="253"/>
      <c r="F21" s="254"/>
      <c r="G21" s="255"/>
      <c r="H21" s="255"/>
      <c r="K21" s="257"/>
      <c r="L21" s="257"/>
      <c r="M21" s="257"/>
      <c r="N21" s="257"/>
      <c r="O21" s="257"/>
      <c r="P21" s="257"/>
      <c r="Q21" s="257"/>
      <c r="R21" s="257"/>
      <c r="S21" s="257"/>
      <c r="T21" s="257"/>
      <c r="U21" s="257"/>
      <c r="V21" s="257"/>
      <c r="W21" s="257"/>
      <c r="X21" s="257"/>
      <c r="Y21" s="257"/>
      <c r="Z21" s="257"/>
      <c r="AA21" s="257"/>
      <c r="AB21" s="257"/>
      <c r="AC21" s="257"/>
      <c r="AD21" s="257"/>
      <c r="AE21" s="257"/>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8"/>
      <c r="BB21" s="258"/>
      <c r="BC21" s="258"/>
      <c r="BD21" s="258"/>
    </row>
    <row r="22" spans="1:56" ht="15">
      <c r="A22" s="253"/>
      <c r="B22" s="253"/>
      <c r="C22" s="253"/>
      <c r="D22" s="253"/>
      <c r="E22" s="253"/>
      <c r="F22" s="254"/>
      <c r="G22" s="255"/>
      <c r="H22" s="255"/>
      <c r="K22" s="257"/>
      <c r="L22" s="257"/>
      <c r="M22" s="257"/>
      <c r="N22" s="257"/>
      <c r="O22" s="257"/>
      <c r="P22" s="257"/>
      <c r="Q22" s="257"/>
      <c r="R22" s="257"/>
      <c r="S22" s="257"/>
      <c r="T22" s="257"/>
      <c r="U22" s="257"/>
      <c r="V22" s="257"/>
      <c r="W22" s="257"/>
      <c r="X22" s="257"/>
      <c r="Y22" s="257"/>
      <c r="Z22" s="257"/>
      <c r="AA22" s="257"/>
      <c r="AB22" s="257"/>
      <c r="AC22" s="257"/>
      <c r="AD22" s="257"/>
      <c r="AE22" s="257"/>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row>
    <row r="23" spans="1:56" ht="15">
      <c r="A23" s="253"/>
      <c r="B23" s="253"/>
      <c r="C23" s="253"/>
      <c r="D23" s="253"/>
      <c r="E23" s="253"/>
      <c r="F23" s="254"/>
      <c r="G23" s="255"/>
      <c r="H23" s="255"/>
      <c r="K23" s="257"/>
      <c r="L23" s="257"/>
      <c r="M23" s="257"/>
      <c r="N23" s="257"/>
      <c r="O23" s="257"/>
      <c r="P23" s="257"/>
      <c r="Q23" s="257"/>
      <c r="R23" s="257"/>
      <c r="S23" s="257"/>
      <c r="T23" s="257"/>
      <c r="U23" s="257"/>
      <c r="V23" s="257"/>
      <c r="W23" s="257"/>
      <c r="X23" s="257"/>
      <c r="Y23" s="257"/>
      <c r="Z23" s="257"/>
      <c r="AA23" s="257"/>
      <c r="AB23" s="257"/>
      <c r="AC23" s="257"/>
      <c r="AD23" s="257"/>
      <c r="AE23" s="257"/>
      <c r="AF23" s="258"/>
      <c r="AG23" s="258"/>
      <c r="AH23" s="258"/>
      <c r="AI23" s="258"/>
      <c r="AJ23" s="258"/>
      <c r="AK23" s="258"/>
      <c r="AL23" s="258"/>
      <c r="AM23" s="258"/>
      <c r="AN23" s="258"/>
      <c r="AO23" s="258"/>
      <c r="AP23" s="258"/>
      <c r="AQ23" s="258"/>
      <c r="AR23" s="258"/>
      <c r="AS23" s="258"/>
      <c r="AT23" s="258"/>
      <c r="AU23" s="258"/>
      <c r="AV23" s="258"/>
      <c r="AW23" s="258"/>
      <c r="AX23" s="258"/>
      <c r="AY23" s="258"/>
      <c r="AZ23" s="258"/>
      <c r="BA23" s="258"/>
      <c r="BB23" s="258"/>
      <c r="BC23" s="258"/>
      <c r="BD23" s="258"/>
    </row>
    <row r="24" spans="1:56" ht="15">
      <c r="A24" s="253"/>
      <c r="B24" s="253"/>
      <c r="C24" s="253"/>
      <c r="D24" s="253"/>
      <c r="E24" s="253"/>
      <c r="F24" s="254"/>
      <c r="G24" s="255"/>
      <c r="H24" s="255"/>
      <c r="K24" s="257"/>
      <c r="L24" s="257"/>
      <c r="M24" s="257"/>
      <c r="N24" s="257"/>
      <c r="O24" s="257"/>
      <c r="P24" s="257"/>
      <c r="Q24" s="257"/>
      <c r="R24" s="257"/>
      <c r="S24" s="257"/>
      <c r="T24" s="257"/>
      <c r="U24" s="257"/>
      <c r="V24" s="257"/>
      <c r="W24" s="257"/>
      <c r="X24" s="257"/>
      <c r="Y24" s="257"/>
      <c r="Z24" s="257"/>
      <c r="AA24" s="257"/>
      <c r="AB24" s="257"/>
      <c r="AC24" s="257"/>
      <c r="AD24" s="257"/>
      <c r="AE24" s="257"/>
      <c r="AF24" s="258"/>
      <c r="AG24" s="258"/>
      <c r="AH24" s="258"/>
      <c r="AI24" s="258"/>
      <c r="AJ24" s="258"/>
      <c r="AK24" s="258"/>
      <c r="AL24" s="258"/>
      <c r="AM24" s="258"/>
      <c r="AN24" s="258"/>
      <c r="AO24" s="258"/>
      <c r="AP24" s="258"/>
      <c r="AQ24" s="258"/>
      <c r="AR24" s="258"/>
      <c r="AS24" s="258"/>
      <c r="AT24" s="258"/>
      <c r="AU24" s="258"/>
      <c r="AV24" s="258"/>
      <c r="AW24" s="258"/>
      <c r="AX24" s="258"/>
      <c r="AY24" s="258"/>
      <c r="AZ24" s="258"/>
      <c r="BA24" s="258"/>
      <c r="BB24" s="258"/>
      <c r="BC24" s="258"/>
      <c r="BD24" s="258"/>
    </row>
    <row r="25" spans="1:56" ht="15">
      <c r="A25" s="253"/>
      <c r="B25" s="253"/>
      <c r="C25" s="253"/>
      <c r="D25" s="253"/>
      <c r="E25" s="253"/>
      <c r="F25" s="254"/>
      <c r="G25" s="255"/>
      <c r="H25" s="255"/>
      <c r="K25" s="257"/>
      <c r="L25" s="257"/>
      <c r="M25" s="257"/>
      <c r="N25" s="257"/>
      <c r="O25" s="257"/>
      <c r="P25" s="257"/>
      <c r="Q25" s="257"/>
      <c r="R25" s="257"/>
      <c r="S25" s="257"/>
      <c r="T25" s="257"/>
      <c r="U25" s="257"/>
      <c r="V25" s="257"/>
      <c r="W25" s="257"/>
      <c r="X25" s="257"/>
      <c r="Y25" s="257"/>
      <c r="Z25" s="257"/>
      <c r="AA25" s="257"/>
      <c r="AB25" s="257"/>
      <c r="AC25" s="257"/>
      <c r="AD25" s="257"/>
      <c r="AE25" s="257"/>
      <c r="AF25" s="258"/>
      <c r="AG25" s="258"/>
      <c r="AH25" s="258"/>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row>
    <row r="26" spans="1:56" ht="15">
      <c r="A26" s="253"/>
      <c r="B26" s="253"/>
      <c r="C26" s="253"/>
      <c r="D26" s="253"/>
      <c r="E26" s="253"/>
      <c r="F26" s="254"/>
      <c r="G26" s="255"/>
      <c r="H26" s="255"/>
      <c r="K26" s="257"/>
      <c r="L26" s="257"/>
      <c r="M26" s="257"/>
      <c r="N26" s="257"/>
      <c r="O26" s="257"/>
      <c r="P26" s="257"/>
      <c r="Q26" s="257"/>
      <c r="R26" s="257"/>
      <c r="S26" s="257"/>
      <c r="T26" s="257"/>
      <c r="U26" s="257"/>
      <c r="V26" s="257"/>
      <c r="W26" s="257"/>
      <c r="X26" s="257"/>
      <c r="Y26" s="257"/>
      <c r="Z26" s="257"/>
      <c r="AA26" s="257"/>
      <c r="AB26" s="257"/>
      <c r="AC26" s="257"/>
      <c r="AD26" s="257"/>
      <c r="AE26" s="257"/>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row>
    <row r="27" spans="1:56" ht="15">
      <c r="A27" s="253"/>
      <c r="B27" s="253"/>
      <c r="C27" s="253"/>
      <c r="D27" s="253"/>
      <c r="E27" s="253"/>
      <c r="F27" s="254"/>
      <c r="G27" s="255"/>
      <c r="H27" s="255"/>
      <c r="K27" s="257"/>
      <c r="L27" s="257"/>
      <c r="M27" s="257"/>
      <c r="N27" s="257"/>
      <c r="O27" s="257"/>
      <c r="P27" s="257"/>
      <c r="Q27" s="257"/>
      <c r="R27" s="257"/>
      <c r="S27" s="257"/>
      <c r="T27" s="257"/>
      <c r="U27" s="257"/>
      <c r="V27" s="257"/>
      <c r="W27" s="257"/>
      <c r="X27" s="257"/>
      <c r="Y27" s="257"/>
      <c r="Z27" s="257"/>
      <c r="AA27" s="257"/>
      <c r="AB27" s="257"/>
      <c r="AC27" s="257"/>
      <c r="AD27" s="257"/>
      <c r="AE27" s="257"/>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c r="BC27" s="258"/>
      <c r="BD27" s="258"/>
    </row>
    <row r="28" spans="1:56" ht="15">
      <c r="A28" s="253"/>
      <c r="B28" s="253"/>
      <c r="C28" s="253"/>
      <c r="D28" s="253"/>
      <c r="E28" s="253"/>
      <c r="F28" s="254"/>
      <c r="G28" s="255"/>
      <c r="H28" s="255"/>
      <c r="K28" s="257"/>
      <c r="L28" s="257"/>
      <c r="M28" s="257"/>
      <c r="N28" s="257"/>
      <c r="O28" s="257"/>
      <c r="P28" s="257"/>
      <c r="Q28" s="257"/>
      <c r="R28" s="257"/>
      <c r="S28" s="257"/>
      <c r="T28" s="257"/>
      <c r="U28" s="257"/>
      <c r="V28" s="257"/>
      <c r="W28" s="257"/>
      <c r="X28" s="257"/>
      <c r="Y28" s="257"/>
      <c r="Z28" s="257"/>
      <c r="AA28" s="257"/>
      <c r="AB28" s="257"/>
      <c r="AC28" s="257"/>
      <c r="AD28" s="257"/>
      <c r="AE28" s="257"/>
      <c r="AF28" s="258"/>
      <c r="AG28" s="258"/>
      <c r="AH28" s="258"/>
      <c r="AI28" s="258"/>
      <c r="AJ28" s="258"/>
      <c r="AK28" s="258"/>
      <c r="AL28" s="258"/>
      <c r="AM28" s="258"/>
      <c r="AN28" s="258"/>
      <c r="AO28" s="258"/>
      <c r="AP28" s="258"/>
      <c r="AQ28" s="258"/>
      <c r="AR28" s="258"/>
      <c r="AS28" s="258"/>
      <c r="AT28" s="258"/>
      <c r="AU28" s="258"/>
      <c r="AV28" s="258"/>
      <c r="AW28" s="258"/>
      <c r="AX28" s="258"/>
      <c r="AY28" s="258"/>
      <c r="AZ28" s="258"/>
      <c r="BA28" s="258"/>
      <c r="BB28" s="258"/>
      <c r="BC28" s="258"/>
      <c r="BD28" s="258"/>
    </row>
    <row r="29" spans="1:56" ht="15">
      <c r="A29" s="253"/>
      <c r="B29" s="253"/>
      <c r="C29" s="253"/>
      <c r="D29" s="253"/>
      <c r="E29" s="253"/>
      <c r="F29" s="254"/>
      <c r="G29" s="255"/>
      <c r="H29" s="255"/>
      <c r="K29" s="257"/>
      <c r="L29" s="257"/>
      <c r="M29" s="257"/>
      <c r="N29" s="257"/>
      <c r="O29" s="257"/>
      <c r="P29" s="257"/>
      <c r="Q29" s="257"/>
      <c r="R29" s="257"/>
      <c r="S29" s="257"/>
      <c r="T29" s="257"/>
      <c r="U29" s="257"/>
      <c r="V29" s="257"/>
      <c r="W29" s="257"/>
      <c r="X29" s="257"/>
      <c r="Y29" s="257"/>
      <c r="Z29" s="257"/>
      <c r="AA29" s="257"/>
      <c r="AB29" s="257"/>
      <c r="AC29" s="257"/>
      <c r="AD29" s="257"/>
      <c r="AE29" s="257"/>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8"/>
      <c r="BB29" s="258"/>
      <c r="BC29" s="258"/>
      <c r="BD29" s="258"/>
    </row>
    <row r="30" spans="1:56" ht="15">
      <c r="A30" s="253"/>
      <c r="B30" s="253"/>
      <c r="C30" s="253"/>
      <c r="D30" s="253"/>
      <c r="E30" s="253"/>
      <c r="F30" s="254"/>
      <c r="G30" s="255"/>
      <c r="H30" s="255"/>
      <c r="K30" s="257"/>
      <c r="L30" s="257"/>
      <c r="M30" s="257"/>
      <c r="N30" s="257"/>
      <c r="O30" s="257"/>
      <c r="P30" s="257"/>
      <c r="Q30" s="257"/>
      <c r="R30" s="257"/>
      <c r="S30" s="257"/>
      <c r="T30" s="257"/>
      <c r="U30" s="257"/>
      <c r="V30" s="257"/>
      <c r="W30" s="257"/>
      <c r="X30" s="257"/>
      <c r="Y30" s="257"/>
      <c r="Z30" s="257"/>
      <c r="AA30" s="257"/>
      <c r="AB30" s="257"/>
      <c r="AC30" s="257"/>
      <c r="AD30" s="257"/>
      <c r="AE30" s="257"/>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row>
    <row r="31" spans="1:56" ht="15">
      <c r="A31" s="253"/>
      <c r="B31" s="253"/>
      <c r="C31" s="253"/>
      <c r="D31" s="253"/>
      <c r="E31" s="253"/>
      <c r="F31" s="254"/>
      <c r="G31" s="255"/>
      <c r="H31" s="255"/>
      <c r="K31" s="257"/>
      <c r="L31" s="257"/>
      <c r="M31" s="257"/>
      <c r="N31" s="257"/>
      <c r="O31" s="257"/>
      <c r="P31" s="257"/>
      <c r="Q31" s="257"/>
      <c r="R31" s="257"/>
      <c r="S31" s="257"/>
      <c r="T31" s="257"/>
      <c r="U31" s="257"/>
      <c r="V31" s="257"/>
      <c r="W31" s="257"/>
      <c r="X31" s="257"/>
      <c r="Y31" s="257"/>
      <c r="Z31" s="257"/>
      <c r="AA31" s="257"/>
      <c r="AB31" s="257"/>
      <c r="AC31" s="257"/>
      <c r="AD31" s="257"/>
      <c r="AE31" s="257"/>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row>
    <row r="32" spans="1:56" ht="15">
      <c r="A32" s="253"/>
      <c r="B32" s="253"/>
      <c r="C32" s="253"/>
      <c r="D32" s="253"/>
      <c r="E32" s="253"/>
      <c r="F32" s="254"/>
      <c r="G32" s="255"/>
      <c r="H32" s="255"/>
      <c r="K32" s="257"/>
      <c r="L32" s="257"/>
      <c r="M32" s="257"/>
      <c r="N32" s="257"/>
      <c r="O32" s="257"/>
      <c r="P32" s="257"/>
      <c r="Q32" s="257"/>
      <c r="R32" s="257"/>
      <c r="S32" s="257"/>
      <c r="T32" s="257"/>
      <c r="U32" s="257"/>
      <c r="V32" s="257"/>
      <c r="W32" s="257"/>
      <c r="X32" s="257"/>
      <c r="Y32" s="257"/>
      <c r="Z32" s="257"/>
      <c r="AA32" s="257"/>
      <c r="AB32" s="257"/>
      <c r="AC32" s="257"/>
      <c r="AD32" s="257"/>
      <c r="AE32" s="257"/>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row>
    <row r="33" spans="1:56" ht="15">
      <c r="A33" s="253"/>
      <c r="B33" s="253"/>
      <c r="C33" s="253"/>
      <c r="D33" s="253"/>
      <c r="E33" s="253"/>
      <c r="F33" s="254"/>
      <c r="G33" s="255"/>
      <c r="H33" s="255"/>
      <c r="K33" s="257"/>
      <c r="L33" s="257"/>
      <c r="M33" s="257"/>
      <c r="N33" s="257"/>
      <c r="O33" s="257"/>
      <c r="P33" s="257"/>
      <c r="Q33" s="257"/>
      <c r="R33" s="257"/>
      <c r="S33" s="257"/>
      <c r="T33" s="257"/>
      <c r="U33" s="257"/>
      <c r="V33" s="257"/>
      <c r="W33" s="257"/>
      <c r="X33" s="257"/>
      <c r="Y33" s="257"/>
      <c r="Z33" s="257"/>
      <c r="AA33" s="257"/>
      <c r="AB33" s="257"/>
      <c r="AC33" s="257"/>
      <c r="AD33" s="257"/>
      <c r="AE33" s="257"/>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row>
    <row r="34" spans="1:56" ht="15">
      <c r="A34" s="253"/>
      <c r="B34" s="253"/>
      <c r="C34" s="253"/>
      <c r="D34" s="253"/>
      <c r="E34" s="253"/>
      <c r="F34" s="254"/>
      <c r="G34" s="255"/>
      <c r="H34" s="255"/>
      <c r="K34" s="257"/>
      <c r="L34" s="257"/>
      <c r="M34" s="257"/>
      <c r="N34" s="257"/>
      <c r="O34" s="257"/>
      <c r="P34" s="257"/>
      <c r="Q34" s="257"/>
      <c r="R34" s="257"/>
      <c r="S34" s="257"/>
      <c r="T34" s="257"/>
      <c r="U34" s="257"/>
      <c r="V34" s="257"/>
      <c r="W34" s="257"/>
      <c r="X34" s="257"/>
      <c r="Y34" s="257"/>
      <c r="Z34" s="257"/>
      <c r="AA34" s="257"/>
      <c r="AB34" s="257"/>
      <c r="AC34" s="257"/>
      <c r="AD34" s="257"/>
      <c r="AE34" s="257"/>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row>
    <row r="35" spans="1:56" ht="15">
      <c r="A35" s="253"/>
      <c r="B35" s="253"/>
      <c r="C35" s="253"/>
      <c r="D35" s="253"/>
      <c r="E35" s="253"/>
      <c r="F35" s="254"/>
      <c r="G35" s="255"/>
      <c r="H35" s="255"/>
      <c r="K35" s="257"/>
      <c r="L35" s="257"/>
      <c r="M35" s="257"/>
      <c r="N35" s="257"/>
      <c r="O35" s="257"/>
      <c r="P35" s="257"/>
      <c r="Q35" s="257"/>
      <c r="R35" s="257"/>
      <c r="S35" s="257"/>
      <c r="T35" s="257"/>
      <c r="U35" s="257"/>
      <c r="V35" s="257"/>
      <c r="W35" s="257"/>
      <c r="X35" s="257"/>
      <c r="Y35" s="257"/>
      <c r="Z35" s="257"/>
      <c r="AA35" s="257"/>
      <c r="AB35" s="257"/>
      <c r="AC35" s="257"/>
      <c r="AD35" s="257"/>
      <c r="AE35" s="257"/>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row>
    <row r="36" spans="1:56" ht="15">
      <c r="A36" s="253"/>
      <c r="B36" s="253"/>
      <c r="C36" s="253"/>
      <c r="D36" s="253"/>
      <c r="E36" s="253"/>
      <c r="F36" s="254"/>
      <c r="G36" s="255"/>
      <c r="H36" s="255"/>
      <c r="K36" s="257"/>
      <c r="L36" s="257"/>
      <c r="M36" s="257"/>
      <c r="N36" s="257"/>
      <c r="O36" s="257"/>
      <c r="P36" s="257"/>
      <c r="Q36" s="257"/>
      <c r="R36" s="257"/>
      <c r="S36" s="257"/>
      <c r="T36" s="257"/>
      <c r="U36" s="257"/>
      <c r="V36" s="257"/>
      <c r="W36" s="257"/>
      <c r="X36" s="257"/>
      <c r="Y36" s="257"/>
      <c r="Z36" s="257"/>
      <c r="AA36" s="257"/>
      <c r="AB36" s="257"/>
      <c r="AC36" s="257"/>
      <c r="AD36" s="257"/>
      <c r="AE36" s="257"/>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row>
    <row r="37" spans="1:56" ht="15">
      <c r="A37" s="253"/>
      <c r="B37" s="253"/>
      <c r="C37" s="253"/>
      <c r="D37" s="253"/>
      <c r="E37" s="253"/>
      <c r="F37" s="254"/>
      <c r="G37" s="255"/>
      <c r="H37" s="255"/>
      <c r="K37" s="257"/>
      <c r="L37" s="257"/>
      <c r="M37" s="257"/>
      <c r="N37" s="257"/>
      <c r="O37" s="257"/>
      <c r="P37" s="257"/>
      <c r="Q37" s="257"/>
      <c r="R37" s="257"/>
      <c r="S37" s="257"/>
      <c r="T37" s="257"/>
      <c r="U37" s="257"/>
      <c r="V37" s="257"/>
      <c r="W37" s="257"/>
      <c r="X37" s="257"/>
      <c r="Y37" s="257"/>
      <c r="Z37" s="257"/>
      <c r="AA37" s="257"/>
      <c r="AB37" s="257"/>
      <c r="AC37" s="257"/>
      <c r="AD37" s="257"/>
      <c r="AE37" s="257"/>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row>
    <row r="38" spans="1:56" ht="15">
      <c r="A38" s="253"/>
      <c r="B38" s="253"/>
      <c r="C38" s="253"/>
      <c r="D38" s="253"/>
      <c r="E38" s="253"/>
      <c r="F38" s="254"/>
      <c r="G38" s="255"/>
      <c r="H38" s="255"/>
      <c r="K38" s="257"/>
      <c r="L38" s="257"/>
      <c r="M38" s="257"/>
      <c r="N38" s="257"/>
      <c r="O38" s="257"/>
      <c r="P38" s="257"/>
      <c r="Q38" s="257"/>
      <c r="R38" s="257"/>
      <c r="S38" s="257"/>
      <c r="T38" s="257"/>
      <c r="U38" s="257"/>
      <c r="V38" s="257"/>
      <c r="W38" s="257"/>
      <c r="X38" s="257"/>
      <c r="Y38" s="257"/>
      <c r="Z38" s="257"/>
      <c r="AA38" s="257"/>
      <c r="AB38" s="257"/>
      <c r="AC38" s="257"/>
      <c r="AD38" s="257"/>
      <c r="AE38" s="257"/>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row>
    <row r="39" spans="1:56" ht="15">
      <c r="A39" s="253"/>
      <c r="B39" s="253"/>
      <c r="C39" s="253"/>
      <c r="D39" s="253"/>
      <c r="E39" s="253"/>
      <c r="F39" s="254"/>
      <c r="G39" s="255"/>
      <c r="H39" s="255"/>
      <c r="K39" s="257"/>
      <c r="L39" s="257"/>
      <c r="M39" s="257"/>
      <c r="N39" s="257"/>
      <c r="O39" s="257"/>
      <c r="P39" s="257"/>
      <c r="Q39" s="257"/>
      <c r="R39" s="257"/>
      <c r="S39" s="257"/>
      <c r="T39" s="257"/>
      <c r="U39" s="257"/>
      <c r="V39" s="257"/>
      <c r="W39" s="257"/>
      <c r="X39" s="257"/>
      <c r="Y39" s="257"/>
      <c r="Z39" s="257"/>
      <c r="AA39" s="257"/>
      <c r="AB39" s="257"/>
      <c r="AC39" s="257"/>
      <c r="AD39" s="257"/>
      <c r="AE39" s="257"/>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row>
    <row r="40" spans="1:56" ht="15">
      <c r="A40" s="253"/>
      <c r="B40" s="253"/>
      <c r="C40" s="253"/>
      <c r="D40" s="253"/>
      <c r="E40" s="253"/>
      <c r="F40" s="254"/>
      <c r="G40" s="255"/>
      <c r="H40" s="255"/>
      <c r="K40" s="257"/>
      <c r="L40" s="257"/>
      <c r="M40" s="257"/>
      <c r="N40" s="257"/>
      <c r="O40" s="257"/>
      <c r="P40" s="257"/>
      <c r="Q40" s="257"/>
      <c r="R40" s="257"/>
      <c r="S40" s="257"/>
      <c r="T40" s="257"/>
      <c r="U40" s="257"/>
      <c r="V40" s="257"/>
      <c r="W40" s="257"/>
      <c r="X40" s="257"/>
      <c r="Y40" s="257"/>
      <c r="Z40" s="257"/>
      <c r="AA40" s="257"/>
      <c r="AB40" s="257"/>
      <c r="AC40" s="257"/>
      <c r="AD40" s="257"/>
      <c r="AE40" s="257"/>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row>
    <row r="41" spans="1:56" ht="15">
      <c r="A41" s="253"/>
      <c r="B41" s="253"/>
      <c r="C41" s="253"/>
      <c r="D41" s="253"/>
      <c r="E41" s="253"/>
      <c r="F41" s="254"/>
      <c r="G41" s="255"/>
      <c r="H41" s="255"/>
      <c r="K41" s="257"/>
      <c r="L41" s="257"/>
      <c r="M41" s="257"/>
      <c r="N41" s="257"/>
      <c r="O41" s="257"/>
      <c r="P41" s="257"/>
      <c r="Q41" s="257"/>
      <c r="R41" s="257"/>
      <c r="S41" s="257"/>
      <c r="T41" s="257"/>
      <c r="U41" s="257"/>
      <c r="V41" s="257"/>
      <c r="W41" s="257"/>
      <c r="X41" s="257"/>
      <c r="Y41" s="257"/>
      <c r="Z41" s="257"/>
      <c r="AA41" s="257"/>
      <c r="AB41" s="257"/>
      <c r="AC41" s="257"/>
      <c r="AD41" s="257"/>
      <c r="AE41" s="257"/>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row>
    <row r="42" spans="1:56" ht="15">
      <c r="A42" s="253"/>
      <c r="B42" s="253"/>
      <c r="C42" s="253"/>
      <c r="D42" s="253"/>
      <c r="E42" s="253"/>
      <c r="F42" s="254"/>
      <c r="G42" s="255"/>
      <c r="H42" s="255"/>
      <c r="K42" s="257"/>
      <c r="L42" s="257"/>
      <c r="M42" s="257"/>
      <c r="N42" s="257"/>
      <c r="O42" s="257"/>
      <c r="P42" s="257"/>
      <c r="Q42" s="257"/>
      <c r="R42" s="257"/>
      <c r="S42" s="257"/>
      <c r="T42" s="257"/>
      <c r="U42" s="257"/>
      <c r="V42" s="257"/>
      <c r="W42" s="257"/>
      <c r="X42" s="257"/>
      <c r="Y42" s="257"/>
      <c r="Z42" s="257"/>
      <c r="AA42" s="257"/>
      <c r="AB42" s="257"/>
      <c r="AC42" s="257"/>
      <c r="AD42" s="257"/>
      <c r="AE42" s="257"/>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row>
    <row r="43" spans="1:56" ht="15">
      <c r="A43" s="253"/>
      <c r="B43" s="253"/>
      <c r="C43" s="253"/>
      <c r="D43" s="253"/>
      <c r="E43" s="253"/>
      <c r="F43" s="254"/>
      <c r="G43" s="255"/>
      <c r="H43" s="255"/>
      <c r="K43" s="257"/>
      <c r="L43" s="257"/>
      <c r="M43" s="257"/>
      <c r="N43" s="257"/>
      <c r="O43" s="257"/>
      <c r="P43" s="257"/>
      <c r="Q43" s="257"/>
      <c r="R43" s="257"/>
      <c r="S43" s="257"/>
      <c r="T43" s="257"/>
      <c r="U43" s="257"/>
      <c r="V43" s="257"/>
      <c r="W43" s="257"/>
      <c r="X43" s="257"/>
      <c r="Y43" s="257"/>
      <c r="Z43" s="257"/>
      <c r="AA43" s="257"/>
      <c r="AB43" s="257"/>
      <c r="AC43" s="257"/>
      <c r="AD43" s="257"/>
      <c r="AE43" s="257"/>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row>
    <row r="44" spans="1:56" ht="15">
      <c r="A44" s="253"/>
      <c r="B44" s="253"/>
      <c r="C44" s="253"/>
      <c r="D44" s="253"/>
      <c r="E44" s="253"/>
      <c r="F44" s="254"/>
      <c r="G44" s="255"/>
      <c r="H44" s="255"/>
      <c r="K44" s="257"/>
      <c r="L44" s="257"/>
      <c r="M44" s="257"/>
      <c r="N44" s="257"/>
      <c r="O44" s="257"/>
      <c r="P44" s="257"/>
      <c r="Q44" s="257"/>
      <c r="R44" s="257"/>
      <c r="S44" s="257"/>
      <c r="T44" s="257"/>
      <c r="U44" s="257"/>
      <c r="V44" s="257"/>
      <c r="W44" s="257"/>
      <c r="X44" s="257"/>
      <c r="Y44" s="257"/>
      <c r="Z44" s="257"/>
      <c r="AA44" s="257"/>
      <c r="AB44" s="257"/>
      <c r="AC44" s="257"/>
      <c r="AD44" s="257"/>
      <c r="AE44" s="257"/>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row>
    <row r="45" spans="1:56" ht="15">
      <c r="A45" s="253"/>
      <c r="B45" s="253"/>
      <c r="C45" s="253"/>
      <c r="D45" s="253"/>
      <c r="E45" s="253"/>
      <c r="F45" s="254"/>
      <c r="G45" s="255"/>
      <c r="H45" s="255"/>
      <c r="K45" s="257"/>
      <c r="L45" s="257"/>
      <c r="M45" s="257"/>
      <c r="N45" s="257"/>
      <c r="O45" s="257"/>
      <c r="P45" s="257"/>
      <c r="Q45" s="257"/>
      <c r="R45" s="257"/>
      <c r="S45" s="257"/>
      <c r="T45" s="257"/>
      <c r="U45" s="257"/>
      <c r="V45" s="257"/>
      <c r="W45" s="257"/>
      <c r="X45" s="257"/>
      <c r="Y45" s="257"/>
      <c r="Z45" s="257"/>
      <c r="AA45" s="257"/>
      <c r="AB45" s="257"/>
      <c r="AC45" s="257"/>
      <c r="AD45" s="257"/>
      <c r="AE45" s="257"/>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row>
    <row r="46" spans="1:56" ht="15">
      <c r="A46" s="253"/>
      <c r="B46" s="253"/>
      <c r="C46" s="253"/>
      <c r="D46" s="253"/>
      <c r="E46" s="253"/>
      <c r="F46" s="254"/>
      <c r="G46" s="255"/>
      <c r="H46" s="255"/>
      <c r="K46" s="257"/>
      <c r="L46" s="257"/>
      <c r="M46" s="257"/>
      <c r="N46" s="257"/>
      <c r="O46" s="257"/>
      <c r="P46" s="257"/>
      <c r="Q46" s="257"/>
      <c r="R46" s="257"/>
      <c r="S46" s="257"/>
      <c r="T46" s="257"/>
      <c r="U46" s="257"/>
      <c r="V46" s="257"/>
      <c r="W46" s="257"/>
      <c r="X46" s="257"/>
      <c r="Y46" s="257"/>
      <c r="Z46" s="257"/>
      <c r="AA46" s="257"/>
      <c r="AB46" s="257"/>
      <c r="AC46" s="257"/>
      <c r="AD46" s="257"/>
      <c r="AE46" s="257"/>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row>
    <row r="47" spans="1:56" ht="15">
      <c r="A47" s="253"/>
      <c r="B47" s="253"/>
      <c r="C47" s="253"/>
      <c r="D47" s="253"/>
      <c r="E47" s="253"/>
      <c r="F47" s="254"/>
      <c r="G47" s="255"/>
      <c r="H47" s="255"/>
      <c r="K47" s="257"/>
      <c r="L47" s="257"/>
      <c r="M47" s="257"/>
      <c r="N47" s="257"/>
      <c r="O47" s="257"/>
      <c r="P47" s="257"/>
      <c r="Q47" s="257"/>
      <c r="R47" s="257"/>
      <c r="S47" s="257"/>
      <c r="T47" s="257"/>
      <c r="U47" s="257"/>
      <c r="V47" s="257"/>
      <c r="W47" s="257"/>
      <c r="X47" s="257"/>
      <c r="Y47" s="257"/>
      <c r="Z47" s="257"/>
      <c r="AA47" s="257"/>
      <c r="AB47" s="257"/>
      <c r="AC47" s="257"/>
      <c r="AD47" s="257"/>
      <c r="AE47" s="257"/>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row>
    <row r="48" spans="1:56" ht="15">
      <c r="A48" s="253"/>
      <c r="B48" s="253"/>
      <c r="C48" s="253"/>
      <c r="D48" s="253"/>
      <c r="E48" s="253"/>
      <c r="F48" s="254"/>
      <c r="G48" s="255"/>
      <c r="H48" s="255"/>
      <c r="K48" s="257"/>
      <c r="L48" s="257"/>
      <c r="M48" s="257"/>
      <c r="N48" s="257"/>
      <c r="O48" s="257"/>
      <c r="P48" s="257"/>
      <c r="Q48" s="257"/>
      <c r="R48" s="257"/>
      <c r="S48" s="257"/>
      <c r="T48" s="257"/>
      <c r="U48" s="257"/>
      <c r="V48" s="257"/>
      <c r="W48" s="257"/>
      <c r="X48" s="257"/>
      <c r="Y48" s="257"/>
      <c r="Z48" s="257"/>
      <c r="AA48" s="257"/>
      <c r="AB48" s="257"/>
      <c r="AC48" s="257"/>
      <c r="AD48" s="257"/>
      <c r="AE48" s="257"/>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row>
    <row r="49" spans="1:56" ht="15">
      <c r="A49" s="253"/>
      <c r="B49" s="253"/>
      <c r="C49" s="253"/>
      <c r="D49" s="253"/>
      <c r="E49" s="253"/>
      <c r="F49" s="254"/>
      <c r="G49" s="255"/>
      <c r="H49" s="255"/>
      <c r="K49" s="257"/>
      <c r="L49" s="257"/>
      <c r="M49" s="257"/>
      <c r="N49" s="257"/>
      <c r="O49" s="257"/>
      <c r="P49" s="257"/>
      <c r="Q49" s="257"/>
      <c r="R49" s="257"/>
      <c r="S49" s="257"/>
      <c r="T49" s="257"/>
      <c r="U49" s="257"/>
      <c r="V49" s="257"/>
      <c r="W49" s="257"/>
      <c r="X49" s="257"/>
      <c r="Y49" s="257"/>
      <c r="Z49" s="257"/>
      <c r="AA49" s="257"/>
      <c r="AB49" s="257"/>
      <c r="AC49" s="257"/>
      <c r="AD49" s="257"/>
      <c r="AE49" s="257"/>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row>
    <row r="50" spans="1:56" ht="15">
      <c r="A50" s="253"/>
      <c r="B50" s="253"/>
      <c r="C50" s="253"/>
      <c r="D50" s="253"/>
      <c r="E50" s="253"/>
      <c r="F50" s="254"/>
      <c r="G50" s="255"/>
      <c r="H50" s="255"/>
      <c r="K50" s="257"/>
      <c r="L50" s="257"/>
      <c r="M50" s="257"/>
      <c r="N50" s="257"/>
      <c r="O50" s="257"/>
      <c r="P50" s="257"/>
      <c r="Q50" s="257"/>
      <c r="R50" s="257"/>
      <c r="S50" s="257"/>
      <c r="T50" s="257"/>
      <c r="U50" s="257"/>
      <c r="V50" s="257"/>
      <c r="W50" s="257"/>
      <c r="X50" s="257"/>
      <c r="Y50" s="257"/>
      <c r="Z50" s="257"/>
      <c r="AA50" s="257"/>
      <c r="AB50" s="257"/>
      <c r="AC50" s="257"/>
      <c r="AD50" s="257"/>
      <c r="AE50" s="257"/>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row>
    <row r="51" spans="1:56" ht="15">
      <c r="A51" s="253"/>
      <c r="B51" s="253"/>
      <c r="C51" s="253"/>
      <c r="D51" s="253"/>
      <c r="E51" s="253"/>
      <c r="F51" s="254"/>
      <c r="G51" s="255"/>
      <c r="H51" s="255"/>
      <c r="K51" s="257"/>
      <c r="L51" s="257"/>
      <c r="M51" s="257"/>
      <c r="N51" s="257"/>
      <c r="O51" s="257"/>
      <c r="P51" s="257"/>
      <c r="Q51" s="257"/>
      <c r="R51" s="257"/>
      <c r="S51" s="257"/>
      <c r="T51" s="257"/>
      <c r="U51" s="257"/>
      <c r="V51" s="257"/>
      <c r="W51" s="257"/>
      <c r="X51" s="257"/>
      <c r="Y51" s="257"/>
      <c r="Z51" s="257"/>
      <c r="AA51" s="257"/>
      <c r="AB51" s="257"/>
      <c r="AC51" s="257"/>
      <c r="AD51" s="257"/>
      <c r="AE51" s="257"/>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row>
    <row r="52" spans="1:56" ht="15">
      <c r="A52" s="253"/>
      <c r="B52" s="253"/>
      <c r="C52" s="253"/>
      <c r="D52" s="253"/>
      <c r="E52" s="253"/>
      <c r="F52" s="254"/>
      <c r="G52" s="255"/>
      <c r="H52" s="255"/>
      <c r="K52" s="257"/>
      <c r="L52" s="257"/>
      <c r="M52" s="257"/>
      <c r="N52" s="257"/>
      <c r="O52" s="257"/>
      <c r="P52" s="257"/>
      <c r="Q52" s="257"/>
      <c r="R52" s="257"/>
      <c r="S52" s="257"/>
      <c r="T52" s="257"/>
      <c r="U52" s="257"/>
      <c r="V52" s="257"/>
      <c r="W52" s="257"/>
      <c r="X52" s="257"/>
      <c r="Y52" s="257"/>
      <c r="Z52" s="257"/>
      <c r="AA52" s="257"/>
      <c r="AB52" s="257"/>
      <c r="AC52" s="257"/>
      <c r="AD52" s="257"/>
      <c r="AE52" s="257"/>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row>
    <row r="53" spans="1:56" ht="15">
      <c r="A53" s="253"/>
      <c r="B53" s="253"/>
      <c r="C53" s="253"/>
      <c r="D53" s="253"/>
      <c r="E53" s="253"/>
      <c r="F53" s="254"/>
      <c r="G53" s="255"/>
      <c r="H53" s="255"/>
      <c r="K53" s="257"/>
      <c r="L53" s="257"/>
      <c r="M53" s="257"/>
      <c r="N53" s="257"/>
      <c r="O53" s="257"/>
      <c r="P53" s="257"/>
      <c r="Q53" s="257"/>
      <c r="R53" s="257"/>
      <c r="S53" s="257"/>
      <c r="T53" s="257"/>
      <c r="U53" s="257"/>
      <c r="V53" s="257"/>
      <c r="W53" s="257"/>
      <c r="X53" s="257"/>
      <c r="Y53" s="257"/>
      <c r="Z53" s="257"/>
      <c r="AA53" s="257"/>
      <c r="AB53" s="257"/>
      <c r="AC53" s="257"/>
      <c r="AD53" s="257"/>
      <c r="AE53" s="257"/>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row>
    <row r="54" spans="1:56" ht="15">
      <c r="A54" s="253"/>
      <c r="B54" s="253"/>
      <c r="C54" s="253"/>
      <c r="D54" s="253"/>
      <c r="E54" s="253"/>
      <c r="F54" s="254"/>
      <c r="G54" s="255"/>
      <c r="H54" s="255"/>
      <c r="K54" s="257"/>
      <c r="L54" s="257"/>
      <c r="M54" s="257"/>
      <c r="N54" s="257"/>
      <c r="O54" s="257"/>
      <c r="P54" s="257"/>
      <c r="Q54" s="257"/>
      <c r="R54" s="257"/>
      <c r="S54" s="257"/>
      <c r="T54" s="257"/>
      <c r="U54" s="257"/>
      <c r="V54" s="257"/>
      <c r="W54" s="257"/>
      <c r="X54" s="257"/>
      <c r="Y54" s="257"/>
      <c r="Z54" s="257"/>
      <c r="AA54" s="257"/>
      <c r="AB54" s="257"/>
      <c r="AC54" s="257"/>
      <c r="AD54" s="257"/>
      <c r="AE54" s="257"/>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156"/>
  <sheetViews>
    <sheetView tabSelected="1" workbookViewId="0">
      <selection activeCell="A7" sqref="A7:B10"/>
    </sheetView>
  </sheetViews>
  <sheetFormatPr defaultRowHeight="12.75"/>
  <cols>
    <col min="1" max="1" width="35" style="7" customWidth="1"/>
    <col min="2" max="2" width="30.140625" style="7" customWidth="1"/>
    <col min="3" max="3" width="59" style="7" customWidth="1"/>
    <col min="4" max="4" width="26.5703125" style="7" customWidth="1"/>
    <col min="5" max="5" width="15.140625" style="7" bestFit="1" customWidth="1"/>
    <col min="6" max="7" width="12.5703125" style="7" bestFit="1" customWidth="1"/>
    <col min="8" max="27" width="9.140625" style="7"/>
    <col min="28" max="28" width="21.7109375" style="7" customWidth="1"/>
    <col min="29" max="29" width="35.85546875" style="7" customWidth="1"/>
    <col min="30" max="30" width="35.28515625" style="7" customWidth="1"/>
    <col min="31" max="31" width="15" style="7" customWidth="1"/>
    <col min="32" max="32" width="17.7109375" style="7" customWidth="1"/>
    <col min="33" max="33" width="15.140625" style="7" customWidth="1"/>
    <col min="34" max="34" width="15.7109375" style="7" customWidth="1"/>
    <col min="35" max="35" width="21.28515625" style="7" customWidth="1"/>
    <col min="36" max="36" width="17.7109375" style="7" bestFit="1" customWidth="1"/>
    <col min="37" max="37" width="15.42578125" style="7" bestFit="1" customWidth="1"/>
    <col min="38" max="38" width="14.28515625" style="7" bestFit="1" customWidth="1"/>
    <col min="39" max="39" width="14.28515625" style="7" customWidth="1"/>
    <col min="40" max="40" width="12.5703125" style="7" customWidth="1"/>
    <col min="41" max="41" width="14" style="7" bestFit="1" customWidth="1"/>
    <col min="42" max="43" width="10.85546875" style="7" bestFit="1" customWidth="1"/>
    <col min="44" max="44" width="13.42578125" style="7" customWidth="1"/>
    <col min="45" max="45" width="11.85546875" style="7" bestFit="1" customWidth="1"/>
    <col min="46" max="46" width="11" style="7" bestFit="1" customWidth="1"/>
    <col min="47" max="47" width="14.28515625" style="7" bestFit="1" customWidth="1"/>
    <col min="48" max="48" width="10.7109375" style="7" customWidth="1"/>
    <col min="49" max="49" width="13.85546875" style="7" bestFit="1" customWidth="1"/>
    <col min="50" max="50" width="11.7109375" style="7" bestFit="1" customWidth="1"/>
    <col min="51" max="51" width="15.28515625" style="7" bestFit="1" customWidth="1"/>
    <col min="52" max="54" width="12.28515625" style="7" bestFit="1" customWidth="1"/>
    <col min="55" max="55" width="12.5703125" style="7" bestFit="1" customWidth="1"/>
    <col min="56" max="58" width="14.28515625" style="7" bestFit="1" customWidth="1"/>
    <col min="59" max="59" width="13.7109375" style="7" bestFit="1" customWidth="1"/>
    <col min="60" max="60" width="14" style="7" bestFit="1" customWidth="1"/>
    <col min="61" max="61" width="12.85546875" style="7" bestFit="1" customWidth="1"/>
    <col min="62" max="62" width="15.28515625" style="7" bestFit="1" customWidth="1"/>
    <col min="63" max="63" width="12.28515625" style="7" bestFit="1" customWidth="1"/>
    <col min="64" max="64" width="10.85546875" style="7" bestFit="1" customWidth="1"/>
    <col min="65" max="65" width="12.28515625" style="7" bestFit="1" customWidth="1"/>
    <col min="66" max="66" width="12.5703125" style="7" bestFit="1" customWidth="1"/>
    <col min="67" max="16384" width="9.140625" style="7"/>
  </cols>
  <sheetData>
    <row r="1" spans="1:68">
      <c r="A1" s="38" t="s">
        <v>24</v>
      </c>
      <c r="B1" s="288" t="s">
        <v>25</v>
      </c>
      <c r="C1" s="288"/>
      <c r="D1" s="288"/>
      <c r="E1" s="288"/>
      <c r="F1" s="288"/>
      <c r="G1" s="288"/>
      <c r="H1" s="288"/>
      <c r="I1" s="288"/>
      <c r="J1" s="288"/>
      <c r="K1" s="288"/>
      <c r="L1" s="288"/>
      <c r="M1" s="288"/>
      <c r="N1" s="288"/>
      <c r="O1" s="288"/>
      <c r="P1" s="288"/>
      <c r="Q1" s="288"/>
      <c r="R1" s="288"/>
      <c r="S1" s="288"/>
    </row>
    <row r="2" spans="1:68">
      <c r="A2" s="39" t="s">
        <v>133</v>
      </c>
      <c r="B2" s="288"/>
      <c r="C2" s="288"/>
      <c r="D2" s="288"/>
      <c r="E2" s="288"/>
      <c r="F2" s="288"/>
      <c r="G2" s="288"/>
      <c r="H2" s="288"/>
      <c r="I2" s="288"/>
      <c r="J2" s="288"/>
      <c r="K2" s="288"/>
      <c r="L2" s="288"/>
      <c r="M2" s="288"/>
      <c r="N2" s="288"/>
      <c r="O2" s="288"/>
      <c r="P2" s="288"/>
      <c r="Q2" s="288"/>
      <c r="R2" s="288"/>
      <c r="S2" s="288"/>
    </row>
    <row r="3" spans="1:68">
      <c r="B3" s="288"/>
      <c r="C3" s="288"/>
      <c r="D3" s="288"/>
      <c r="E3" s="288"/>
      <c r="F3" s="288"/>
      <c r="G3" s="288"/>
      <c r="H3" s="288"/>
      <c r="I3" s="288"/>
      <c r="J3" s="288"/>
      <c r="K3" s="288"/>
      <c r="L3" s="288"/>
      <c r="M3" s="288"/>
      <c r="N3" s="288"/>
      <c r="O3" s="288"/>
      <c r="P3" s="288"/>
      <c r="Q3" s="288"/>
      <c r="R3" s="288"/>
      <c r="S3" s="288"/>
    </row>
    <row r="4" spans="1:68">
      <c r="B4" s="288"/>
      <c r="C4" s="288"/>
      <c r="D4" s="288"/>
      <c r="E4" s="288"/>
      <c r="F4" s="288"/>
      <c r="G4" s="288"/>
      <c r="H4" s="288"/>
      <c r="I4" s="288"/>
      <c r="J4" s="288"/>
      <c r="K4" s="288"/>
      <c r="L4" s="288"/>
      <c r="M4" s="288"/>
      <c r="N4" s="288"/>
      <c r="O4" s="288"/>
      <c r="P4" s="288"/>
      <c r="Q4" s="288"/>
      <c r="R4" s="288"/>
      <c r="S4" s="288"/>
    </row>
    <row r="5" spans="1:68">
      <c r="B5" s="288"/>
      <c r="C5" s="288"/>
      <c r="D5" s="288"/>
      <c r="E5" s="288"/>
      <c r="F5" s="288"/>
      <c r="G5" s="288"/>
      <c r="H5" s="288"/>
      <c r="I5" s="288"/>
      <c r="J5" s="288"/>
      <c r="K5" s="288"/>
      <c r="L5" s="288"/>
      <c r="M5" s="288"/>
      <c r="N5" s="288"/>
      <c r="O5" s="288"/>
      <c r="P5" s="288"/>
      <c r="Q5" s="288"/>
      <c r="R5" s="288"/>
      <c r="S5" s="288"/>
    </row>
    <row r="6" spans="1:68">
      <c r="B6" s="288"/>
      <c r="C6" s="288"/>
      <c r="D6" s="288"/>
      <c r="E6" s="288"/>
      <c r="F6" s="288"/>
      <c r="G6" s="288"/>
      <c r="H6" s="288"/>
      <c r="I6" s="288"/>
      <c r="J6" s="288"/>
      <c r="K6" s="288"/>
      <c r="L6" s="288"/>
      <c r="M6" s="288"/>
      <c r="N6" s="288"/>
      <c r="O6" s="288"/>
      <c r="P6" s="288"/>
      <c r="Q6" s="288"/>
      <c r="R6" s="288"/>
      <c r="S6" s="288"/>
    </row>
    <row r="7" spans="1:68">
      <c r="A7" s="343"/>
      <c r="B7" s="343" t="s">
        <v>23</v>
      </c>
      <c r="C7" s="47" t="s">
        <v>26</v>
      </c>
      <c r="D7" s="47" t="s">
        <v>128</v>
      </c>
    </row>
    <row r="8" spans="1:68">
      <c r="A8" s="343" t="s">
        <v>539</v>
      </c>
      <c r="B8" s="343" t="s">
        <v>27</v>
      </c>
      <c r="C8" s="47" t="s">
        <v>339</v>
      </c>
      <c r="D8" s="47" t="s">
        <v>107</v>
      </c>
    </row>
    <row r="9" spans="1:68">
      <c r="A9" s="343" t="str">
        <f>INDEX([3]ACHIEV!$A$19:$B$100,MATCH(CONCATENATE($C$8," - ",$C$7),[3]ACHIEV!$B$19:$B$100,0),1)</f>
        <v>Motors/Drives</v>
      </c>
      <c r="B9" s="344" t="s">
        <v>28</v>
      </c>
      <c r="C9" s="47">
        <f>[4]FILES!$H$4</f>
        <v>2035</v>
      </c>
      <c r="D9" s="48"/>
    </row>
    <row r="10" spans="1:68">
      <c r="A10" s="343"/>
      <c r="B10" s="343" t="s">
        <v>29</v>
      </c>
      <c r="C10" s="47"/>
      <c r="D10" s="49"/>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0" t="str">
        <f>CONCATENATE("# OF EXISTING PUMPS FOR MEASURE -",$C$8)</f>
        <v># OF EXISTING PUMPS FOR MEASURE -Irr Motor</v>
      </c>
      <c r="C11" s="7" t="s">
        <v>322</v>
      </c>
      <c r="E11" s="52">
        <v>2016</v>
      </c>
      <c r="F11" s="53">
        <v>2017</v>
      </c>
      <c r="G11" s="53">
        <v>2018</v>
      </c>
      <c r="H11" s="53">
        <v>2019</v>
      </c>
      <c r="I11" s="53">
        <v>2020</v>
      </c>
      <c r="J11" s="53">
        <v>2021</v>
      </c>
      <c r="K11" s="53">
        <v>2022</v>
      </c>
      <c r="L11" s="53">
        <v>2023</v>
      </c>
      <c r="M11" s="53">
        <v>2024</v>
      </c>
      <c r="N11" s="53">
        <v>2025</v>
      </c>
      <c r="O11" s="53">
        <v>2026</v>
      </c>
      <c r="P11" s="53">
        <v>2027</v>
      </c>
      <c r="Q11" s="53">
        <v>2028</v>
      </c>
      <c r="R11" s="53">
        <v>2029</v>
      </c>
      <c r="S11" s="53">
        <v>2030</v>
      </c>
      <c r="T11" s="53">
        <v>2031</v>
      </c>
      <c r="U11" s="53">
        <v>2032</v>
      </c>
      <c r="V11" s="53">
        <v>2033</v>
      </c>
      <c r="W11" s="53">
        <v>2034</v>
      </c>
      <c r="X11" s="53">
        <v>2035</v>
      </c>
      <c r="Y11" s="54"/>
      <c r="AA11" s="40"/>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55" t="str">
        <f>CONCATENATE("ACRES_",E11)</f>
        <v>ACRES_2016</v>
      </c>
      <c r="F12" s="55" t="str">
        <f t="shared" ref="F12:X12" si="0">CONCATENATE("ACRES_",F11)</f>
        <v>ACRES_2017</v>
      </c>
      <c r="G12" s="55" t="str">
        <f t="shared" si="0"/>
        <v>ACRES_2018</v>
      </c>
      <c r="H12" s="55" t="str">
        <f t="shared" si="0"/>
        <v>ACRES_2019</v>
      </c>
      <c r="I12" s="55" t="str">
        <f t="shared" si="0"/>
        <v>ACRES_2020</v>
      </c>
      <c r="J12" s="55" t="str">
        <f t="shared" si="0"/>
        <v>ACRES_2021</v>
      </c>
      <c r="K12" s="55" t="str">
        <f t="shared" si="0"/>
        <v>ACRES_2022</v>
      </c>
      <c r="L12" s="55" t="str">
        <f t="shared" si="0"/>
        <v>ACRES_2023</v>
      </c>
      <c r="M12" s="55" t="str">
        <f t="shared" si="0"/>
        <v>ACRES_2024</v>
      </c>
      <c r="N12" s="55" t="str">
        <f t="shared" si="0"/>
        <v>ACRES_2025</v>
      </c>
      <c r="O12" s="55" t="str">
        <f t="shared" si="0"/>
        <v>ACRES_2026</v>
      </c>
      <c r="P12" s="55" t="str">
        <f t="shared" si="0"/>
        <v>ACRES_2027</v>
      </c>
      <c r="Q12" s="55" t="str">
        <f t="shared" si="0"/>
        <v>ACRES_2028</v>
      </c>
      <c r="R12" s="55" t="str">
        <f t="shared" si="0"/>
        <v>ACRES_2029</v>
      </c>
      <c r="S12" s="55" t="str">
        <f t="shared" si="0"/>
        <v>ACRES_2030</v>
      </c>
      <c r="T12" s="55" t="str">
        <f t="shared" si="0"/>
        <v>ACRES_2031</v>
      </c>
      <c r="U12" s="55" t="str">
        <f t="shared" si="0"/>
        <v>ACRES_2032</v>
      </c>
      <c r="V12" s="55" t="str">
        <f t="shared" si="0"/>
        <v>ACRES_2033</v>
      </c>
      <c r="W12" s="55" t="str">
        <f t="shared" si="0"/>
        <v>ACRES_2034</v>
      </c>
      <c r="X12" s="55" t="str">
        <f t="shared" si="0"/>
        <v>ACRES_2035</v>
      </c>
      <c r="Y12" s="57"/>
      <c r="AA12" s="38"/>
    </row>
    <row r="13" spans="1:68">
      <c r="B13" s="32" t="str">
        <f>CONCATENATE(D13," ",C13)</f>
        <v>Idaho Wells</v>
      </c>
      <c r="C13" s="7" t="s">
        <v>312</v>
      </c>
      <c r="D13" s="7" t="s">
        <v>130</v>
      </c>
      <c r="E13" s="32">
        <f>VLOOKUP($D13,'[3]Depth of Wells'!A$33:C$36,3,FALSE)</f>
        <v>9141</v>
      </c>
      <c r="F13" s="32">
        <f t="shared" ref="F13:X13" si="1">E13*(1+VLOOKUP($D13,AgBase,F$11-$E$11+33,FALSE))</f>
        <v>9142.1429998003205</v>
      </c>
      <c r="G13" s="32">
        <f t="shared" si="1"/>
        <v>9143.7315275530364</v>
      </c>
      <c r="H13" s="32">
        <f t="shared" si="1"/>
        <v>9149.328490454689</v>
      </c>
      <c r="I13" s="32">
        <f t="shared" si="1"/>
        <v>9157.3915637726132</v>
      </c>
      <c r="J13" s="32">
        <f t="shared" si="1"/>
        <v>9167.6496483210121</v>
      </c>
      <c r="K13" s="32">
        <f t="shared" si="1"/>
        <v>9179.3089435447946</v>
      </c>
      <c r="L13" s="32">
        <f t="shared" si="1"/>
        <v>9192.531409925492</v>
      </c>
      <c r="M13" s="32">
        <f t="shared" si="1"/>
        <v>9207.1239986639739</v>
      </c>
      <c r="N13" s="32">
        <f t="shared" si="1"/>
        <v>9222.9645207870708</v>
      </c>
      <c r="O13" s="32">
        <f t="shared" si="1"/>
        <v>9239.8324467515777</v>
      </c>
      <c r="P13" s="32">
        <f t="shared" si="1"/>
        <v>9257.7369687974915</v>
      </c>
      <c r="Q13" s="32">
        <f t="shared" si="1"/>
        <v>9276.5450974258438</v>
      </c>
      <c r="R13" s="32">
        <f t="shared" si="1"/>
        <v>9296.2863229362265</v>
      </c>
      <c r="S13" s="32">
        <f t="shared" si="1"/>
        <v>9316.855818506976</v>
      </c>
      <c r="T13" s="32">
        <f t="shared" si="1"/>
        <v>9337.8916255912391</v>
      </c>
      <c r="U13" s="32">
        <f t="shared" si="1"/>
        <v>9359.8025589125918</v>
      </c>
      <c r="V13" s="32">
        <f t="shared" si="1"/>
        <v>9382.4014934022016</v>
      </c>
      <c r="W13" s="32">
        <f t="shared" si="1"/>
        <v>9405.7151791571578</v>
      </c>
      <c r="X13" s="32">
        <f t="shared" si="1"/>
        <v>9429.5531328138641</v>
      </c>
      <c r="Y13" s="32"/>
      <c r="AA13" s="41"/>
    </row>
    <row r="14" spans="1:68">
      <c r="B14" s="32" t="str">
        <f t="shared" ref="B14:B20" si="2">CONCATENATE(D14," ",C14)</f>
        <v>Montana Wells</v>
      </c>
      <c r="C14" s="7" t="s">
        <v>312</v>
      </c>
      <c r="D14" s="7" t="s">
        <v>129</v>
      </c>
      <c r="E14" s="32">
        <f>VLOOKUP($D14,'[3]Depth of Wells'!A$33:C$36,3,FALSE)</f>
        <v>1629</v>
      </c>
      <c r="F14" s="32">
        <f t="shared" ref="F14:X14" si="3">E14*(1+VLOOKUP($D14,AgBase,F$11-$E$11+33,FALSE))</f>
        <v>1646.6717867064392</v>
      </c>
      <c r="G14" s="32">
        <f t="shared" si="3"/>
        <v>1664.1144483311887</v>
      </c>
      <c r="H14" s="32">
        <f t="shared" si="3"/>
        <v>1682.0075262317623</v>
      </c>
      <c r="I14" s="32">
        <f t="shared" si="3"/>
        <v>1700.1034013755441</v>
      </c>
      <c r="J14" s="32">
        <f t="shared" si="3"/>
        <v>1713.1206504244681</v>
      </c>
      <c r="K14" s="32">
        <f t="shared" si="3"/>
        <v>1726.2315171574708</v>
      </c>
      <c r="L14" s="32">
        <f t="shared" si="3"/>
        <v>1739.9094299444964</v>
      </c>
      <c r="M14" s="32">
        <f t="shared" si="3"/>
        <v>1754.0825675379849</v>
      </c>
      <c r="N14" s="32">
        <f t="shared" si="3"/>
        <v>1768.6963283082848</v>
      </c>
      <c r="O14" s="32">
        <f t="shared" si="3"/>
        <v>1783.6795889194414</v>
      </c>
      <c r="P14" s="32">
        <f t="shared" si="3"/>
        <v>1799.0083288528767</v>
      </c>
      <c r="Q14" s="32">
        <f t="shared" si="3"/>
        <v>1814.6356005003195</v>
      </c>
      <c r="R14" s="32">
        <f t="shared" si="3"/>
        <v>1830.5464707399738</v>
      </c>
      <c r="S14" s="32">
        <f t="shared" si="3"/>
        <v>1846.7050463570879</v>
      </c>
      <c r="T14" s="32">
        <f t="shared" si="3"/>
        <v>1863.0217133978149</v>
      </c>
      <c r="U14" s="32">
        <f t="shared" si="3"/>
        <v>1879.567586668674</v>
      </c>
      <c r="V14" s="32">
        <f t="shared" si="3"/>
        <v>1896.2918014902357</v>
      </c>
      <c r="W14" s="32">
        <f t="shared" si="3"/>
        <v>1913.1913241804759</v>
      </c>
      <c r="X14" s="32">
        <f t="shared" si="3"/>
        <v>1930.2216459054555</v>
      </c>
      <c r="Y14" s="32"/>
      <c r="AA14" s="41"/>
    </row>
    <row r="15" spans="1:68">
      <c r="B15" s="32" t="str">
        <f t="shared" si="2"/>
        <v>Oregon Wells</v>
      </c>
      <c r="C15" s="7" t="s">
        <v>312</v>
      </c>
      <c r="D15" s="7" t="s">
        <v>131</v>
      </c>
      <c r="E15" s="32">
        <f>VLOOKUP($D15,'[3]Depth of Wells'!A$33:C$36,3,FALSE)</f>
        <v>8601</v>
      </c>
      <c r="F15" s="32">
        <f t="shared" ref="F15:X15" si="4">E15*(1+VLOOKUP($D15,AgBase,F$11-$E$11+33,FALSE))</f>
        <v>8687.9633578985231</v>
      </c>
      <c r="G15" s="32">
        <f t="shared" si="4"/>
        <v>8775.3574709918703</v>
      </c>
      <c r="H15" s="32">
        <f t="shared" si="4"/>
        <v>8873.4384659967527</v>
      </c>
      <c r="I15" s="32">
        <f t="shared" si="4"/>
        <v>9049.1600785252904</v>
      </c>
      <c r="J15" s="32">
        <f t="shared" si="4"/>
        <v>9158.463328083506</v>
      </c>
      <c r="K15" s="32">
        <f t="shared" si="4"/>
        <v>9269.0510164732223</v>
      </c>
      <c r="L15" s="32">
        <f t="shared" si="4"/>
        <v>9387.9081416444442</v>
      </c>
      <c r="M15" s="32">
        <f t="shared" si="4"/>
        <v>9501.1699312979854</v>
      </c>
      <c r="N15" s="32">
        <f t="shared" si="4"/>
        <v>9704.1133097443162</v>
      </c>
      <c r="O15" s="32">
        <f t="shared" si="4"/>
        <v>9819.2456240805532</v>
      </c>
      <c r="P15" s="32">
        <f t="shared" si="4"/>
        <v>9935.2286496567649</v>
      </c>
      <c r="Q15" s="32">
        <f t="shared" si="4"/>
        <v>10045.116880968701</v>
      </c>
      <c r="R15" s="32">
        <f t="shared" si="4"/>
        <v>10162.536273379201</v>
      </c>
      <c r="S15" s="32">
        <f t="shared" si="4"/>
        <v>10361.957801956713</v>
      </c>
      <c r="T15" s="32">
        <f t="shared" si="4"/>
        <v>10486.862449703831</v>
      </c>
      <c r="U15" s="32">
        <f t="shared" si="4"/>
        <v>10619.161862580253</v>
      </c>
      <c r="V15" s="32">
        <f t="shared" si="4"/>
        <v>10751.864019018643</v>
      </c>
      <c r="W15" s="32">
        <f t="shared" si="4"/>
        <v>10878.235148454221</v>
      </c>
      <c r="X15" s="32">
        <f t="shared" si="4"/>
        <v>11106.091367731122</v>
      </c>
      <c r="Y15" s="32"/>
      <c r="AA15" s="41"/>
    </row>
    <row r="16" spans="1:68">
      <c r="B16" s="32" t="str">
        <f t="shared" si="2"/>
        <v>Washington Wells</v>
      </c>
      <c r="C16" s="7" t="s">
        <v>312</v>
      </c>
      <c r="D16" s="7" t="s">
        <v>132</v>
      </c>
      <c r="E16" s="32">
        <f>VLOOKUP($D16,'[3]Depth of Wells'!A$33:C$36,3,FALSE)</f>
        <v>6771</v>
      </c>
      <c r="F16" s="32">
        <f t="shared" ref="F16:X16" si="5">E16*(1+VLOOKUP($D16,AgBase,F$11-$E$11+33,FALSE))</f>
        <v>6843.1932294583166</v>
      </c>
      <c r="G16" s="32">
        <f t="shared" si="5"/>
        <v>6917.9979463712789</v>
      </c>
      <c r="H16" s="32">
        <f t="shared" si="5"/>
        <v>6995.2980055865573</v>
      </c>
      <c r="I16" s="32">
        <f t="shared" si="5"/>
        <v>7122.0136252582533</v>
      </c>
      <c r="J16" s="32">
        <f t="shared" si="5"/>
        <v>7210.3265173790996</v>
      </c>
      <c r="K16" s="32">
        <f t="shared" si="5"/>
        <v>7296.4168278570842</v>
      </c>
      <c r="L16" s="32">
        <f t="shared" si="5"/>
        <v>7386.0772762941715</v>
      </c>
      <c r="M16" s="32">
        <f t="shared" si="5"/>
        <v>7473.5448745257117</v>
      </c>
      <c r="N16" s="32">
        <f t="shared" si="5"/>
        <v>7620.6403643238364</v>
      </c>
      <c r="O16" s="32">
        <f t="shared" si="5"/>
        <v>7708.9806181823324</v>
      </c>
      <c r="P16" s="32">
        <f t="shared" si="5"/>
        <v>7794.919131695684</v>
      </c>
      <c r="Q16" s="32">
        <f t="shared" si="5"/>
        <v>7883.9837609090273</v>
      </c>
      <c r="R16" s="32">
        <f t="shared" si="5"/>
        <v>7970.5957088307296</v>
      </c>
      <c r="S16" s="32">
        <f t="shared" si="5"/>
        <v>8113.5103102698904</v>
      </c>
      <c r="T16" s="32">
        <f t="shared" si="5"/>
        <v>8208.733351029925</v>
      </c>
      <c r="U16" s="32">
        <f t="shared" si="5"/>
        <v>8307.0911787157238</v>
      </c>
      <c r="V16" s="32">
        <f t="shared" si="5"/>
        <v>8405.6350790598372</v>
      </c>
      <c r="W16" s="32">
        <f t="shared" si="5"/>
        <v>8501.6109005924791</v>
      </c>
      <c r="X16" s="32">
        <f t="shared" si="5"/>
        <v>8661.7655873360618</v>
      </c>
      <c r="Y16" s="32"/>
      <c r="AA16" s="41"/>
    </row>
    <row r="17" spans="1:27">
      <c r="B17" s="32" t="str">
        <f t="shared" si="2"/>
        <v>Idaho River</v>
      </c>
      <c r="C17" s="7" t="s">
        <v>321</v>
      </c>
      <c r="D17" s="7" t="s">
        <v>130</v>
      </c>
      <c r="E17" s="32">
        <f>VLOOKUP($D17,'[3]Depth of Wells'!A$22:C$25,3,FALSE)</f>
        <v>11621</v>
      </c>
      <c r="F17" s="32">
        <f t="shared" ref="F17:X17" si="6">E17*(1+VLOOKUP($D17,AgBase,F$11-$E$11+33,FALSE))</f>
        <v>11622.453101485562</v>
      </c>
      <c r="G17" s="32">
        <f t="shared" si="6"/>
        <v>11624.47260493314</v>
      </c>
      <c r="H17" s="32">
        <f t="shared" si="6"/>
        <v>11631.588052464056</v>
      </c>
      <c r="I17" s="32">
        <f t="shared" si="6"/>
        <v>11641.838678766168</v>
      </c>
      <c r="J17" s="32">
        <f t="shared" si="6"/>
        <v>11654.879834059564</v>
      </c>
      <c r="K17" s="32">
        <f t="shared" si="6"/>
        <v>11669.702355643152</v>
      </c>
      <c r="L17" s="32">
        <f t="shared" si="6"/>
        <v>11686.512144704533</v>
      </c>
      <c r="M17" s="32">
        <f t="shared" si="6"/>
        <v>11705.063777319117</v>
      </c>
      <c r="N17" s="32">
        <f t="shared" si="6"/>
        <v>11725.201914021067</v>
      </c>
      <c r="O17" s="32">
        <f t="shared" si="6"/>
        <v>11746.64619447545</v>
      </c>
      <c r="P17" s="32">
        <f t="shared" si="6"/>
        <v>11769.408304823941</v>
      </c>
      <c r="Q17" s="32">
        <f t="shared" si="6"/>
        <v>11793.319174837077</v>
      </c>
      <c r="R17" s="32">
        <f t="shared" si="6"/>
        <v>11818.41629568339</v>
      </c>
      <c r="S17" s="32">
        <f t="shared" si="6"/>
        <v>11844.566400488957</v>
      </c>
      <c r="T17" s="32">
        <f t="shared" si="6"/>
        <v>11871.309329503967</v>
      </c>
      <c r="U17" s="32">
        <f t="shared" si="6"/>
        <v>11899.16481097508</v>
      </c>
      <c r="V17" s="32">
        <f t="shared" si="6"/>
        <v>11927.894951846294</v>
      </c>
      <c r="W17" s="32">
        <f t="shared" si="6"/>
        <v>11957.533759652699</v>
      </c>
      <c r="X17" s="32">
        <f t="shared" si="6"/>
        <v>11987.839071921004</v>
      </c>
      <c r="Y17" s="32"/>
      <c r="AA17" s="41"/>
    </row>
    <row r="18" spans="1:27">
      <c r="B18" s="32" t="str">
        <f t="shared" si="2"/>
        <v>Montana River</v>
      </c>
      <c r="C18" s="7" t="s">
        <v>321</v>
      </c>
      <c r="D18" s="7" t="s">
        <v>129</v>
      </c>
      <c r="E18" s="32">
        <f>VLOOKUP($D18,'[3]Depth of Wells'!A$22:C$25,3,FALSE)</f>
        <v>5487</v>
      </c>
      <c r="F18" s="32">
        <f t="shared" ref="F18:X18" si="7">E18*(1+VLOOKUP($D18,AgBase,F$11-$E$11+33,FALSE))</f>
        <v>5546.5243054992216</v>
      </c>
      <c r="G18" s="32">
        <f t="shared" si="7"/>
        <v>5605.2768434580921</v>
      </c>
      <c r="H18" s="32">
        <f t="shared" si="7"/>
        <v>5665.5465294252181</v>
      </c>
      <c r="I18" s="32">
        <f t="shared" si="7"/>
        <v>5726.4993022391718</v>
      </c>
      <c r="J18" s="32">
        <f t="shared" si="7"/>
        <v>5770.3456162547927</v>
      </c>
      <c r="K18" s="32">
        <f t="shared" si="7"/>
        <v>5814.5072649742442</v>
      </c>
      <c r="L18" s="32">
        <f t="shared" si="7"/>
        <v>5860.5789085975775</v>
      </c>
      <c r="M18" s="32">
        <f t="shared" si="7"/>
        <v>5908.3186298839319</v>
      </c>
      <c r="N18" s="32">
        <f t="shared" si="7"/>
        <v>5957.542512846876</v>
      </c>
      <c r="O18" s="32">
        <f t="shared" si="7"/>
        <v>6008.0109910380461</v>
      </c>
      <c r="P18" s="32">
        <f t="shared" si="7"/>
        <v>6059.6431555652161</v>
      </c>
      <c r="Q18" s="32">
        <f t="shared" si="7"/>
        <v>6112.2808716668233</v>
      </c>
      <c r="R18" s="32">
        <f t="shared" si="7"/>
        <v>6165.8738397484585</v>
      </c>
      <c r="S18" s="32">
        <f t="shared" si="7"/>
        <v>6220.3011598289404</v>
      </c>
      <c r="T18" s="32">
        <f t="shared" si="7"/>
        <v>6275.2609830655701</v>
      </c>
      <c r="U18" s="32">
        <f t="shared" si="7"/>
        <v>6330.9928471768062</v>
      </c>
      <c r="V18" s="32">
        <f t="shared" si="7"/>
        <v>6387.3254234358046</v>
      </c>
      <c r="W18" s="32">
        <f t="shared" si="7"/>
        <v>6444.2484934182157</v>
      </c>
      <c r="X18" s="32">
        <f t="shared" si="7"/>
        <v>6501.6121369448965</v>
      </c>
      <c r="Y18" s="32"/>
      <c r="AA18" s="41"/>
    </row>
    <row r="19" spans="1:27">
      <c r="B19" s="32" t="str">
        <f t="shared" si="2"/>
        <v>Oregon River</v>
      </c>
      <c r="C19" s="7" t="s">
        <v>321</v>
      </c>
      <c r="D19" s="7" t="s">
        <v>131</v>
      </c>
      <c r="E19" s="32">
        <f>VLOOKUP($D19,'[3]Depth of Wells'!A$22:C$25,3,FALSE)</f>
        <v>8995</v>
      </c>
      <c r="F19" s="32">
        <f t="shared" ref="F19:X19" si="8">E19*(1+VLOOKUP($D19,AgBase,F$11-$E$11+33,FALSE))</f>
        <v>9085.9470299148015</v>
      </c>
      <c r="G19" s="32">
        <f t="shared" si="8"/>
        <v>9177.3445473284355</v>
      </c>
      <c r="H19" s="32">
        <f t="shared" si="8"/>
        <v>9279.918498039855</v>
      </c>
      <c r="I19" s="32">
        <f t="shared" si="8"/>
        <v>9463.689676355656</v>
      </c>
      <c r="J19" s="32">
        <f t="shared" si="8"/>
        <v>9577.9999576922619</v>
      </c>
      <c r="K19" s="32">
        <f t="shared" si="8"/>
        <v>9693.6535162395812</v>
      </c>
      <c r="L19" s="32">
        <f t="shared" si="8"/>
        <v>9817.9553231126356</v>
      </c>
      <c r="M19" s="32">
        <f t="shared" si="8"/>
        <v>9936.4054798308789</v>
      </c>
      <c r="N19" s="32">
        <f t="shared" si="8"/>
        <v>10148.645415783065</v>
      </c>
      <c r="O19" s="32">
        <f t="shared" si="8"/>
        <v>10269.051783351308</v>
      </c>
      <c r="P19" s="32">
        <f t="shared" si="8"/>
        <v>10390.347832073319</v>
      </c>
      <c r="Q19" s="32">
        <f t="shared" si="8"/>
        <v>10505.269892374547</v>
      </c>
      <c r="R19" s="32">
        <f t="shared" si="8"/>
        <v>10628.068105923256</v>
      </c>
      <c r="S19" s="32">
        <f t="shared" si="8"/>
        <v>10836.62486089997</v>
      </c>
      <c r="T19" s="32">
        <f t="shared" si="8"/>
        <v>10967.251219054293</v>
      </c>
      <c r="U19" s="32">
        <f t="shared" si="8"/>
        <v>11105.611086374769</v>
      </c>
      <c r="V19" s="32">
        <f t="shared" si="8"/>
        <v>11244.392146386783</v>
      </c>
      <c r="W19" s="32">
        <f t="shared" si="8"/>
        <v>11376.552163742093</v>
      </c>
      <c r="X19" s="32">
        <f t="shared" si="8"/>
        <v>11614.846163555572</v>
      </c>
      <c r="Y19" s="32"/>
      <c r="AA19" s="41"/>
    </row>
    <row r="20" spans="1:27">
      <c r="B20" s="32" t="str">
        <f t="shared" si="2"/>
        <v>Washington River</v>
      </c>
      <c r="C20" s="7" t="s">
        <v>321</v>
      </c>
      <c r="D20" s="7" t="s">
        <v>132</v>
      </c>
      <c r="E20" s="32">
        <f>VLOOKUP($D20,'[3]Depth of Wells'!A$22:C$25,3,FALSE)</f>
        <v>8101</v>
      </c>
      <c r="F20" s="32">
        <f t="shared" ref="F20:X20" si="9">E20*(1+VLOOKUP($D20,AgBase,F$11-$E$11+33,FALSE))</f>
        <v>8187.3738519925901</v>
      </c>
      <c r="G20" s="32">
        <f t="shared" si="9"/>
        <v>8276.8721553025753</v>
      </c>
      <c r="H20" s="32">
        <f t="shared" si="9"/>
        <v>8369.3559508575854</v>
      </c>
      <c r="I20" s="32">
        <f t="shared" si="9"/>
        <v>8520.9618044922645</v>
      </c>
      <c r="J20" s="32">
        <f t="shared" si="9"/>
        <v>8626.621638943745</v>
      </c>
      <c r="K20" s="32">
        <f t="shared" si="9"/>
        <v>8729.6223190769815</v>
      </c>
      <c r="L20" s="32">
        <f t="shared" si="9"/>
        <v>8836.8944048529156</v>
      </c>
      <c r="M20" s="32">
        <f t="shared" si="9"/>
        <v>8941.5429077732679</v>
      </c>
      <c r="N20" s="32">
        <f t="shared" si="9"/>
        <v>9117.5317665614257</v>
      </c>
      <c r="O20" s="32">
        <f t="shared" si="9"/>
        <v>9223.2243373054334</v>
      </c>
      <c r="P20" s="32">
        <f t="shared" si="9"/>
        <v>9326.0434036134629</v>
      </c>
      <c r="Q20" s="32">
        <f t="shared" si="9"/>
        <v>9432.6026358180552</v>
      </c>
      <c r="R20" s="32">
        <f t="shared" si="9"/>
        <v>9536.2274165171693</v>
      </c>
      <c r="S20" s="32">
        <f t="shared" si="9"/>
        <v>9707.2141520449568</v>
      </c>
      <c r="T20" s="32">
        <f t="shared" si="9"/>
        <v>9821.1414675370615</v>
      </c>
      <c r="U20" s="32">
        <f t="shared" si="9"/>
        <v>9938.819323405125</v>
      </c>
      <c r="V20" s="32">
        <f t="shared" si="9"/>
        <v>10056.719801427229</v>
      </c>
      <c r="W20" s="32">
        <f t="shared" si="9"/>
        <v>10171.547763358396</v>
      </c>
      <c r="X20" s="32">
        <f t="shared" si="9"/>
        <v>10363.160984051019</v>
      </c>
      <c r="Y20" s="32"/>
      <c r="AA20" s="41"/>
    </row>
    <row r="21" spans="1:27">
      <c r="E21" s="32"/>
      <c r="F21" s="32"/>
      <c r="G21" s="32"/>
      <c r="H21" s="32"/>
      <c r="I21" s="32"/>
      <c r="J21" s="32"/>
      <c r="K21" s="32"/>
      <c r="L21" s="32"/>
      <c r="M21" s="32"/>
      <c r="N21" s="32"/>
      <c r="O21" s="32"/>
      <c r="P21" s="32"/>
      <c r="Q21" s="32"/>
      <c r="R21" s="32"/>
      <c r="S21" s="32"/>
      <c r="T21" s="32"/>
      <c r="U21" s="32"/>
      <c r="V21" s="32"/>
      <c r="W21" s="32"/>
      <c r="X21" s="32"/>
      <c r="Y21" s="32"/>
    </row>
    <row r="22" spans="1:27">
      <c r="B22" s="7" t="s">
        <v>323</v>
      </c>
      <c r="C22" s="7" t="s">
        <v>30</v>
      </c>
      <c r="E22" s="32">
        <f>SUM(E13:E16)</f>
        <v>26142</v>
      </c>
      <c r="F22" s="32">
        <f t="shared" ref="F22:X22" si="10">SUM(F13:F16)</f>
        <v>26319.971373863598</v>
      </c>
      <c r="G22" s="32">
        <f t="shared" si="10"/>
        <v>26501.201393247378</v>
      </c>
      <c r="H22" s="32">
        <f t="shared" si="10"/>
        <v>26700.072488269761</v>
      </c>
      <c r="I22" s="32">
        <f t="shared" si="10"/>
        <v>27028.668668931699</v>
      </c>
      <c r="J22" s="32">
        <f t="shared" si="10"/>
        <v>27249.560144208088</v>
      </c>
      <c r="K22" s="32">
        <f t="shared" si="10"/>
        <v>27471.00830503257</v>
      </c>
      <c r="L22" s="32">
        <f t="shared" si="10"/>
        <v>27706.426257808605</v>
      </c>
      <c r="M22" s="32">
        <f t="shared" si="10"/>
        <v>27935.921372025656</v>
      </c>
      <c r="N22" s="32">
        <f t="shared" si="10"/>
        <v>28316.414523163508</v>
      </c>
      <c r="O22" s="32">
        <f t="shared" si="10"/>
        <v>28551.738277933906</v>
      </c>
      <c r="P22" s="32">
        <f t="shared" si="10"/>
        <v>28786.893079002817</v>
      </c>
      <c r="Q22" s="32">
        <f t="shared" si="10"/>
        <v>29020.281339803892</v>
      </c>
      <c r="R22" s="32">
        <f t="shared" si="10"/>
        <v>29259.964775886128</v>
      </c>
      <c r="S22" s="32">
        <f t="shared" si="10"/>
        <v>29639.028977090667</v>
      </c>
      <c r="T22" s="32">
        <f t="shared" si="10"/>
        <v>29896.50913972281</v>
      </c>
      <c r="U22" s="32">
        <f t="shared" si="10"/>
        <v>30165.623186877245</v>
      </c>
      <c r="V22" s="32">
        <f t="shared" si="10"/>
        <v>30436.192392970916</v>
      </c>
      <c r="W22" s="32">
        <f t="shared" si="10"/>
        <v>30698.752552384336</v>
      </c>
      <c r="X22" s="32">
        <f t="shared" si="10"/>
        <v>31127.631733786504</v>
      </c>
      <c r="Y22" s="32"/>
      <c r="AA22" s="41"/>
    </row>
    <row r="23" spans="1:27">
      <c r="D23" s="32"/>
      <c r="E23" s="32"/>
      <c r="F23" s="32"/>
      <c r="G23" s="32"/>
      <c r="H23" s="32"/>
      <c r="I23" s="32"/>
      <c r="J23" s="32"/>
      <c r="K23" s="32"/>
      <c r="L23" s="32"/>
      <c r="M23" s="32"/>
      <c r="N23" s="32"/>
      <c r="O23" s="32"/>
      <c r="P23" s="32"/>
      <c r="Q23" s="32"/>
      <c r="R23" s="32"/>
      <c r="S23" s="32"/>
      <c r="T23" s="32"/>
      <c r="U23" s="32"/>
      <c r="V23" s="32"/>
      <c r="W23" s="32"/>
      <c r="X23" s="32"/>
    </row>
    <row r="24" spans="1:27">
      <c r="D24" s="32"/>
      <c r="E24" s="32"/>
      <c r="F24" s="32"/>
      <c r="G24" s="32"/>
      <c r="H24" s="32"/>
      <c r="I24" s="32"/>
      <c r="J24" s="32"/>
      <c r="K24" s="32"/>
      <c r="L24" s="32"/>
      <c r="M24" s="32"/>
      <c r="N24" s="32"/>
      <c r="O24" s="32"/>
      <c r="P24" s="32"/>
      <c r="Q24" s="32"/>
      <c r="R24" s="32"/>
      <c r="S24" s="32"/>
      <c r="T24" s="32"/>
      <c r="U24" s="32"/>
      <c r="V24" s="32"/>
      <c r="W24" s="32"/>
      <c r="X24" s="32"/>
    </row>
    <row r="25" spans="1:27" ht="15">
      <c r="A25" s="50" t="str">
        <f>CONCATENATE("# ACRES APPLICABLE BY YEAR FOR MEASURE - ",C26)</f>
        <v># ACRES APPLICABLE BY YEAR FOR MEASURE - Irr Motor - Retro</v>
      </c>
      <c r="B25" s="50"/>
      <c r="D25" s="32"/>
      <c r="E25" s="32"/>
      <c r="F25" s="32"/>
      <c r="G25" s="32"/>
      <c r="H25" s="32"/>
      <c r="I25" s="32"/>
      <c r="J25" s="32"/>
      <c r="K25" s="32"/>
      <c r="L25" s="32"/>
      <c r="M25" s="32"/>
      <c r="N25" s="32"/>
      <c r="O25" s="32"/>
      <c r="P25" s="32"/>
      <c r="Q25" s="32"/>
      <c r="R25" s="32"/>
      <c r="S25" s="32"/>
      <c r="T25" s="32"/>
      <c r="U25" s="32"/>
      <c r="V25" s="32"/>
      <c r="W25" s="32"/>
      <c r="X25" s="32"/>
      <c r="AA25" s="40">
        <v>0.85</v>
      </c>
    </row>
    <row r="26" spans="1:27" ht="15">
      <c r="A26" s="58" t="s">
        <v>31</v>
      </c>
      <c r="B26" s="58" t="s">
        <v>311</v>
      </c>
      <c r="C26" s="58" t="str">
        <f>CONCATENATE(C8," - ",C7)</f>
        <v>Irr Motor - Retro</v>
      </c>
      <c r="D26" s="7">
        <v>2</v>
      </c>
      <c r="E26" s="7">
        <v>3</v>
      </c>
      <c r="F26" s="7">
        <v>4</v>
      </c>
      <c r="G26" s="7">
        <v>5</v>
      </c>
      <c r="H26" s="7">
        <v>6</v>
      </c>
      <c r="I26" s="7">
        <v>7</v>
      </c>
      <c r="J26" s="7">
        <v>8</v>
      </c>
      <c r="K26" s="7">
        <v>9</v>
      </c>
      <c r="L26" s="7">
        <v>10</v>
      </c>
      <c r="M26" s="7">
        <v>11</v>
      </c>
      <c r="N26" s="7">
        <v>12</v>
      </c>
      <c r="O26" s="7">
        <v>13</v>
      </c>
      <c r="P26" s="7">
        <v>14</v>
      </c>
      <c r="Q26" s="7">
        <v>15</v>
      </c>
      <c r="R26" s="7">
        <v>16</v>
      </c>
      <c r="S26" s="7">
        <v>17</v>
      </c>
      <c r="T26" s="7">
        <v>18</v>
      </c>
      <c r="U26" s="7">
        <v>19</v>
      </c>
      <c r="V26" s="7">
        <v>20</v>
      </c>
      <c r="W26" s="7">
        <v>21</v>
      </c>
      <c r="X26" s="7">
        <v>22</v>
      </c>
      <c r="Y26" s="7">
        <v>23</v>
      </c>
      <c r="AA26" s="38" t="s">
        <v>32</v>
      </c>
    </row>
    <row r="27" spans="1:27">
      <c r="A27" s="51">
        <f>INDEX([3]APPLIC!$B$8:$F$67,MATCH($C27,[3]APPLIC!$B$9:$B$67,0)+1,MATCH($D27,[3]APPLIC!$C$8:$F$8,0)+1)</f>
        <v>0.48999999999999994</v>
      </c>
      <c r="B27" s="76" t="s">
        <v>312</v>
      </c>
      <c r="C27" t="s">
        <v>296</v>
      </c>
      <c r="D27" s="7" t="s">
        <v>130</v>
      </c>
      <c r="E27" s="32">
        <f>$A27*VLOOKUP(CONCATENATE($D27," ",$B27),$B$13:$X$20,E$26+1,FALSE)</f>
        <v>4479.0899999999992</v>
      </c>
      <c r="F27" s="32">
        <f t="shared" ref="F27:U34" si="11">$A27*VLOOKUP(CONCATENATE($D27," ",$B27),$B$13:$X$20,F$26+1,FALSE)</f>
        <v>4479.6500699021562</v>
      </c>
      <c r="G27" s="32">
        <f t="shared" si="11"/>
        <v>4480.4284485009875</v>
      </c>
      <c r="H27" s="32">
        <f t="shared" si="11"/>
        <v>4483.1709603227973</v>
      </c>
      <c r="I27" s="32">
        <f t="shared" si="11"/>
        <v>4487.1218662485799</v>
      </c>
      <c r="J27" s="32">
        <f t="shared" si="11"/>
        <v>4492.1483276772951</v>
      </c>
      <c r="K27" s="32">
        <f t="shared" si="11"/>
        <v>4497.8613823369487</v>
      </c>
      <c r="L27" s="32">
        <f t="shared" si="11"/>
        <v>4504.34039086349</v>
      </c>
      <c r="M27" s="32">
        <f t="shared" si="11"/>
        <v>4511.4907593453463</v>
      </c>
      <c r="N27" s="32">
        <f t="shared" si="11"/>
        <v>4519.2526151856637</v>
      </c>
      <c r="O27" s="32">
        <f t="shared" si="11"/>
        <v>4527.5178989082724</v>
      </c>
      <c r="P27" s="32">
        <f t="shared" si="11"/>
        <v>4536.2911147107707</v>
      </c>
      <c r="Q27" s="32">
        <f t="shared" si="11"/>
        <v>4545.5070977386631</v>
      </c>
      <c r="R27" s="32">
        <f t="shared" si="11"/>
        <v>4555.1802982387508</v>
      </c>
      <c r="S27" s="32">
        <f t="shared" si="11"/>
        <v>4565.2593510684173</v>
      </c>
      <c r="T27" s="32">
        <f t="shared" si="11"/>
        <v>4575.5668965397062</v>
      </c>
      <c r="U27" s="32">
        <f t="shared" si="11"/>
        <v>4586.3032538671696</v>
      </c>
      <c r="V27" s="32">
        <f t="shared" ref="V27:X34" si="12">$A27*VLOOKUP(CONCATENATE($D27," ",$B27),$B$13:$X$20,V$26+1,FALSE)</f>
        <v>4597.3767317670781</v>
      </c>
      <c r="W27" s="32">
        <f t="shared" si="12"/>
        <v>4608.8004377870066</v>
      </c>
      <c r="X27" s="32">
        <f t="shared" si="12"/>
        <v>4620.481035078793</v>
      </c>
      <c r="Y27" s="32"/>
      <c r="Z27" s="32" t="str">
        <f>CONCATENATE(D27," ",B27)</f>
        <v>Idaho Wells</v>
      </c>
      <c r="AA27" s="41">
        <f>VLOOKUP(Z27,$B$13:$X$20,$X$26+1,FALSE)*$AA$25*A27</f>
        <v>3927.4088798169737</v>
      </c>
    </row>
    <row r="28" spans="1:27">
      <c r="A28" s="51">
        <f>INDEX([3]APPLIC!$B$8:$F$67,MATCH($C28,[3]APPLIC!$B$9:$B$67,0)+1,MATCH($D28,[3]APPLIC!$C$8:$F$8,0)+1)</f>
        <v>0.48999999999999994</v>
      </c>
      <c r="B28" s="76" t="s">
        <v>312</v>
      </c>
      <c r="C28" t="s">
        <v>296</v>
      </c>
      <c r="D28" s="7" t="s">
        <v>129</v>
      </c>
      <c r="E28" s="32">
        <f t="shared" ref="E28:E34" si="13">$A28*VLOOKUP(CONCATENATE($D28," ",$B28),$B$13:$X$20,E$26+1,FALSE)</f>
        <v>798.20999999999992</v>
      </c>
      <c r="F28" s="32">
        <f t="shared" si="11"/>
        <v>806.86917548615509</v>
      </c>
      <c r="G28" s="32">
        <f t="shared" si="11"/>
        <v>815.41607968228232</v>
      </c>
      <c r="H28" s="32">
        <f t="shared" si="11"/>
        <v>824.18368785356347</v>
      </c>
      <c r="I28" s="32">
        <f t="shared" si="11"/>
        <v>833.0506666740165</v>
      </c>
      <c r="J28" s="32">
        <f t="shared" si="11"/>
        <v>839.42911870798923</v>
      </c>
      <c r="K28" s="32">
        <f t="shared" si="11"/>
        <v>845.85344340716051</v>
      </c>
      <c r="L28" s="32">
        <f t="shared" si="11"/>
        <v>852.55562067280312</v>
      </c>
      <c r="M28" s="32">
        <f t="shared" si="11"/>
        <v>859.50045809361245</v>
      </c>
      <c r="N28" s="32">
        <f t="shared" si="11"/>
        <v>866.66120087105946</v>
      </c>
      <c r="O28" s="32">
        <f t="shared" si="11"/>
        <v>874.00299857052619</v>
      </c>
      <c r="P28" s="32">
        <f t="shared" si="11"/>
        <v>881.51408113790944</v>
      </c>
      <c r="Q28" s="32">
        <f t="shared" si="11"/>
        <v>889.17144424515641</v>
      </c>
      <c r="R28" s="32">
        <f t="shared" si="11"/>
        <v>896.96777066258699</v>
      </c>
      <c r="S28" s="32">
        <f t="shared" si="11"/>
        <v>904.88547271497293</v>
      </c>
      <c r="T28" s="32">
        <f t="shared" si="11"/>
        <v>912.8806395649292</v>
      </c>
      <c r="U28" s="32">
        <f t="shared" si="11"/>
        <v>920.98811746765011</v>
      </c>
      <c r="V28" s="32">
        <f t="shared" si="12"/>
        <v>929.18298273021537</v>
      </c>
      <c r="W28" s="32">
        <f t="shared" si="12"/>
        <v>937.46374884843306</v>
      </c>
      <c r="X28" s="32">
        <f t="shared" si="12"/>
        <v>945.8086064936731</v>
      </c>
      <c r="Y28" s="32"/>
      <c r="Z28" s="32" t="str">
        <f t="shared" ref="Z28:Z34" si="14">CONCATENATE(D28," ",B28)</f>
        <v>Montana Wells</v>
      </c>
      <c r="AA28" s="41">
        <f t="shared" ref="AA28:AA34" si="15">VLOOKUP(Z28,$B$13:$X$20,$X$26+1,FALSE)*$AA$25*A28</f>
        <v>803.93731551962208</v>
      </c>
    </row>
    <row r="29" spans="1:27">
      <c r="A29" s="51">
        <f>INDEX([3]APPLIC!$B$8:$F$67,MATCH($C29,[3]APPLIC!$B$9:$B$67,0)+1,MATCH($D29,[3]APPLIC!$C$8:$F$8,0)+1)</f>
        <v>0.48999999999999994</v>
      </c>
      <c r="B29" s="76" t="s">
        <v>312</v>
      </c>
      <c r="C29" t="s">
        <v>296</v>
      </c>
      <c r="D29" s="7" t="s">
        <v>131</v>
      </c>
      <c r="E29" s="32">
        <f t="shared" si="13"/>
        <v>4214.49</v>
      </c>
      <c r="F29" s="32">
        <f t="shared" si="11"/>
        <v>4257.1020453702758</v>
      </c>
      <c r="G29" s="32">
        <f t="shared" si="11"/>
        <v>4299.925160786016</v>
      </c>
      <c r="H29" s="32">
        <f t="shared" si="11"/>
        <v>4347.9848483384085</v>
      </c>
      <c r="I29" s="32">
        <f t="shared" si="11"/>
        <v>4434.0884384773917</v>
      </c>
      <c r="J29" s="32">
        <f t="shared" si="11"/>
        <v>4487.647030760917</v>
      </c>
      <c r="K29" s="32">
        <f t="shared" si="11"/>
        <v>4541.8349980718785</v>
      </c>
      <c r="L29" s="32">
        <f t="shared" si="11"/>
        <v>4600.0749894057772</v>
      </c>
      <c r="M29" s="32">
        <f t="shared" si="11"/>
        <v>4655.5732663360122</v>
      </c>
      <c r="N29" s="32">
        <f t="shared" si="11"/>
        <v>4755.0155217747142</v>
      </c>
      <c r="O29" s="32">
        <f t="shared" si="11"/>
        <v>4811.4303557994708</v>
      </c>
      <c r="P29" s="32">
        <f t="shared" si="11"/>
        <v>4868.2620383318144</v>
      </c>
      <c r="Q29" s="32">
        <f t="shared" si="11"/>
        <v>4922.107271674663</v>
      </c>
      <c r="R29" s="32">
        <f t="shared" si="11"/>
        <v>4979.6427739558076</v>
      </c>
      <c r="S29" s="32">
        <f t="shared" si="11"/>
        <v>5077.3593229587887</v>
      </c>
      <c r="T29" s="32">
        <f t="shared" si="11"/>
        <v>5138.5626003548768</v>
      </c>
      <c r="U29" s="32">
        <f t="shared" si="11"/>
        <v>5203.3893126643234</v>
      </c>
      <c r="V29" s="32">
        <f t="shared" si="12"/>
        <v>5268.4133693191343</v>
      </c>
      <c r="W29" s="32">
        <f t="shared" si="12"/>
        <v>5330.3352227425676</v>
      </c>
      <c r="X29" s="32">
        <f t="shared" si="12"/>
        <v>5441.9847701882491</v>
      </c>
      <c r="Y29" s="32"/>
      <c r="Z29" s="32" t="str">
        <f t="shared" si="14"/>
        <v>Oregon Wells</v>
      </c>
      <c r="AA29" s="41">
        <f t="shared" si="15"/>
        <v>4625.6870546600121</v>
      </c>
    </row>
    <row r="30" spans="1:27">
      <c r="A30" s="51">
        <f>INDEX([3]APPLIC!$B$8:$F$67,MATCH($C30,[3]APPLIC!$B$9:$B$67,0)+1,MATCH($D30,[3]APPLIC!$C$8:$F$8,0)+1)</f>
        <v>0.48999999999999994</v>
      </c>
      <c r="B30" s="76" t="s">
        <v>312</v>
      </c>
      <c r="C30" t="s">
        <v>296</v>
      </c>
      <c r="D30" s="7" t="s">
        <v>132</v>
      </c>
      <c r="E30" s="32">
        <f t="shared" si="13"/>
        <v>3317.7899999999995</v>
      </c>
      <c r="F30" s="32">
        <f t="shared" si="11"/>
        <v>3353.1646824345748</v>
      </c>
      <c r="G30" s="32">
        <f t="shared" si="11"/>
        <v>3389.8189937219263</v>
      </c>
      <c r="H30" s="32">
        <f t="shared" si="11"/>
        <v>3427.6960227374125</v>
      </c>
      <c r="I30" s="32">
        <f t="shared" si="11"/>
        <v>3489.7866763765437</v>
      </c>
      <c r="J30" s="32">
        <f t="shared" si="11"/>
        <v>3533.0599935157584</v>
      </c>
      <c r="K30" s="32">
        <f t="shared" si="11"/>
        <v>3575.2442456499707</v>
      </c>
      <c r="L30" s="32">
        <f t="shared" si="11"/>
        <v>3619.1778653841434</v>
      </c>
      <c r="M30" s="32">
        <f t="shared" si="11"/>
        <v>3662.0369885175983</v>
      </c>
      <c r="N30" s="32">
        <f t="shared" si="11"/>
        <v>3734.1137785186793</v>
      </c>
      <c r="O30" s="32">
        <f t="shared" si="11"/>
        <v>3777.4005029093423</v>
      </c>
      <c r="P30" s="32">
        <f t="shared" si="11"/>
        <v>3819.5103745308847</v>
      </c>
      <c r="Q30" s="32">
        <f t="shared" si="11"/>
        <v>3863.1520428454228</v>
      </c>
      <c r="R30" s="32">
        <f t="shared" si="11"/>
        <v>3905.5918973270568</v>
      </c>
      <c r="S30" s="32">
        <f t="shared" si="11"/>
        <v>3975.6200520322459</v>
      </c>
      <c r="T30" s="32">
        <f t="shared" si="11"/>
        <v>4022.2793420046628</v>
      </c>
      <c r="U30" s="32">
        <f t="shared" si="11"/>
        <v>4070.474677570704</v>
      </c>
      <c r="V30" s="32">
        <f t="shared" si="12"/>
        <v>4118.7611887393196</v>
      </c>
      <c r="W30" s="32">
        <f t="shared" si="12"/>
        <v>4165.789341290314</v>
      </c>
      <c r="X30" s="32">
        <f t="shared" si="12"/>
        <v>4244.2651377946695</v>
      </c>
      <c r="Y30" s="32"/>
      <c r="Z30" s="32" t="str">
        <f t="shared" si="14"/>
        <v>Washington Wells</v>
      </c>
      <c r="AA30" s="41">
        <f t="shared" si="15"/>
        <v>3607.6253671254694</v>
      </c>
    </row>
    <row r="31" spans="1:27">
      <c r="A31" s="51">
        <f>INDEX([3]APPLIC!$B$8:$F$67,MATCH($C31,[3]APPLIC!$B$9:$B$67,0)+1,MATCH($D31,[3]APPLIC!$C$8:$F$8,0)+1)</f>
        <v>0.48999999999999994</v>
      </c>
      <c r="B31" s="76" t="s">
        <v>321</v>
      </c>
      <c r="C31" t="s">
        <v>296</v>
      </c>
      <c r="D31" s="7" t="s">
        <v>130</v>
      </c>
      <c r="E31" s="32">
        <f t="shared" si="13"/>
        <v>5694.2899999999991</v>
      </c>
      <c r="F31" s="32">
        <f t="shared" si="11"/>
        <v>5695.0020197279246</v>
      </c>
      <c r="G31" s="32">
        <f t="shared" si="11"/>
        <v>5695.9915764172383</v>
      </c>
      <c r="H31" s="32">
        <f t="shared" si="11"/>
        <v>5699.4781457073868</v>
      </c>
      <c r="I31" s="32">
        <f t="shared" si="11"/>
        <v>5704.500952595421</v>
      </c>
      <c r="J31" s="32">
        <f t="shared" si="11"/>
        <v>5710.8911186891855</v>
      </c>
      <c r="K31" s="32">
        <f t="shared" si="11"/>
        <v>5718.1541542651439</v>
      </c>
      <c r="L31" s="32">
        <f t="shared" si="11"/>
        <v>5726.3909509052201</v>
      </c>
      <c r="M31" s="32">
        <f t="shared" si="11"/>
        <v>5735.481250886367</v>
      </c>
      <c r="N31" s="32">
        <f t="shared" si="11"/>
        <v>5745.3489378703216</v>
      </c>
      <c r="O31" s="32">
        <f t="shared" si="11"/>
        <v>5755.8566352929702</v>
      </c>
      <c r="P31" s="32">
        <f t="shared" si="11"/>
        <v>5767.0100693637305</v>
      </c>
      <c r="Q31" s="32">
        <f t="shared" si="11"/>
        <v>5778.7263956701672</v>
      </c>
      <c r="R31" s="32">
        <f t="shared" si="11"/>
        <v>5791.0239848848605</v>
      </c>
      <c r="S31" s="32">
        <f t="shared" si="11"/>
        <v>5803.8375362395882</v>
      </c>
      <c r="T31" s="32">
        <f t="shared" si="11"/>
        <v>5816.9415714569432</v>
      </c>
      <c r="U31" s="32">
        <f t="shared" si="11"/>
        <v>5830.5907573777886</v>
      </c>
      <c r="V31" s="32">
        <f t="shared" si="12"/>
        <v>5844.6685264046837</v>
      </c>
      <c r="W31" s="32">
        <f t="shared" si="12"/>
        <v>5859.1915422298216</v>
      </c>
      <c r="X31" s="32">
        <f t="shared" si="12"/>
        <v>5874.0411452412909</v>
      </c>
      <c r="Y31" s="32"/>
      <c r="Z31" s="32" t="str">
        <f t="shared" si="14"/>
        <v>Idaho River</v>
      </c>
      <c r="AA31" s="41">
        <f t="shared" si="15"/>
        <v>4992.934973455097</v>
      </c>
    </row>
    <row r="32" spans="1:27">
      <c r="A32" s="51">
        <f>INDEX([3]APPLIC!$B$8:$F$67,MATCH($C32,[3]APPLIC!$B$9:$B$67,0)+1,MATCH($D32,[3]APPLIC!$C$8:$F$8,0)+1)</f>
        <v>0.48999999999999994</v>
      </c>
      <c r="B32" s="76" t="s">
        <v>321</v>
      </c>
      <c r="C32" t="s">
        <v>296</v>
      </c>
      <c r="D32" s="7" t="s">
        <v>129</v>
      </c>
      <c r="E32" s="32">
        <f t="shared" si="13"/>
        <v>2688.6299999999997</v>
      </c>
      <c r="F32" s="32">
        <f t="shared" si="11"/>
        <v>2717.7969096946181</v>
      </c>
      <c r="G32" s="32">
        <f t="shared" si="11"/>
        <v>2746.5856532944649</v>
      </c>
      <c r="H32" s="32">
        <f t="shared" si="11"/>
        <v>2776.1177994183563</v>
      </c>
      <c r="I32" s="32">
        <f t="shared" si="11"/>
        <v>2805.9846580971939</v>
      </c>
      <c r="J32" s="32">
        <f t="shared" si="11"/>
        <v>2827.4693519648481</v>
      </c>
      <c r="K32" s="32">
        <f t="shared" si="11"/>
        <v>2849.1085598373793</v>
      </c>
      <c r="L32" s="32">
        <f t="shared" si="11"/>
        <v>2871.6836652128127</v>
      </c>
      <c r="M32" s="32">
        <f t="shared" si="11"/>
        <v>2895.0761286431261</v>
      </c>
      <c r="N32" s="32">
        <f t="shared" si="11"/>
        <v>2919.1958312949687</v>
      </c>
      <c r="O32" s="32">
        <f t="shared" si="11"/>
        <v>2943.925385608642</v>
      </c>
      <c r="P32" s="32">
        <f t="shared" si="11"/>
        <v>2969.2251462269555</v>
      </c>
      <c r="Q32" s="32">
        <f t="shared" si="11"/>
        <v>2995.0176271167429</v>
      </c>
      <c r="R32" s="32">
        <f t="shared" si="11"/>
        <v>3021.2781814767441</v>
      </c>
      <c r="S32" s="32">
        <f t="shared" si="11"/>
        <v>3047.9475683161804</v>
      </c>
      <c r="T32" s="32">
        <f t="shared" si="11"/>
        <v>3074.8778817021289</v>
      </c>
      <c r="U32" s="32">
        <f t="shared" si="11"/>
        <v>3102.1864951166344</v>
      </c>
      <c r="V32" s="32">
        <f t="shared" si="12"/>
        <v>3129.7894574835436</v>
      </c>
      <c r="W32" s="32">
        <f t="shared" si="12"/>
        <v>3157.6817617749252</v>
      </c>
      <c r="X32" s="32">
        <f t="shared" si="12"/>
        <v>3185.7899471029987</v>
      </c>
      <c r="Y32" s="32"/>
      <c r="Z32" s="32" t="str">
        <f t="shared" si="14"/>
        <v>Montana River</v>
      </c>
      <c r="AA32" s="41">
        <f t="shared" si="15"/>
        <v>2707.9214550375491</v>
      </c>
    </row>
    <row r="33" spans="1:71">
      <c r="A33" s="51">
        <f>INDEX([3]APPLIC!$B$8:$F$67,MATCH($C33,[3]APPLIC!$B$9:$B$67,0)+1,MATCH($D33,[3]APPLIC!$C$8:$F$8,0)+1)</f>
        <v>0.48999999999999994</v>
      </c>
      <c r="B33" s="76" t="s">
        <v>321</v>
      </c>
      <c r="C33" t="s">
        <v>296</v>
      </c>
      <c r="D33" s="7" t="s">
        <v>131</v>
      </c>
      <c r="E33" s="32">
        <f t="shared" si="13"/>
        <v>4407.5499999999993</v>
      </c>
      <c r="F33" s="32">
        <f t="shared" si="11"/>
        <v>4452.1140446582522</v>
      </c>
      <c r="G33" s="32">
        <f t="shared" si="11"/>
        <v>4496.8988281909324</v>
      </c>
      <c r="H33" s="32">
        <f t="shared" si="11"/>
        <v>4547.1600640395282</v>
      </c>
      <c r="I33" s="32">
        <f t="shared" si="11"/>
        <v>4637.2079414142709</v>
      </c>
      <c r="J33" s="32">
        <f t="shared" si="11"/>
        <v>4693.2199792692081</v>
      </c>
      <c r="K33" s="32">
        <f t="shared" si="11"/>
        <v>4749.8902229573941</v>
      </c>
      <c r="L33" s="32">
        <f t="shared" si="11"/>
        <v>4810.7981083251907</v>
      </c>
      <c r="M33" s="32">
        <f t="shared" si="11"/>
        <v>4868.8386851171299</v>
      </c>
      <c r="N33" s="32">
        <f t="shared" si="11"/>
        <v>4972.8362537337016</v>
      </c>
      <c r="O33" s="32">
        <f t="shared" si="11"/>
        <v>5031.8353738421401</v>
      </c>
      <c r="P33" s="32">
        <f t="shared" si="11"/>
        <v>5091.2704377159262</v>
      </c>
      <c r="Q33" s="32">
        <f t="shared" si="11"/>
        <v>5147.5822472635273</v>
      </c>
      <c r="R33" s="32">
        <f t="shared" si="11"/>
        <v>5207.753371902395</v>
      </c>
      <c r="S33" s="32">
        <f t="shared" si="11"/>
        <v>5309.9461818409845</v>
      </c>
      <c r="T33" s="32">
        <f t="shared" si="11"/>
        <v>5373.9530973366027</v>
      </c>
      <c r="U33" s="32">
        <f t="shared" si="11"/>
        <v>5441.749432323636</v>
      </c>
      <c r="V33" s="32">
        <f t="shared" si="12"/>
        <v>5509.7521517295227</v>
      </c>
      <c r="W33" s="32">
        <f t="shared" si="12"/>
        <v>5574.5105602336253</v>
      </c>
      <c r="X33" s="32">
        <f t="shared" si="12"/>
        <v>5691.2746201422297</v>
      </c>
      <c r="Y33" s="32"/>
      <c r="Z33" s="32" t="str">
        <f t="shared" si="14"/>
        <v>Oregon River</v>
      </c>
      <c r="AA33" s="41">
        <f t="shared" si="15"/>
        <v>4837.5834271208951</v>
      </c>
    </row>
    <row r="34" spans="1:71">
      <c r="A34" s="51">
        <f>INDEX([3]APPLIC!$B$8:$F$67,MATCH($C34,[3]APPLIC!$B$9:$B$67,0)+1,MATCH($D34,[3]APPLIC!$C$8:$F$8,0)+1)</f>
        <v>0.48999999999999994</v>
      </c>
      <c r="B34" s="76" t="s">
        <v>321</v>
      </c>
      <c r="C34" t="s">
        <v>296</v>
      </c>
      <c r="D34" s="7" t="s">
        <v>132</v>
      </c>
      <c r="E34" s="32">
        <f t="shared" si="13"/>
        <v>3969.4899999999993</v>
      </c>
      <c r="F34" s="32">
        <f t="shared" si="11"/>
        <v>4011.8131874763685</v>
      </c>
      <c r="G34" s="32">
        <f t="shared" si="11"/>
        <v>4055.6673560982613</v>
      </c>
      <c r="H34" s="32">
        <f t="shared" si="11"/>
        <v>4100.9844159202166</v>
      </c>
      <c r="I34" s="32">
        <f t="shared" si="11"/>
        <v>4175.2712842012088</v>
      </c>
      <c r="J34" s="32">
        <f t="shared" si="11"/>
        <v>4227.0446030824342</v>
      </c>
      <c r="K34" s="32">
        <f t="shared" si="11"/>
        <v>4277.5149363477203</v>
      </c>
      <c r="L34" s="32">
        <f t="shared" si="11"/>
        <v>4330.0782583779283</v>
      </c>
      <c r="M34" s="32">
        <f t="shared" si="11"/>
        <v>4381.3560248089007</v>
      </c>
      <c r="N34" s="32">
        <f t="shared" si="11"/>
        <v>4467.5905656150981</v>
      </c>
      <c r="O34" s="32">
        <f t="shared" si="11"/>
        <v>4519.3799252796616</v>
      </c>
      <c r="P34" s="32">
        <f t="shared" si="11"/>
        <v>4569.7612677705965</v>
      </c>
      <c r="Q34" s="32">
        <f t="shared" si="11"/>
        <v>4621.9752915508461</v>
      </c>
      <c r="R34" s="32">
        <f t="shared" si="11"/>
        <v>4672.7514340934122</v>
      </c>
      <c r="S34" s="32">
        <f t="shared" si="11"/>
        <v>4756.5349345020286</v>
      </c>
      <c r="T34" s="32">
        <f t="shared" si="11"/>
        <v>4812.3593190931597</v>
      </c>
      <c r="U34" s="32">
        <f t="shared" si="11"/>
        <v>4870.0214684685106</v>
      </c>
      <c r="V34" s="32">
        <f t="shared" si="12"/>
        <v>4927.7927026993411</v>
      </c>
      <c r="W34" s="32">
        <f t="shared" si="12"/>
        <v>4984.0584040456133</v>
      </c>
      <c r="X34" s="32">
        <f t="shared" si="12"/>
        <v>5077.9488821849991</v>
      </c>
      <c r="Y34" s="32"/>
      <c r="Z34" s="32" t="str">
        <f t="shared" si="14"/>
        <v>Washington River</v>
      </c>
      <c r="AA34" s="41">
        <f t="shared" si="15"/>
        <v>4316.2565498572494</v>
      </c>
    </row>
    <row r="35" spans="1:71">
      <c r="E35" s="32"/>
      <c r="F35" s="32"/>
      <c r="G35" s="32"/>
      <c r="H35" s="32"/>
      <c r="I35" s="32"/>
      <c r="J35" s="32"/>
      <c r="K35" s="32"/>
      <c r="L35" s="32"/>
      <c r="M35" s="32"/>
      <c r="N35" s="32"/>
      <c r="O35" s="32"/>
      <c r="P35" s="32"/>
      <c r="Q35" s="32"/>
      <c r="R35" s="32"/>
      <c r="S35" s="32"/>
      <c r="T35" s="32"/>
      <c r="U35" s="32"/>
      <c r="V35" s="32"/>
      <c r="W35" s="32"/>
      <c r="X35" s="32"/>
      <c r="Y35" s="32"/>
    </row>
    <row r="36" spans="1:71">
      <c r="E36" s="32">
        <f>SUM(E27:E30)</f>
        <v>12809.579999999998</v>
      </c>
      <c r="F36" s="32">
        <f t="shared" ref="F36:X36" si="16">SUM(F27:F30)</f>
        <v>12896.785973193162</v>
      </c>
      <c r="G36" s="32">
        <f t="shared" si="16"/>
        <v>12985.588682691212</v>
      </c>
      <c r="H36" s="32">
        <f t="shared" si="16"/>
        <v>13083.035519252182</v>
      </c>
      <c r="I36" s="32">
        <f t="shared" si="16"/>
        <v>13244.047647776531</v>
      </c>
      <c r="J36" s="32">
        <f t="shared" si="16"/>
        <v>13352.28447066196</v>
      </c>
      <c r="K36" s="32">
        <f t="shared" si="16"/>
        <v>13460.794069465959</v>
      </c>
      <c r="L36" s="32">
        <f t="shared" si="16"/>
        <v>13576.148866326213</v>
      </c>
      <c r="M36" s="32">
        <f t="shared" si="16"/>
        <v>13688.60147229257</v>
      </c>
      <c r="N36" s="32">
        <f t="shared" si="16"/>
        <v>13875.043116350116</v>
      </c>
      <c r="O36" s="32">
        <f t="shared" si="16"/>
        <v>13990.351756187611</v>
      </c>
      <c r="P36" s="32">
        <f t="shared" si="16"/>
        <v>14105.577608711379</v>
      </c>
      <c r="Q36" s="32">
        <f t="shared" si="16"/>
        <v>14219.937856503906</v>
      </c>
      <c r="R36" s="32">
        <f t="shared" si="16"/>
        <v>14337.382740184203</v>
      </c>
      <c r="S36" s="32">
        <f t="shared" si="16"/>
        <v>14523.124198774425</v>
      </c>
      <c r="T36" s="32">
        <f t="shared" si="16"/>
        <v>14649.289478464176</v>
      </c>
      <c r="U36" s="32">
        <f t="shared" si="16"/>
        <v>14781.155361569849</v>
      </c>
      <c r="V36" s="32">
        <f t="shared" si="16"/>
        <v>14913.734272555748</v>
      </c>
      <c r="W36" s="32">
        <f t="shared" si="16"/>
        <v>15042.38875066832</v>
      </c>
      <c r="X36" s="32">
        <f t="shared" si="16"/>
        <v>15252.539549555384</v>
      </c>
      <c r="Y36" s="32"/>
      <c r="AA36" s="41">
        <f>MAX(E36:X36)*$AA$25</f>
        <v>12964.658617122075</v>
      </c>
    </row>
    <row r="37" spans="1:71">
      <c r="D37" s="32"/>
      <c r="E37" s="32"/>
      <c r="F37" s="32"/>
      <c r="G37" s="32"/>
      <c r="H37" s="32"/>
      <c r="I37" s="32"/>
      <c r="J37" s="32"/>
      <c r="K37" s="32"/>
      <c r="L37" s="32"/>
      <c r="M37" s="32"/>
      <c r="N37" s="32"/>
      <c r="O37" s="32"/>
      <c r="P37" s="32"/>
      <c r="Q37" s="32"/>
      <c r="R37" s="32"/>
      <c r="S37" s="32"/>
      <c r="T37" s="32"/>
      <c r="U37" s="32"/>
      <c r="V37" s="32"/>
      <c r="W37" s="32"/>
      <c r="X37" s="32"/>
    </row>
    <row r="39" spans="1:71" ht="15">
      <c r="A39" s="50" t="str">
        <f>CONCATENATE("# UNITS ACHIEVABLE BY YEAR FOR MEASURE - ",C40)</f>
        <v># UNITS ACHIEVABLE BY YEAR FOR MEASURE - Irr Motor - Retro</v>
      </c>
      <c r="E39" s="58" t="s">
        <v>33</v>
      </c>
      <c r="F39"/>
    </row>
    <row r="40" spans="1:71" ht="15">
      <c r="C40" s="58" t="str">
        <f>C26</f>
        <v>Irr Motor - Retro</v>
      </c>
      <c r="E40" s="62">
        <f>VLOOKUP($C$40,[3]ACHIEV!$B$10:$X$104,MATCH(E$11,$E$11:$Y$11,0)+2,FALSE)</f>
        <v>0.10937459468255628</v>
      </c>
      <c r="F40" s="62">
        <f>VLOOKUP($C$40,[3]ACHIEV!$B$10:$X$104,MATCH(F$11,$E$11:$Y$11,0)+2,FALSE)</f>
        <v>0.125</v>
      </c>
      <c r="G40" s="62">
        <f>VLOOKUP($C$40,[3]ACHIEV!$B$10:$X$104,MATCH(G$11,$E$11:$Y$11,0)+2,FALSE)</f>
        <v>0.13671824335319538</v>
      </c>
      <c r="H40" s="62">
        <f>VLOOKUP($C$40,[3]ACHIEV!$B$10:$X$104,MATCH(H$11,$E$11:$Y$11,0)+2,FALSE)</f>
        <v>0.14299999999999999</v>
      </c>
      <c r="I40" s="62">
        <f>VLOOKUP($C$40,[3]ACHIEV!$B$10:$X$104,MATCH(I$11,$E$11:$Y$11,0)+2,FALSE)</f>
        <v>0.13732859265387931</v>
      </c>
      <c r="J40" s="62">
        <f>VLOOKUP($C$40,[3]ACHIEV!$B$10:$X$104,MATCH(J$11,$E$11:$Y$11,0)+2,FALSE)</f>
        <v>0.11444049387823274</v>
      </c>
      <c r="K40" s="62">
        <f>VLOOKUP($C$40,[3]ACHIEV!$B$10:$X$104,MATCH(K$11,$E$11:$Y$11,0)+2,FALSE)</f>
        <v>8.5830370408674583E-2</v>
      </c>
      <c r="L40" s="62">
        <f>VLOOKUP($C$40,[3]ACHIEV!$B$10:$X$104,MATCH(L$11,$E$11:$Y$11,0)+2,FALSE)</f>
        <v>5.8520707096823443E-2</v>
      </c>
      <c r="M40" s="62">
        <f>VLOOKUP($C$40,[3]ACHIEV!$B$10:$X$104,MATCH(M$11,$E$11:$Y$11,0)+2,FALSE)</f>
        <v>3.6575441935514763E-2</v>
      </c>
      <c r="N40" s="62">
        <f>VLOOKUP($C$40,[3]ACHIEV!$B$10:$X$104,MATCH(N$11,$E$11:$Y$11,0)+2,FALSE)</f>
        <v>2.1101216501258402E-2</v>
      </c>
      <c r="O40" s="62">
        <f>VLOOKUP($C$40,[3]ACHIEV!$B$10:$X$104,MATCH(O$11,$E$11:$Y$11,0)+2,FALSE)</f>
        <v>1.1304223125674251E-2</v>
      </c>
      <c r="P40" s="62">
        <f>VLOOKUP($C$40,[3]ACHIEV!$B$10:$X$104,MATCH(P$11,$E$11:$Y$11,0)+2,FALSE)</f>
        <v>5.652111562837181E-3</v>
      </c>
      <c r="Q40" s="62">
        <f>VLOOKUP($C$40,[3]ACHIEV!$B$10:$X$104,MATCH(Q$11,$E$11:$Y$11,0)+2,FALSE)</f>
        <v>2.6494272950797759E-3</v>
      </c>
      <c r="R40" s="62">
        <f>VLOOKUP($C$40,[3]ACHIEV!$B$10:$X$104,MATCH(R$11,$E$11:$Y$11,0)+2,FALSE)</f>
        <v>1.1688649831235187E-3</v>
      </c>
      <c r="S40" s="62">
        <f>VLOOKUP($C$40,[3]ACHIEV!$B$10:$X$104,MATCH(S$11,$E$11:$Y$11,0)+2,FALSE)</f>
        <v>4.8702707630143838E-4</v>
      </c>
      <c r="T40" s="62">
        <f>VLOOKUP($C$40,[3]ACHIEV!$B$10:$X$104,MATCH(T$11,$E$11:$Y$11,0)+2,FALSE)</f>
        <v>1.922475301190385E-4</v>
      </c>
      <c r="U40" s="62">
        <f>VLOOKUP($C$40,[3]ACHIEV!$B$10:$X$104,MATCH(U$11,$E$11:$Y$11,0)+2,FALSE)</f>
        <v>7.2092823794611682E-5</v>
      </c>
      <c r="V40" s="62">
        <f>VLOOKUP($C$40,[3]ACHIEV!$B$10:$X$104,MATCH(V$11,$E$11:$Y$11,0)+2,FALSE)</f>
        <v>2.5747437069512102E-5</v>
      </c>
      <c r="W40" s="62">
        <f>VLOOKUP($C$40,[3]ACHIEV!$B$10:$X$104,MATCH(W$11,$E$11:$Y$11,0)+2,FALSE)</f>
        <v>8.7775353646568632E-6</v>
      </c>
      <c r="X40" s="62">
        <f>VLOOKUP($C$40,[3]ACHIEV!$B$10:$X$104,MATCH(X$11,$E$11:$Y$11,0)+2,FALSE)</f>
        <v>2.8622397928446119E-6</v>
      </c>
      <c r="Y40" s="62"/>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row>
    <row r="41" spans="1:71">
      <c r="C41" s="7" t="str">
        <f>C27</f>
        <v>Motor Rewind</v>
      </c>
      <c r="D41" s="7" t="str">
        <f>CONCATENATE(D27," ",B27)</f>
        <v>Idaho Wells</v>
      </c>
      <c r="E41" s="32">
        <f t="shared" ref="E41:X41" si="17">E27*E$40*$AA$25</f>
        <v>416.4138553021873</v>
      </c>
      <c r="F41" s="32">
        <f t="shared" si="17"/>
        <v>475.96281992710408</v>
      </c>
      <c r="G41" s="32">
        <f t="shared" si="17"/>
        <v>520.67286090642699</v>
      </c>
      <c r="H41" s="32">
        <f t="shared" si="17"/>
        <v>544.92943022723603</v>
      </c>
      <c r="I41" s="32">
        <f t="shared" si="17"/>
        <v>523.77861131461111</v>
      </c>
      <c r="J41" s="32">
        <f t="shared" si="17"/>
        <v>436.97112221461691</v>
      </c>
      <c r="K41" s="32">
        <f t="shared" si="17"/>
        <v>328.1451422189254</v>
      </c>
      <c r="L41" s="32">
        <f t="shared" si="17"/>
        <v>224.0576069763965</v>
      </c>
      <c r="M41" s="32">
        <f t="shared" si="17"/>
        <v>140.25830306439005</v>
      </c>
      <c r="N41" s="32">
        <f t="shared" si="17"/>
        <v>81.057468678374278</v>
      </c>
      <c r="O41" s="32">
        <f t="shared" si="17"/>
        <v>43.503061654531543</v>
      </c>
      <c r="P41" s="32">
        <f t="shared" si="17"/>
        <v>21.793679942574464</v>
      </c>
      <c r="Q41" s="32">
        <f t="shared" si="17"/>
        <v>10.236541988518519</v>
      </c>
      <c r="R41" s="32">
        <f t="shared" si="17"/>
        <v>4.5257321310616092</v>
      </c>
      <c r="S41" s="32">
        <f t="shared" si="17"/>
        <v>1.8898941771623552</v>
      </c>
      <c r="T41" s="32">
        <f t="shared" si="17"/>
        <v>0.74769521954106377</v>
      </c>
      <c r="U41" s="32">
        <f t="shared" si="17"/>
        <v>0.28104361949724505</v>
      </c>
      <c r="V41" s="32">
        <f t="shared" si="17"/>
        <v>0.10061506787311025</v>
      </c>
      <c r="W41" s="32">
        <f t="shared" si="17"/>
        <v>3.4385822506623261E-2</v>
      </c>
      <c r="X41" s="32">
        <f t="shared" si="17"/>
        <v>1.1241185978583425E-2</v>
      </c>
      <c r="Y41" s="32"/>
      <c r="AA41" s="32">
        <f>SUM(E41:X41)</f>
        <v>3775.3711116395134</v>
      </c>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row>
    <row r="42" spans="1:71">
      <c r="C42" s="7" t="str">
        <f t="shared" ref="C42" si="18">C28</f>
        <v>Motor Rewind</v>
      </c>
      <c r="D42" s="7" t="str">
        <f t="shared" ref="D42:D48" si="19">CONCATENATE(D28," ",B28)</f>
        <v>Montana Wells</v>
      </c>
      <c r="E42" s="32">
        <f t="shared" ref="E42:X42" si="20">E28*E$40*$AA$25</f>
        <v>74.208310938328751</v>
      </c>
      <c r="F42" s="32">
        <f t="shared" si="20"/>
        <v>85.729849895403973</v>
      </c>
      <c r="G42" s="32">
        <f t="shared" si="20"/>
        <v>94.759915913694201</v>
      </c>
      <c r="H42" s="32">
        <f t="shared" si="20"/>
        <v>100.17952725860063</v>
      </c>
      <c r="I42" s="32">
        <f t="shared" si="20"/>
        <v>97.24142431416081</v>
      </c>
      <c r="J42" s="32">
        <f t="shared" si="20"/>
        <v>81.654980482605154</v>
      </c>
      <c r="K42" s="32">
        <f t="shared" si="20"/>
        <v>61.70992720522603</v>
      </c>
      <c r="L42" s="32">
        <f t="shared" si="20"/>
        <v>42.408334096972077</v>
      </c>
      <c r="M42" s="32">
        <f t="shared" si="20"/>
        <v>26.721117733768573</v>
      </c>
      <c r="N42" s="32">
        <f t="shared" si="20"/>
        <v>15.544464787897697</v>
      </c>
      <c r="O42" s="32">
        <f t="shared" si="20"/>
        <v>8.3979361720971433</v>
      </c>
      <c r="P42" s="32">
        <f t="shared" si="20"/>
        <v>4.2350535411828654</v>
      </c>
      <c r="Q42" s="32">
        <f t="shared" si="20"/>
        <v>2.0024258302303291</v>
      </c>
      <c r="R42" s="32">
        <f t="shared" si="20"/>
        <v>0.89116908540018525</v>
      </c>
      <c r="S42" s="32">
        <f t="shared" si="20"/>
        <v>0.37459816723941552</v>
      </c>
      <c r="T42" s="32">
        <f t="shared" si="20"/>
        <v>0.14917419101236898</v>
      </c>
      <c r="U42" s="32">
        <f t="shared" si="20"/>
        <v>5.6437138959097459E-2</v>
      </c>
      <c r="V42" s="32">
        <f t="shared" si="20"/>
        <v>2.0335468317821605E-2</v>
      </c>
      <c r="W42" s="32">
        <f t="shared" si="20"/>
        <v>6.9943280273107832E-3</v>
      </c>
      <c r="X42" s="32">
        <f t="shared" si="20"/>
        <v>2.3010613754329366E-3</v>
      </c>
      <c r="Y42" s="32"/>
      <c r="AA42" s="32">
        <f t="shared" ref="AA42:AA44" si="21">SUM(E42:X42)</f>
        <v>696.29427761049999</v>
      </c>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row>
    <row r="43" spans="1:71">
      <c r="C43" s="7" t="str">
        <f t="shared" ref="C43" si="22">C29</f>
        <v>Motor Rewind</v>
      </c>
      <c r="D43" s="7" t="str">
        <f t="shared" si="19"/>
        <v>Oregon Wells</v>
      </c>
      <c r="E43" s="32">
        <f t="shared" ref="E43:X43" si="23">E29*E$40*$AA$25</f>
        <v>391.81441521213361</v>
      </c>
      <c r="F43" s="32">
        <f t="shared" si="23"/>
        <v>452.31709232059177</v>
      </c>
      <c r="G43" s="32">
        <f t="shared" si="23"/>
        <v>499.69648235293971</v>
      </c>
      <c r="H43" s="32">
        <f t="shared" si="23"/>
        <v>528.49755831553352</v>
      </c>
      <c r="I43" s="32">
        <f t="shared" si="23"/>
        <v>517.58805621509691</v>
      </c>
      <c r="J43" s="32">
        <f t="shared" si="23"/>
        <v>436.53326116874439</v>
      </c>
      <c r="K43" s="32">
        <f t="shared" si="23"/>
        <v>331.35327318665247</v>
      </c>
      <c r="L43" s="32">
        <f t="shared" si="23"/>
        <v>228.81969491667286</v>
      </c>
      <c r="M43" s="32">
        <f t="shared" si="23"/>
        <v>144.73770222749647</v>
      </c>
      <c r="N43" s="32">
        <f t="shared" si="23"/>
        <v>85.28612019304056</v>
      </c>
      <c r="O43" s="32">
        <f t="shared" si="23"/>
        <v>46.231059951259546</v>
      </c>
      <c r="P43" s="32">
        <f t="shared" si="23"/>
        <v>23.388566134110068</v>
      </c>
      <c r="Q43" s="32">
        <f t="shared" si="23"/>
        <v>11.084650551652672</v>
      </c>
      <c r="R43" s="32">
        <f t="shared" si="23"/>
        <v>4.9474505568998559</v>
      </c>
      <c r="S43" s="32">
        <f t="shared" si="23"/>
        <v>2.1018897464335993</v>
      </c>
      <c r="T43" s="32">
        <f t="shared" si="23"/>
        <v>0.83969457303824568</v>
      </c>
      <c r="U43" s="32">
        <f t="shared" si="23"/>
        <v>0.31885797452477349</v>
      </c>
      <c r="V43" s="32">
        <f t="shared" si="23"/>
        <v>0.11530092043031254</v>
      </c>
      <c r="W43" s="32">
        <f t="shared" si="23"/>
        <v>3.9769125034634152E-2</v>
      </c>
      <c r="X43" s="32">
        <f t="shared" si="23"/>
        <v>1.3239825557094074E-2</v>
      </c>
      <c r="Y43" s="32"/>
      <c r="AA43" s="32">
        <f t="shared" si="21"/>
        <v>3705.7241354678431</v>
      </c>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row>
    <row r="44" spans="1:71">
      <c r="C44" s="7" t="str">
        <f t="shared" ref="C44" si="24">C30</f>
        <v>Motor Rewind</v>
      </c>
      <c r="D44" s="7" t="str">
        <f t="shared" si="19"/>
        <v>Washington Wells</v>
      </c>
      <c r="E44" s="32">
        <f t="shared" ref="E44:X44" si="25">E30*E$40*$AA$25</f>
        <v>308.44964601806259</v>
      </c>
      <c r="F44" s="32">
        <f t="shared" si="25"/>
        <v>356.27374750867358</v>
      </c>
      <c r="G44" s="32">
        <f t="shared" si="25"/>
        <v>393.93258339091443</v>
      </c>
      <c r="H44" s="32">
        <f t="shared" si="25"/>
        <v>416.63645156373241</v>
      </c>
      <c r="I44" s="32">
        <f t="shared" si="25"/>
        <v>407.36036898969223</v>
      </c>
      <c r="J44" s="32">
        <f t="shared" si="25"/>
        <v>343.67636097546375</v>
      </c>
      <c r="K44" s="32">
        <f t="shared" si="25"/>
        <v>260.83485721977644</v>
      </c>
      <c r="L44" s="32">
        <f t="shared" si="25"/>
        <v>180.02732062273432</v>
      </c>
      <c r="M44" s="32">
        <f t="shared" si="25"/>
        <v>113.84952805334785</v>
      </c>
      <c r="N44" s="32">
        <f t="shared" si="25"/>
        <v>66.975191788726505</v>
      </c>
      <c r="O44" s="32">
        <f t="shared" si="25"/>
        <v>36.295491401933134</v>
      </c>
      <c r="P44" s="32">
        <f t="shared" si="25"/>
        <v>18.350053939423198</v>
      </c>
      <c r="Q44" s="32">
        <f t="shared" si="25"/>
        <v>8.6998693972541794</v>
      </c>
      <c r="R44" s="32">
        <f t="shared" si="25"/>
        <v>3.8803431660830601</v>
      </c>
      <c r="S44" s="32">
        <f t="shared" si="25"/>
        <v>1.6457994188626415</v>
      </c>
      <c r="T44" s="32">
        <f t="shared" si="25"/>
        <v>0.65728227860684363</v>
      </c>
      <c r="U44" s="32">
        <f t="shared" si="25"/>
        <v>0.24943421163695353</v>
      </c>
      <c r="V44" s="32">
        <f t="shared" si="25"/>
        <v>9.014041283470231E-2</v>
      </c>
      <c r="W44" s="32">
        <f t="shared" si="25"/>
        <v>3.1080558775153398E-2</v>
      </c>
      <c r="X44" s="32">
        <f t="shared" si="25"/>
        <v>1.032588888346217E-2</v>
      </c>
      <c r="Y44" s="32"/>
      <c r="AA44" s="32">
        <f t="shared" si="21"/>
        <v>2917.9258768054183</v>
      </c>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row>
    <row r="45" spans="1:71">
      <c r="C45" s="7" t="str">
        <f>C31</f>
        <v>Motor Rewind</v>
      </c>
      <c r="D45" s="7" t="str">
        <f t="shared" si="19"/>
        <v>Idaho River</v>
      </c>
      <c r="E45" s="32">
        <f t="shared" ref="E45:X45" si="26">E31*E$40*$AA$25</f>
        <v>529.38906164169327</v>
      </c>
      <c r="F45" s="32">
        <f t="shared" si="26"/>
        <v>605.09396459609195</v>
      </c>
      <c r="G45" s="32">
        <f t="shared" si="26"/>
        <v>661.93406811000852</v>
      </c>
      <c r="H45" s="32">
        <f t="shared" si="26"/>
        <v>692.77156861073286</v>
      </c>
      <c r="I45" s="32">
        <f t="shared" si="26"/>
        <v>665.88242447074663</v>
      </c>
      <c r="J45" s="32">
        <f t="shared" si="26"/>
        <v>555.52362009146293</v>
      </c>
      <c r="K45" s="32">
        <f t="shared" si="26"/>
        <v>417.17259574730684</v>
      </c>
      <c r="L45" s="32">
        <f t="shared" si="26"/>
        <v>284.84558042585093</v>
      </c>
      <c r="M45" s="32">
        <f t="shared" si="26"/>
        <v>178.31109724442371</v>
      </c>
      <c r="N45" s="32">
        <f t="shared" si="26"/>
        <v>103.04877404128516</v>
      </c>
      <c r="O45" s="32">
        <f t="shared" si="26"/>
        <v>55.305664532032722</v>
      </c>
      <c r="P45" s="32">
        <f t="shared" si="26"/>
        <v>27.706416651641817</v>
      </c>
      <c r="Q45" s="32">
        <f t="shared" si="26"/>
        <v>13.013768126963537</v>
      </c>
      <c r="R45" s="32">
        <f t="shared" si="26"/>
        <v>5.7535863795062845</v>
      </c>
      <c r="S45" s="32">
        <f t="shared" si="26"/>
        <v>2.4026321226128133</v>
      </c>
      <c r="T45" s="32">
        <f t="shared" si="26"/>
        <v>0.95054875246545234</v>
      </c>
      <c r="U45" s="32">
        <f t="shared" si="26"/>
        <v>0.35729218927660911</v>
      </c>
      <c r="V45" s="32">
        <f t="shared" si="26"/>
        <v>0.12791244981439823</v>
      </c>
      <c r="W45" s="32">
        <f t="shared" si="26"/>
        <v>4.371487182468755E-2</v>
      </c>
      <c r="X45" s="32">
        <f t="shared" si="26"/>
        <v>1.4290977164108735E-2</v>
      </c>
      <c r="Y45" s="32"/>
      <c r="AA45" s="32">
        <f>SUM(E45:X45)</f>
        <v>4799.6485820329062</v>
      </c>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row>
    <row r="46" spans="1:71">
      <c r="C46" s="7" t="str">
        <f t="shared" ref="C46" si="27">C32</f>
        <v>Motor Rewind</v>
      </c>
      <c r="D46" s="7" t="str">
        <f t="shared" si="19"/>
        <v>Montana River</v>
      </c>
      <c r="E46" s="32">
        <f t="shared" ref="E46:X46" si="28">E32*E$40*$AA$25</f>
        <v>249.95764402615708</v>
      </c>
      <c r="F46" s="32">
        <f t="shared" si="28"/>
        <v>288.76592165505315</v>
      </c>
      <c r="G46" s="32">
        <f t="shared" si="28"/>
        <v>319.18211087688155</v>
      </c>
      <c r="H46" s="32">
        <f t="shared" si="28"/>
        <v>337.43711851930118</v>
      </c>
      <c r="I46" s="32">
        <f t="shared" si="28"/>
        <v>327.54063548913467</v>
      </c>
      <c r="J46" s="32">
        <f t="shared" si="28"/>
        <v>275.04044070476033</v>
      </c>
      <c r="K46" s="32">
        <f t="shared" si="28"/>
        <v>207.85903657156251</v>
      </c>
      <c r="L46" s="32">
        <f t="shared" si="28"/>
        <v>142.84501484965369</v>
      </c>
      <c r="M46" s="32">
        <f t="shared" si="28"/>
        <v>90.005385515769305</v>
      </c>
      <c r="N46" s="32">
        <f t="shared" si="28"/>
        <v>52.35879575886721</v>
      </c>
      <c r="O46" s="32">
        <f t="shared" si="28"/>
        <v>28.286971010618196</v>
      </c>
      <c r="P46" s="32">
        <f t="shared" si="28"/>
        <v>14.26503301440785</v>
      </c>
      <c r="Q46" s="32">
        <f t="shared" si="28"/>
        <v>6.7448192329489363</v>
      </c>
      <c r="R46" s="32">
        <f t="shared" si="28"/>
        <v>3.0017463300127791</v>
      </c>
      <c r="S46" s="32">
        <f t="shared" si="28"/>
        <v>1.2617680439795418</v>
      </c>
      <c r="T46" s="32">
        <f t="shared" si="28"/>
        <v>0.50246702644866104</v>
      </c>
      <c r="U46" s="32">
        <f t="shared" si="28"/>
        <v>0.19009857671489738</v>
      </c>
      <c r="V46" s="32">
        <f t="shared" si="28"/>
        <v>6.8496448532772966E-2</v>
      </c>
      <c r="W46" s="32">
        <f t="shared" si="28"/>
        <v>2.3559163834164683E-2</v>
      </c>
      <c r="X46" s="32">
        <f t="shared" si="28"/>
        <v>7.7507205445061537E-3</v>
      </c>
      <c r="Y46" s="32"/>
      <c r="AA46" s="32">
        <f t="shared" ref="AA46:AA48" si="29">SUM(E46:X46)</f>
        <v>2345.3448135351832</v>
      </c>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row>
    <row r="47" spans="1:71">
      <c r="C47" s="7" t="str">
        <f t="shared" ref="C47" si="30">C33</f>
        <v>Motor Rewind</v>
      </c>
      <c r="D47" s="7" t="str">
        <f t="shared" si="19"/>
        <v>Oregon River</v>
      </c>
      <c r="E47" s="32">
        <f t="shared" ref="E47:X47" si="31">E33*E$40*$AA$25</f>
        <v>409.76289557413571</v>
      </c>
      <c r="F47" s="32">
        <f t="shared" si="31"/>
        <v>473.03711724493928</v>
      </c>
      <c r="G47" s="32">
        <f t="shared" si="31"/>
        <v>522.58689207821101</v>
      </c>
      <c r="H47" s="32">
        <f t="shared" si="31"/>
        <v>552.70730578400457</v>
      </c>
      <c r="I47" s="32">
        <f t="shared" si="31"/>
        <v>541.29805437214236</v>
      </c>
      <c r="J47" s="32">
        <f t="shared" si="31"/>
        <v>456.53025046074373</v>
      </c>
      <c r="K47" s="32">
        <f t="shared" si="31"/>
        <v>346.53211165142881</v>
      </c>
      <c r="L47" s="32">
        <f t="shared" si="31"/>
        <v>239.30161094936315</v>
      </c>
      <c r="M47" s="32">
        <f t="shared" si="31"/>
        <v>151.36793762775619</v>
      </c>
      <c r="N47" s="32">
        <f t="shared" si="31"/>
        <v>89.192960253040354</v>
      </c>
      <c r="O47" s="32">
        <f t="shared" si="31"/>
        <v>48.348841327936249</v>
      </c>
      <c r="P47" s="32">
        <f t="shared" si="31"/>
        <v>24.459964233963504</v>
      </c>
      <c r="Q47" s="32">
        <f t="shared" si="31"/>
        <v>11.59242317313287</v>
      </c>
      <c r="R47" s="32">
        <f t="shared" si="31"/>
        <v>5.1740864735861196</v>
      </c>
      <c r="S47" s="32">
        <f t="shared" si="31"/>
        <v>2.1981744296210004</v>
      </c>
      <c r="T47" s="32">
        <f t="shared" si="31"/>
        <v>0.87815982844774088</v>
      </c>
      <c r="U47" s="32">
        <f t="shared" si="31"/>
        <v>0.33346442051509562</v>
      </c>
      <c r="V47" s="32">
        <f t="shared" si="31"/>
        <v>0.12058269727597506</v>
      </c>
      <c r="W47" s="32">
        <f t="shared" si="31"/>
        <v>4.1590894045638219E-2</v>
      </c>
      <c r="X47" s="32">
        <f t="shared" si="31"/>
        <v>1.384632378631104E-2</v>
      </c>
      <c r="Y47" s="32"/>
      <c r="AA47" s="32">
        <f t="shared" si="29"/>
        <v>3875.4782697980759</v>
      </c>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row>
    <row r="48" spans="1:71">
      <c r="C48" s="7" t="str">
        <f t="shared" ref="C48" si="32">C34</f>
        <v>Motor Rewind</v>
      </c>
      <c r="D48" s="7" t="str">
        <f t="shared" si="19"/>
        <v>Washington River</v>
      </c>
      <c r="E48" s="32">
        <f t="shared" ref="E48:X48" si="33">E34*E$40*$AA$25</f>
        <v>369.03715586949119</v>
      </c>
      <c r="F48" s="32">
        <f t="shared" si="33"/>
        <v>426.25515116936413</v>
      </c>
      <c r="G48" s="32">
        <f t="shared" si="33"/>
        <v>471.31115906805474</v>
      </c>
      <c r="H48" s="32">
        <f t="shared" si="33"/>
        <v>498.47465575510228</v>
      </c>
      <c r="I48" s="32">
        <f t="shared" si="33"/>
        <v>487.37650999638123</v>
      </c>
      <c r="J48" s="32">
        <f t="shared" si="33"/>
        <v>411.18331121876122</v>
      </c>
      <c r="K48" s="32">
        <f t="shared" si="33"/>
        <v>312.06958770305852</v>
      </c>
      <c r="L48" s="32">
        <f t="shared" si="33"/>
        <v>215.38935524512939</v>
      </c>
      <c r="M48" s="32">
        <f t="shared" si="33"/>
        <v>136.21252795158335</v>
      </c>
      <c r="N48" s="32">
        <f t="shared" si="33"/>
        <v>80.130856399420111</v>
      </c>
      <c r="O48" s="32">
        <f t="shared" si="33"/>
        <v>43.424867205296167</v>
      </c>
      <c r="P48" s="32">
        <f t="shared" si="33"/>
        <v>21.954480425825931</v>
      </c>
      <c r="Q48" s="32">
        <f t="shared" si="33"/>
        <v>10.40874937042625</v>
      </c>
      <c r="R48" s="32">
        <f t="shared" si="33"/>
        <v>4.6425431972291955</v>
      </c>
      <c r="S48" s="32">
        <f t="shared" si="33"/>
        <v>1.9690771071047501</v>
      </c>
      <c r="T48" s="32">
        <f t="shared" si="33"/>
        <v>0.78638956416984818</v>
      </c>
      <c r="U48" s="32">
        <f t="shared" si="33"/>
        <v>0.29842955966193491</v>
      </c>
      <c r="V48" s="32">
        <f t="shared" si="33"/>
        <v>0.10784632762869942</v>
      </c>
      <c r="W48" s="32">
        <f t="shared" si="33"/>
        <v>3.7185586565871773E-2</v>
      </c>
      <c r="X48" s="32">
        <f t="shared" si="33"/>
        <v>1.2354161253127612E-2</v>
      </c>
      <c r="Y48" s="32"/>
      <c r="AA48" s="32">
        <f t="shared" si="29"/>
        <v>3491.0821928815085</v>
      </c>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row>
    <row r="49" spans="1:80">
      <c r="E49" s="32"/>
      <c r="F49" s="32"/>
      <c r="G49" s="32"/>
      <c r="H49" s="32"/>
      <c r="I49" s="32"/>
      <c r="J49" s="32"/>
      <c r="K49" s="32"/>
      <c r="L49" s="32"/>
      <c r="M49" s="32"/>
      <c r="N49" s="32"/>
      <c r="O49" s="32"/>
      <c r="P49" s="32"/>
      <c r="Q49" s="32"/>
      <c r="R49" s="32"/>
      <c r="S49" s="32"/>
      <c r="T49" s="32"/>
      <c r="U49" s="32"/>
      <c r="V49" s="32"/>
      <c r="W49" s="32"/>
      <c r="X49" s="32"/>
      <c r="Y49" s="32"/>
      <c r="AA49" s="32"/>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row>
    <row r="50" spans="1:80">
      <c r="E50" s="32"/>
      <c r="F50" s="32"/>
      <c r="G50" s="32"/>
      <c r="H50" s="32"/>
      <c r="I50" s="32"/>
      <c r="J50" s="32"/>
      <c r="K50" s="32"/>
      <c r="L50" s="32"/>
      <c r="M50" s="32"/>
      <c r="N50" s="32"/>
      <c r="O50" s="32"/>
      <c r="P50" s="32"/>
      <c r="Q50" s="32"/>
      <c r="R50" s="32"/>
      <c r="S50" s="32"/>
      <c r="T50" s="32"/>
      <c r="U50" s="32"/>
      <c r="V50" s="32"/>
      <c r="W50" s="32"/>
      <c r="X50" s="32"/>
      <c r="Y50" s="32"/>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row>
    <row r="51" spans="1:80">
      <c r="C51" s="7" t="s">
        <v>136</v>
      </c>
      <c r="E51" s="32">
        <f>SUM(E41:E48)</f>
        <v>2749.0329845821893</v>
      </c>
      <c r="F51" s="32">
        <f t="shared" ref="F51:X51" si="34">SUM(F41:F48)</f>
        <v>3163.4356643172218</v>
      </c>
      <c r="G51" s="32">
        <f t="shared" si="34"/>
        <v>3484.0760726971307</v>
      </c>
      <c r="H51" s="32">
        <f t="shared" si="34"/>
        <v>3671.6336160342435</v>
      </c>
      <c r="I51" s="32">
        <f t="shared" si="34"/>
        <v>3568.0660851619659</v>
      </c>
      <c r="J51" s="32">
        <f t="shared" si="34"/>
        <v>2997.1133473171585</v>
      </c>
      <c r="K51" s="32">
        <f t="shared" si="34"/>
        <v>2265.676531503937</v>
      </c>
      <c r="L51" s="32">
        <f t="shared" si="34"/>
        <v>1557.6945180827729</v>
      </c>
      <c r="M51" s="32">
        <f t="shared" si="34"/>
        <v>981.46359941853552</v>
      </c>
      <c r="N51" s="32">
        <f t="shared" si="34"/>
        <v>573.59463190065185</v>
      </c>
      <c r="O51" s="32">
        <f t="shared" si="34"/>
        <v>309.79389325570469</v>
      </c>
      <c r="P51" s="32">
        <f t="shared" si="34"/>
        <v>156.15324788312967</v>
      </c>
      <c r="Q51" s="32">
        <f t="shared" si="34"/>
        <v>73.783247671127299</v>
      </c>
      <c r="R51" s="32">
        <f t="shared" si="34"/>
        <v>32.81665731977909</v>
      </c>
      <c r="S51" s="32">
        <f t="shared" si="34"/>
        <v>13.843833213016117</v>
      </c>
      <c r="T51" s="32">
        <f t="shared" si="34"/>
        <v>5.5114114337302249</v>
      </c>
      <c r="U51" s="32">
        <f t="shared" si="34"/>
        <v>2.0850576907866065</v>
      </c>
      <c r="V51" s="32">
        <f t="shared" si="34"/>
        <v>0.75122979270779222</v>
      </c>
      <c r="W51" s="32">
        <f t="shared" si="34"/>
        <v>0.25828035061408383</v>
      </c>
      <c r="X51" s="32">
        <f t="shared" si="34"/>
        <v>8.5350144542626155E-2</v>
      </c>
      <c r="Y51" s="32"/>
      <c r="AA51" s="32">
        <f t="shared" ref="AA51" si="35">SUM(E51:Y51)</f>
        <v>25606.869259770941</v>
      </c>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row>
    <row r="52" spans="1:80">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row>
    <row r="53" spans="1:80">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row>
    <row r="54" spans="1:80">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row>
    <row r="55" spans="1:80" ht="15">
      <c r="A55" s="50" t="s">
        <v>34</v>
      </c>
      <c r="C55" s="58" t="str">
        <f>C8</f>
        <v>Irr Motor</v>
      </c>
      <c r="D55" s="58"/>
      <c r="E55" s="7" t="s">
        <v>127</v>
      </c>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ht="15">
      <c r="A56" s="58" t="s">
        <v>35</v>
      </c>
      <c r="B56" s="58" t="s">
        <v>21</v>
      </c>
      <c r="C56" s="58">
        <v>1</v>
      </c>
      <c r="D56" s="58"/>
      <c r="E56" s="52">
        <f t="shared" ref="E56:X56" si="36">E11</f>
        <v>2016</v>
      </c>
      <c r="F56" s="53">
        <f t="shared" si="36"/>
        <v>2017</v>
      </c>
      <c r="G56" s="53">
        <f t="shared" si="36"/>
        <v>2018</v>
      </c>
      <c r="H56" s="53">
        <f t="shared" si="36"/>
        <v>2019</v>
      </c>
      <c r="I56" s="53">
        <f t="shared" si="36"/>
        <v>2020</v>
      </c>
      <c r="J56" s="53">
        <f t="shared" si="36"/>
        <v>2021</v>
      </c>
      <c r="K56" s="53">
        <f t="shared" si="36"/>
        <v>2022</v>
      </c>
      <c r="L56" s="53">
        <f t="shared" si="36"/>
        <v>2023</v>
      </c>
      <c r="M56" s="53">
        <f t="shared" si="36"/>
        <v>2024</v>
      </c>
      <c r="N56" s="53">
        <f t="shared" si="36"/>
        <v>2025</v>
      </c>
      <c r="O56" s="53">
        <f t="shared" si="36"/>
        <v>2026</v>
      </c>
      <c r="P56" s="53">
        <f t="shared" si="36"/>
        <v>2027</v>
      </c>
      <c r="Q56" s="53">
        <f t="shared" si="36"/>
        <v>2028</v>
      </c>
      <c r="R56" s="53">
        <f t="shared" si="36"/>
        <v>2029</v>
      </c>
      <c r="S56" s="53">
        <f t="shared" si="36"/>
        <v>2030</v>
      </c>
      <c r="T56" s="53">
        <f t="shared" si="36"/>
        <v>2031</v>
      </c>
      <c r="U56" s="53">
        <f t="shared" si="36"/>
        <v>2032</v>
      </c>
      <c r="V56" s="53">
        <f t="shared" si="36"/>
        <v>2033</v>
      </c>
      <c r="W56" s="53">
        <f t="shared" si="36"/>
        <v>2034</v>
      </c>
      <c r="X56" s="53">
        <f t="shared" si="36"/>
        <v>2035</v>
      </c>
      <c r="Y56" s="54" t="s">
        <v>32</v>
      </c>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ht="15">
      <c r="A57" s="58" t="s">
        <v>22</v>
      </c>
      <c r="B57" s="58" t="s">
        <v>36</v>
      </c>
      <c r="C57" s="58" t="s">
        <v>37</v>
      </c>
      <c r="D57" s="58" t="s">
        <v>135</v>
      </c>
      <c r="E57" s="55" t="str">
        <f>CONCATENATE("Units_",E$11)</f>
        <v>Units_2016</v>
      </c>
      <c r="F57" s="56" t="str">
        <f t="shared" ref="F57:X57" si="37">CONCATENATE("Units_",F$11)</f>
        <v>Units_2017</v>
      </c>
      <c r="G57" s="56" t="str">
        <f t="shared" si="37"/>
        <v>Units_2018</v>
      </c>
      <c r="H57" s="56" t="str">
        <f t="shared" si="37"/>
        <v>Units_2019</v>
      </c>
      <c r="I57" s="56" t="str">
        <f t="shared" si="37"/>
        <v>Units_2020</v>
      </c>
      <c r="J57" s="56" t="str">
        <f t="shared" si="37"/>
        <v>Units_2021</v>
      </c>
      <c r="K57" s="56" t="str">
        <f t="shared" si="37"/>
        <v>Units_2022</v>
      </c>
      <c r="L57" s="56" t="str">
        <f t="shared" si="37"/>
        <v>Units_2023</v>
      </c>
      <c r="M57" s="56" t="str">
        <f t="shared" si="37"/>
        <v>Units_2024</v>
      </c>
      <c r="N57" s="56" t="str">
        <f t="shared" si="37"/>
        <v>Units_2025</v>
      </c>
      <c r="O57" s="56" t="str">
        <f t="shared" si="37"/>
        <v>Units_2026</v>
      </c>
      <c r="P57" s="56" t="str">
        <f t="shared" si="37"/>
        <v>Units_2027</v>
      </c>
      <c r="Q57" s="56" t="str">
        <f t="shared" si="37"/>
        <v>Units_2028</v>
      </c>
      <c r="R57" s="56" t="str">
        <f t="shared" si="37"/>
        <v>Units_2029</v>
      </c>
      <c r="S57" s="56" t="str">
        <f t="shared" si="37"/>
        <v>Units_2030</v>
      </c>
      <c r="T57" s="56" t="str">
        <f t="shared" si="37"/>
        <v>Units_2031</v>
      </c>
      <c r="U57" s="56" t="str">
        <f t="shared" si="37"/>
        <v>Units_2032</v>
      </c>
      <c r="V57" s="56" t="str">
        <f t="shared" si="37"/>
        <v>Units_2033</v>
      </c>
      <c r="W57" s="56" t="str">
        <f t="shared" si="37"/>
        <v>Units_2034</v>
      </c>
      <c r="X57" s="56" t="str">
        <f t="shared" si="37"/>
        <v>Units_2035</v>
      </c>
      <c r="Y57" s="57" t="s">
        <v>32</v>
      </c>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A58" s="63">
        <f t="shared" ref="A58:A65" si="38">VLOOKUP($C58,MeasureOutput,3,FALSE)</f>
        <v>797.38994023341627</v>
      </c>
      <c r="B58" s="63">
        <f t="shared" ref="B58:B65" si="39">VLOOKUP($C58,MeasureOutput,11,FALSE)</f>
        <v>20.967614982634366</v>
      </c>
      <c r="C58" s="7" t="s">
        <v>314</v>
      </c>
      <c r="D58" s="7" t="str">
        <f>LEFT(C58,FIND(" ",C58))</f>
        <v xml:space="preserve">Montana </v>
      </c>
      <c r="E58" s="42">
        <f>VLOOKUP(LEFT($C58,FIND("Gre",$C58)-2),$D$41:$Y$48,E$26-1,FALSE)*$C$56*$A58/8760/1000</f>
        <v>6.7549041808146956E-3</v>
      </c>
      <c r="F58" s="42">
        <f t="shared" ref="F58:U65" si="40">VLOOKUP(LEFT($C58,FIND("Gre",$C58)-2),$D$41:$Y$48,F$26-1,FALSE)*$C$56*$A58/8760/1000</f>
        <v>7.8036666534607221E-3</v>
      </c>
      <c r="G58" s="42">
        <f t="shared" si="40"/>
        <v>8.6256396902904299E-3</v>
      </c>
      <c r="H58" s="42">
        <f t="shared" si="40"/>
        <v>9.1189665814323563E-3</v>
      </c>
      <c r="I58" s="42">
        <f t="shared" si="40"/>
        <v>8.8515220915617535E-3</v>
      </c>
      <c r="J58" s="42">
        <f t="shared" si="40"/>
        <v>7.4327465761170426E-3</v>
      </c>
      <c r="K58" s="42">
        <f t="shared" si="40"/>
        <v>5.6172231924638879E-3</v>
      </c>
      <c r="L58" s="42">
        <f t="shared" si="40"/>
        <v>3.8602715743131636E-3</v>
      </c>
      <c r="M58" s="42">
        <f t="shared" si="40"/>
        <v>2.4323231133218954E-3</v>
      </c>
      <c r="N58" s="42">
        <f t="shared" si="40"/>
        <v>1.4149543205687429E-3</v>
      </c>
      <c r="O58" s="42">
        <f t="shared" si="40"/>
        <v>7.6443262812244132E-4</v>
      </c>
      <c r="P58" s="42">
        <f t="shared" si="40"/>
        <v>3.8550103768140672E-4</v>
      </c>
      <c r="Q58" s="42">
        <f t="shared" si="40"/>
        <v>1.8227331199648528E-4</v>
      </c>
      <c r="R58" s="42">
        <f t="shared" si="40"/>
        <v>8.1119778966338123E-5</v>
      </c>
      <c r="S58" s="42">
        <f t="shared" si="40"/>
        <v>3.4098266003034796E-5</v>
      </c>
      <c r="T58" s="42">
        <f t="shared" si="40"/>
        <v>1.357876703832433E-5</v>
      </c>
      <c r="U58" s="42">
        <f t="shared" si="40"/>
        <v>5.1372610572533946E-6</v>
      </c>
      <c r="V58" s="42">
        <f t="shared" ref="V58:X65" si="41">VLOOKUP(LEFT($C58,FIND("Gre",$C58)-2),$D$41:$Y$48,V$26-1,FALSE)*$C$56*$A58/8760/1000</f>
        <v>1.8510614002929566E-6</v>
      </c>
      <c r="W58" s="42">
        <f t="shared" si="41"/>
        <v>6.3666744379797411E-7</v>
      </c>
      <c r="X58" s="42">
        <f t="shared" si="41"/>
        <v>2.094569854600333E-7</v>
      </c>
      <c r="Y58" s="42">
        <f>VLOOKUP(LEFT($C58,FIND("Gre",$C58)-2),$Z$27:$AA$34,2,FALSE)*$C$56*$A58/8760/1000</f>
        <v>7.3179398170502813E-2</v>
      </c>
      <c r="AA58" s="32">
        <f>SUM(E58:X58)</f>
        <v>6.338105621103951E-2</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A59" s="63">
        <f t="shared" si="38"/>
        <v>797.38994023341627</v>
      </c>
      <c r="B59" s="63">
        <f t="shared" si="39"/>
        <v>20.967614982634366</v>
      </c>
      <c r="C59" s="7" t="s">
        <v>319</v>
      </c>
      <c r="D59" s="7" t="str">
        <f t="shared" ref="D59:D65" si="42">LEFT(C59,FIND(" ",C59))</f>
        <v xml:space="preserve">Oregon </v>
      </c>
      <c r="E59" s="42">
        <f t="shared" ref="E59:E65" si="43">VLOOKUP(LEFT($C59,FIND("Gre",$C59)-2),$D$41:$Y$48,E$26-1,FALSE)*$C$56*$A59/8760/1000</f>
        <v>3.7299179316407721E-2</v>
      </c>
      <c r="F59" s="42">
        <f t="shared" si="40"/>
        <v>4.3058794366224853E-2</v>
      </c>
      <c r="G59" s="42">
        <f t="shared" si="40"/>
        <v>4.7569124502398565E-2</v>
      </c>
      <c r="H59" s="42">
        <f t="shared" si="40"/>
        <v>5.0310872776904103E-2</v>
      </c>
      <c r="I59" s="42">
        <f t="shared" si="40"/>
        <v>4.9272331418295331E-2</v>
      </c>
      <c r="J59" s="42">
        <f t="shared" si="40"/>
        <v>4.155623620201359E-2</v>
      </c>
      <c r="K59" s="42">
        <f t="shared" si="40"/>
        <v>3.1543518241859851E-2</v>
      </c>
      <c r="L59" s="42">
        <f t="shared" si="40"/>
        <v>2.1782727996880472E-2</v>
      </c>
      <c r="M59" s="42">
        <f t="shared" si="40"/>
        <v>1.3778455563727397E-2</v>
      </c>
      <c r="N59" s="42">
        <f t="shared" si="40"/>
        <v>8.1189005987914748E-3</v>
      </c>
      <c r="O59" s="42">
        <f t="shared" si="40"/>
        <v>4.4010136640226039E-3</v>
      </c>
      <c r="P59" s="42">
        <f t="shared" si="40"/>
        <v>2.2264987920812395E-3</v>
      </c>
      <c r="Q59" s="42">
        <f t="shared" si="40"/>
        <v>1.0552147969389142E-3</v>
      </c>
      <c r="R59" s="42">
        <f t="shared" si="40"/>
        <v>4.7097768309764429E-4</v>
      </c>
      <c r="S59" s="42">
        <f t="shared" si="40"/>
        <v>2.0009157272352893E-4</v>
      </c>
      <c r="T59" s="42">
        <f t="shared" si="40"/>
        <v>7.9935595105174787E-5</v>
      </c>
      <c r="U59" s="42">
        <f t="shared" si="40"/>
        <v>3.0354015336130465E-5</v>
      </c>
      <c r="V59" s="42">
        <f t="shared" si="41"/>
        <v>1.0976190613478755E-5</v>
      </c>
      <c r="W59" s="42">
        <f t="shared" si="41"/>
        <v>3.7858630727518048E-6</v>
      </c>
      <c r="X59" s="42">
        <f t="shared" si="41"/>
        <v>1.2603789151163344E-6</v>
      </c>
      <c r="Y59" s="42">
        <f t="shared" ref="Y59:Y65" si="44">VLOOKUP(LEFT($C59,FIND("Gre",$C59)-2),$Z$27:$AA$34,2,FALSE)*$C$56*$A59/8760/1000</f>
        <v>0.4403470730395086</v>
      </c>
      <c r="AA59" s="32">
        <f t="shared" ref="AA59:AA61" si="45">SUM(E59:X59)</f>
        <v>0.35277024953541003</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A60" s="63">
        <f t="shared" si="38"/>
        <v>857.35378710031875</v>
      </c>
      <c r="B60" s="63">
        <f t="shared" si="39"/>
        <v>21.497662727169729</v>
      </c>
      <c r="C60" s="7" t="s">
        <v>315</v>
      </c>
      <c r="D60" s="7" t="str">
        <f t="shared" si="42"/>
        <v xml:space="preserve">Oregon </v>
      </c>
      <c r="E60" s="42">
        <f t="shared" si="43"/>
        <v>3.8347439808518208E-2</v>
      </c>
      <c r="F60" s="42">
        <f t="shared" si="40"/>
        <v>4.4268923752427386E-2</v>
      </c>
      <c r="G60" s="42">
        <f t="shared" si="40"/>
        <v>4.8906012733561696E-2</v>
      </c>
      <c r="H60" s="42">
        <f t="shared" si="40"/>
        <v>5.172481542181441E-2</v>
      </c>
      <c r="I60" s="42">
        <f t="shared" si="40"/>
        <v>5.0657086775560044E-2</v>
      </c>
      <c r="J60" s="42">
        <f t="shared" si="40"/>
        <v>4.2724137518067987E-2</v>
      </c>
      <c r="K60" s="42">
        <f t="shared" si="40"/>
        <v>3.2430020962861072E-2</v>
      </c>
      <c r="L60" s="42">
        <f t="shared" si="40"/>
        <v>2.2394912328761309E-2</v>
      </c>
      <c r="M60" s="42">
        <f t="shared" si="40"/>
        <v>1.4165686888235428E-2</v>
      </c>
      <c r="N60" s="42">
        <f t="shared" si="40"/>
        <v>8.3470751295201245E-3</v>
      </c>
      <c r="O60" s="42">
        <f t="shared" si="40"/>
        <v>4.5247002660815357E-3</v>
      </c>
      <c r="P60" s="42">
        <f t="shared" si="40"/>
        <v>2.289072574192412E-3</v>
      </c>
      <c r="Q60" s="42">
        <f t="shared" si="40"/>
        <v>1.0848706768428144E-3</v>
      </c>
      <c r="R60" s="42">
        <f t="shared" si="40"/>
        <v>4.8421409491434619E-4</v>
      </c>
      <c r="S60" s="42">
        <f t="shared" si="40"/>
        <v>2.0571496965435788E-4</v>
      </c>
      <c r="T60" s="42">
        <f t="shared" si="40"/>
        <v>8.2182114406612473E-5</v>
      </c>
      <c r="U60" s="42">
        <f t="shared" si="40"/>
        <v>3.1207088128533281E-5</v>
      </c>
      <c r="V60" s="42">
        <f t="shared" si="41"/>
        <v>1.1284666756516092E-5</v>
      </c>
      <c r="W60" s="42">
        <f t="shared" si="41"/>
        <v>3.8922614107431143E-6</v>
      </c>
      <c r="X60" s="42">
        <f t="shared" si="41"/>
        <v>1.2958007513609809E-6</v>
      </c>
      <c r="Y60" s="42">
        <f t="shared" si="44"/>
        <v>0.45272263861343387</v>
      </c>
      <c r="AA60" s="32">
        <f t="shared" si="45"/>
        <v>0.36268454583246695</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63">
        <f t="shared" si="38"/>
        <v>857.35378710031875</v>
      </c>
      <c r="B61" s="63">
        <f t="shared" si="39"/>
        <v>21.497662727169729</v>
      </c>
      <c r="C61" s="7" t="s">
        <v>317</v>
      </c>
      <c r="D61" s="7" t="str">
        <f t="shared" si="42"/>
        <v xml:space="preserve">Idaho </v>
      </c>
      <c r="E61" s="42">
        <f t="shared" si="43"/>
        <v>5.1812068133332168E-2</v>
      </c>
      <c r="F61" s="42">
        <f t="shared" si="40"/>
        <v>5.9221415764612519E-2</v>
      </c>
      <c r="G61" s="42">
        <f t="shared" si="40"/>
        <v>6.4784438368131969E-2</v>
      </c>
      <c r="H61" s="42">
        <f t="shared" si="40"/>
        <v>6.7802548852036557E-2</v>
      </c>
      <c r="I61" s="42">
        <f t="shared" si="40"/>
        <v>6.5170869678485899E-2</v>
      </c>
      <c r="J61" s="42">
        <f t="shared" si="40"/>
        <v>5.4369894921129508E-2</v>
      </c>
      <c r="K61" s="42">
        <f t="shared" si="40"/>
        <v>4.08292813742493E-2</v>
      </c>
      <c r="L61" s="42">
        <f t="shared" si="40"/>
        <v>2.7878246246220515E-2</v>
      </c>
      <c r="M61" s="42">
        <f t="shared" si="40"/>
        <v>1.7451563299602724E-2</v>
      </c>
      <c r="N61" s="42">
        <f t="shared" si="40"/>
        <v>1.0085531584513795E-2</v>
      </c>
      <c r="O61" s="42">
        <f t="shared" si="40"/>
        <v>5.412844855552287E-3</v>
      </c>
      <c r="P61" s="42">
        <f t="shared" si="40"/>
        <v>2.7116668085918312E-3</v>
      </c>
      <c r="Q61" s="42">
        <f t="shared" si="40"/>
        <v>1.2736761858558915E-3</v>
      </c>
      <c r="R61" s="42">
        <f t="shared" si="40"/>
        <v>5.6311176619617859E-4</v>
      </c>
      <c r="S61" s="42">
        <f t="shared" si="40"/>
        <v>2.3514905814280511E-4</v>
      </c>
      <c r="T61" s="42">
        <f t="shared" si="40"/>
        <v>9.3031572231705364E-5</v>
      </c>
      <c r="U61" s="42">
        <f t="shared" si="40"/>
        <v>3.4968699951788209E-5</v>
      </c>
      <c r="V61" s="42">
        <f t="shared" si="41"/>
        <v>1.2518975258636277E-5</v>
      </c>
      <c r="W61" s="42">
        <f t="shared" si="41"/>
        <v>4.2784373186644851E-6</v>
      </c>
      <c r="X61" s="42">
        <f t="shared" si="41"/>
        <v>1.398678469522009E-6</v>
      </c>
      <c r="Y61" s="42">
        <f t="shared" si="44"/>
        <v>0.48866572011841969</v>
      </c>
      <c r="AA61" s="32">
        <f t="shared" si="45"/>
        <v>0.46974850325988426</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63">
        <f t="shared" si="38"/>
        <v>1111.4974068636257</v>
      </c>
      <c r="B62" s="63">
        <f t="shared" si="39"/>
        <v>24.294257144078045</v>
      </c>
      <c r="C62" s="7" t="s">
        <v>316</v>
      </c>
      <c r="D62" s="7" t="str">
        <f t="shared" si="42"/>
        <v xml:space="preserve">Washington </v>
      </c>
      <c r="E62" s="42">
        <f t="shared" si="43"/>
        <v>3.9137098367246562E-2</v>
      </c>
      <c r="F62" s="42">
        <f t="shared" si="40"/>
        <v>4.5205176539894608E-2</v>
      </c>
      <c r="G62" s="42">
        <f t="shared" si="40"/>
        <v>4.9983452616220364E-2</v>
      </c>
      <c r="H62" s="42">
        <f t="shared" si="40"/>
        <v>5.2864193552277533E-2</v>
      </c>
      <c r="I62" s="42">
        <f t="shared" si="40"/>
        <v>5.1687213903088197E-2</v>
      </c>
      <c r="J62" s="42">
        <f t="shared" si="40"/>
        <v>4.3606778998236909E-2</v>
      </c>
      <c r="K62" s="42">
        <f t="shared" si="40"/>
        <v>3.3095578472537163E-2</v>
      </c>
      <c r="L62" s="42">
        <f t="shared" si="40"/>
        <v>2.2842454342097685E-2</v>
      </c>
      <c r="M62" s="42">
        <f t="shared" si="40"/>
        <v>1.4445599909125997E-2</v>
      </c>
      <c r="N62" s="42">
        <f t="shared" si="40"/>
        <v>8.4980310499273414E-3</v>
      </c>
      <c r="O62" s="42">
        <f t="shared" si="40"/>
        <v>4.6052904764942587E-3</v>
      </c>
      <c r="P62" s="42">
        <f t="shared" si="40"/>
        <v>2.3283147682050852E-3</v>
      </c>
      <c r="Q62" s="42">
        <f t="shared" si="40"/>
        <v>1.1038678396233144E-3</v>
      </c>
      <c r="R62" s="42">
        <f t="shared" si="40"/>
        <v>4.9235061265323198E-4</v>
      </c>
      <c r="S62" s="42">
        <f t="shared" si="40"/>
        <v>2.088244048268822E-4</v>
      </c>
      <c r="T62" s="42">
        <f t="shared" si="40"/>
        <v>8.3398121946223956E-5</v>
      </c>
      <c r="U62" s="42">
        <f t="shared" si="40"/>
        <v>3.1649027330770169E-5</v>
      </c>
      <c r="V62" s="42">
        <f t="shared" si="41"/>
        <v>1.143730994513565E-5</v>
      </c>
      <c r="W62" s="42">
        <f t="shared" si="41"/>
        <v>3.9436027948008574E-6</v>
      </c>
      <c r="X62" s="42">
        <f t="shared" si="41"/>
        <v>1.3101825020011575E-6</v>
      </c>
      <c r="Y62" s="42">
        <f t="shared" si="44"/>
        <v>0.45774728772778478</v>
      </c>
      <c r="AA62" s="26">
        <f t="shared" ref="AA62:AA65" si="46">SUM(E62:X62)</f>
        <v>0.37023596409697412</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63">
        <f t="shared" si="38"/>
        <v>1470.9620152427756</v>
      </c>
      <c r="B63" s="63">
        <f t="shared" si="39"/>
        <v>24.664060668826579</v>
      </c>
      <c r="C63" s="7" t="s">
        <v>313</v>
      </c>
      <c r="D63" s="7" t="str">
        <f t="shared" si="42"/>
        <v xml:space="preserve">Idaho </v>
      </c>
      <c r="E63" s="42">
        <f t="shared" si="43"/>
        <v>6.9923397690675682E-2</v>
      </c>
      <c r="F63" s="42">
        <f t="shared" si="40"/>
        <v>7.9922743011484859E-2</v>
      </c>
      <c r="G63" s="42">
        <f t="shared" si="40"/>
        <v>8.7430365383691699E-2</v>
      </c>
      <c r="H63" s="42">
        <f t="shared" si="40"/>
        <v>9.1503480919195496E-2</v>
      </c>
      <c r="I63" s="42">
        <f t="shared" si="40"/>
        <v>8.7951876899589346E-2</v>
      </c>
      <c r="J63" s="42">
        <f t="shared" si="40"/>
        <v>7.3375333622797953E-2</v>
      </c>
      <c r="K63" s="42">
        <f t="shared" si="40"/>
        <v>5.5101488549141292E-2</v>
      </c>
      <c r="L63" s="42">
        <f t="shared" si="40"/>
        <v>3.7623313822885154E-2</v>
      </c>
      <c r="M63" s="42">
        <f t="shared" si="40"/>
        <v>2.3551899101612692E-2</v>
      </c>
      <c r="N63" s="42">
        <f t="shared" si="40"/>
        <v>1.3611011127582145E-2</v>
      </c>
      <c r="O63" s="42">
        <f t="shared" si="40"/>
        <v>7.3049487717557577E-3</v>
      </c>
      <c r="P63" s="42">
        <f t="shared" si="40"/>
        <v>3.6595519826353186E-3</v>
      </c>
      <c r="Q63" s="42">
        <f t="shared" si="40"/>
        <v>1.7189000493776816E-3</v>
      </c>
      <c r="R63" s="42">
        <f t="shared" si="40"/>
        <v>7.5995206118211931E-4</v>
      </c>
      <c r="S63" s="42">
        <f t="shared" si="40"/>
        <v>3.1734732276647549E-4</v>
      </c>
      <c r="T63" s="42">
        <f t="shared" si="40"/>
        <v>1.2555151448898546E-4</v>
      </c>
      <c r="U63" s="42">
        <f t="shared" si="40"/>
        <v>4.7192293254199934E-5</v>
      </c>
      <c r="V63" s="42">
        <f t="shared" si="41"/>
        <v>1.6895084817627727E-5</v>
      </c>
      <c r="W63" s="42">
        <f t="shared" si="41"/>
        <v>5.7739998596030753E-6</v>
      </c>
      <c r="X63" s="42">
        <f t="shared" si="41"/>
        <v>1.887597897348848E-6</v>
      </c>
      <c r="Y63" s="42">
        <f t="shared" si="44"/>
        <v>0.65948279458195747</v>
      </c>
      <c r="AA63" s="26">
        <f t="shared" si="46"/>
        <v>0.63395291080669147</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63">
        <f t="shared" si="38"/>
        <v>818.2600452312563</v>
      </c>
      <c r="B64" s="63">
        <f t="shared" si="39"/>
        <v>25.425128524182412</v>
      </c>
      <c r="C64" s="7" t="s">
        <v>318</v>
      </c>
      <c r="D64" s="7" t="str">
        <f t="shared" si="42"/>
        <v xml:space="preserve">Montana </v>
      </c>
      <c r="E64" s="42">
        <f t="shared" si="43"/>
        <v>2.3348213824970498E-2</v>
      </c>
      <c r="F64" s="42">
        <f t="shared" si="40"/>
        <v>2.6973243848711095E-2</v>
      </c>
      <c r="G64" s="42">
        <f t="shared" si="40"/>
        <v>2.9814379963827051E-2</v>
      </c>
      <c r="H64" s="42">
        <f t="shared" si="40"/>
        <v>3.1519556148665313E-2</v>
      </c>
      <c r="I64" s="42">
        <f t="shared" si="40"/>
        <v>3.0595138722649972E-2</v>
      </c>
      <c r="J64" s="42">
        <f t="shared" si="40"/>
        <v>2.5691164777568703E-2</v>
      </c>
      <c r="K64" s="42">
        <f t="shared" si="40"/>
        <v>1.9415838432279918E-2</v>
      </c>
      <c r="L64" s="42">
        <f t="shared" si="40"/>
        <v>1.3342964419170903E-2</v>
      </c>
      <c r="M64" s="42">
        <f t="shared" si="40"/>
        <v>8.4072843405468087E-3</v>
      </c>
      <c r="N64" s="42">
        <f t="shared" si="40"/>
        <v>4.8907660486192687E-3</v>
      </c>
      <c r="O64" s="42">
        <f t="shared" si="40"/>
        <v>2.6422486505255343E-3</v>
      </c>
      <c r="P64" s="42">
        <f t="shared" si="40"/>
        <v>1.3324779177619557E-3</v>
      </c>
      <c r="Q64" s="42">
        <f t="shared" si="40"/>
        <v>6.3002466788007348E-4</v>
      </c>
      <c r="R64" s="42">
        <f t="shared" si="40"/>
        <v>2.8038916527043544E-4</v>
      </c>
      <c r="S64" s="42">
        <f t="shared" si="40"/>
        <v>1.1786008866872759E-4</v>
      </c>
      <c r="T64" s="42">
        <f t="shared" si="40"/>
        <v>4.693478216770505E-5</v>
      </c>
      <c r="U64" s="42">
        <f t="shared" si="40"/>
        <v>1.7756857303781894E-5</v>
      </c>
      <c r="V64" s="42">
        <f t="shared" si="41"/>
        <v>6.3981629080601848E-6</v>
      </c>
      <c r="W64" s="42">
        <f t="shared" si="41"/>
        <v>2.2006304183281018E-6</v>
      </c>
      <c r="X64" s="42">
        <f t="shared" si="41"/>
        <v>7.2398458257105389E-7</v>
      </c>
      <c r="Y64" s="42">
        <f t="shared" si="44"/>
        <v>0.25294337126503591</v>
      </c>
      <c r="AA64" s="26">
        <f t="shared" si="46"/>
        <v>0.21907556543449669</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63">
        <f t="shared" si="38"/>
        <v>842.07444999887502</v>
      </c>
      <c r="B65" s="63">
        <f t="shared" si="39"/>
        <v>27.631302258884162</v>
      </c>
      <c r="C65" s="7" t="s">
        <v>320</v>
      </c>
      <c r="D65" s="7" t="str">
        <f t="shared" si="42"/>
        <v xml:space="preserve">Washington </v>
      </c>
      <c r="E65" s="42">
        <f t="shared" si="43"/>
        <v>3.5474515988350559E-2</v>
      </c>
      <c r="F65" s="42">
        <f t="shared" si="40"/>
        <v>4.0974722828781923E-2</v>
      </c>
      <c r="G65" s="42">
        <f t="shared" si="40"/>
        <v>4.5305831626776767E-2</v>
      </c>
      <c r="H65" s="42">
        <f t="shared" si="40"/>
        <v>4.7916983057460769E-2</v>
      </c>
      <c r="I65" s="42">
        <f t="shared" si="40"/>
        <v>4.6850149154974187E-2</v>
      </c>
      <c r="J65" s="42">
        <f t="shared" si="40"/>
        <v>3.9525908749229975E-2</v>
      </c>
      <c r="K65" s="42">
        <f t="shared" si="40"/>
        <v>2.9998382012149393E-2</v>
      </c>
      <c r="L65" s="42">
        <f t="shared" si="40"/>
        <v>2.0704780006124961E-2</v>
      </c>
      <c r="M65" s="42">
        <f t="shared" si="40"/>
        <v>1.3093731684678762E-2</v>
      </c>
      <c r="N65" s="42">
        <f t="shared" si="40"/>
        <v>7.7027564874977772E-3</v>
      </c>
      <c r="O65" s="42">
        <f t="shared" si="40"/>
        <v>4.1743117771888081E-3</v>
      </c>
      <c r="P65" s="42">
        <f t="shared" si="40"/>
        <v>2.1104231768936574E-3</v>
      </c>
      <c r="Q65" s="42">
        <f t="shared" si="40"/>
        <v>1.0005641439814865E-3</v>
      </c>
      <c r="R65" s="42">
        <f t="shared" si="40"/>
        <v>4.4627477276287596E-4</v>
      </c>
      <c r="S65" s="42">
        <f t="shared" si="40"/>
        <v>1.8928190890075438E-4</v>
      </c>
      <c r="T65" s="42">
        <f t="shared" si="40"/>
        <v>7.5593442891915531E-5</v>
      </c>
      <c r="U65" s="42">
        <f t="shared" si="40"/>
        <v>2.8687204031476062E-5</v>
      </c>
      <c r="V65" s="42">
        <f t="shared" si="41"/>
        <v>1.0366967696613647E-5</v>
      </c>
      <c r="W65" s="42">
        <f t="shared" si="41"/>
        <v>3.574547072527629E-6</v>
      </c>
      <c r="X65" s="42">
        <f t="shared" si="41"/>
        <v>1.1875711806421055E-6</v>
      </c>
      <c r="Y65" s="42">
        <f t="shared" si="44"/>
        <v>0.41490974432363986</v>
      </c>
      <c r="AA65" s="26">
        <f t="shared" si="46"/>
        <v>0.33558802710862579</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A66" s="32"/>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B67" s="61">
        <f>SUMPRODUCT($B$58:$B$65,$AA$58:$AA$65)/AA67</f>
        <v>23.542572409588324</v>
      </c>
      <c r="E67" s="26">
        <f t="shared" ref="E67:Y67" si="47">SUM(E58:E65)</f>
        <v>0.30209681731031607</v>
      </c>
      <c r="F67" s="26">
        <f t="shared" si="47"/>
        <v>0.34742868676559802</v>
      </c>
      <c r="G67" s="26">
        <f t="shared" si="47"/>
        <v>0.38241924488489859</v>
      </c>
      <c r="H67" s="26">
        <f t="shared" si="47"/>
        <v>0.40276141730978654</v>
      </c>
      <c r="I67" s="26">
        <f t="shared" si="47"/>
        <v>0.39103618864420475</v>
      </c>
      <c r="J67" s="26">
        <f t="shared" si="47"/>
        <v>0.32828220136516167</v>
      </c>
      <c r="K67" s="26">
        <f t="shared" si="47"/>
        <v>0.24803133123754187</v>
      </c>
      <c r="L67" s="26">
        <f t="shared" si="47"/>
        <v>0.17042967073645418</v>
      </c>
      <c r="M67" s="26">
        <f t="shared" si="47"/>
        <v>0.10732654390085172</v>
      </c>
      <c r="N67" s="26">
        <f t="shared" si="47"/>
        <v>6.2669026347020665E-2</v>
      </c>
      <c r="O67" s="26">
        <f t="shared" si="47"/>
        <v>3.3829791089743225E-2</v>
      </c>
      <c r="P67" s="26">
        <f t="shared" si="47"/>
        <v>1.7043507058042907E-2</v>
      </c>
      <c r="Q67" s="26">
        <f t="shared" si="47"/>
        <v>8.0493916724966603E-3</v>
      </c>
      <c r="R67" s="26">
        <f t="shared" si="47"/>
        <v>3.57838993504317E-3</v>
      </c>
      <c r="S67" s="26">
        <f t="shared" si="47"/>
        <v>1.5083675916865665E-3</v>
      </c>
      <c r="T67" s="26">
        <f t="shared" si="47"/>
        <v>6.0020591027664695E-4</v>
      </c>
      <c r="U67" s="26">
        <f t="shared" si="47"/>
        <v>2.2695244639393342E-4</v>
      </c>
      <c r="V67" s="26">
        <f t="shared" si="47"/>
        <v>8.1728419396361296E-5</v>
      </c>
      <c r="W67" s="26">
        <f t="shared" si="47"/>
        <v>2.808600939121704E-5</v>
      </c>
      <c r="X67" s="26">
        <f t="shared" si="47"/>
        <v>9.2736512840225223E-6</v>
      </c>
      <c r="Y67" s="26">
        <f t="shared" si="47"/>
        <v>3.2399980278402829</v>
      </c>
      <c r="AA67" s="32">
        <f>SUM(E67:X67)</f>
        <v>2.8074368222855894</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row>
    <row r="69" spans="1:80">
      <c r="D69" s="26"/>
      <c r="E69" s="26">
        <f>E67</f>
        <v>0.30209681731031607</v>
      </c>
      <c r="F69" s="26">
        <f>F67+E69</f>
        <v>0.64952550407591403</v>
      </c>
      <c r="G69" s="26">
        <f t="shared" ref="G69:W69" si="48">G67+F69</f>
        <v>1.0319447489608127</v>
      </c>
      <c r="H69" s="26">
        <f t="shared" si="48"/>
        <v>1.4347061662705993</v>
      </c>
      <c r="I69" s="26">
        <f t="shared" si="48"/>
        <v>1.8257423549148042</v>
      </c>
      <c r="J69" s="26">
        <f t="shared" si="48"/>
        <v>2.1540245562799658</v>
      </c>
      <c r="K69" s="26">
        <f t="shared" si="48"/>
        <v>2.4020558875175078</v>
      </c>
      <c r="L69" s="26">
        <f t="shared" si="48"/>
        <v>2.5724855582539621</v>
      </c>
      <c r="M69" s="26">
        <f t="shared" si="48"/>
        <v>2.6798121021548136</v>
      </c>
      <c r="N69" s="26">
        <f t="shared" si="48"/>
        <v>2.7424811285018342</v>
      </c>
      <c r="O69" s="26">
        <f t="shared" si="48"/>
        <v>2.7763109195915776</v>
      </c>
      <c r="P69" s="26">
        <f t="shared" si="48"/>
        <v>2.7933544266496204</v>
      </c>
      <c r="Q69" s="26">
        <f t="shared" si="48"/>
        <v>2.8014038183221173</v>
      </c>
      <c r="R69" s="26">
        <f t="shared" si="48"/>
        <v>2.8049822082571603</v>
      </c>
      <c r="S69" s="26">
        <f t="shared" si="48"/>
        <v>2.806490575848847</v>
      </c>
      <c r="T69" s="26">
        <f t="shared" si="48"/>
        <v>2.8070907817591237</v>
      </c>
      <c r="U69" s="26">
        <f t="shared" si="48"/>
        <v>2.8073177342055176</v>
      </c>
      <c r="V69" s="26">
        <f t="shared" si="48"/>
        <v>2.8073994626249141</v>
      </c>
      <c r="W69" s="26">
        <f t="shared" si="48"/>
        <v>2.8074275486343052</v>
      </c>
      <c r="X69" s="26">
        <f>X67+W69</f>
        <v>2.8074368222855894</v>
      </c>
      <c r="Y69" s="26"/>
      <c r="Z69" s="26"/>
      <c r="AA69" s="26"/>
      <c r="AB69" s="43"/>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row>
    <row r="70" spans="1:8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row>
    <row r="71" spans="1:80">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row>
    <row r="72" spans="1:80" ht="15">
      <c r="A72" s="50" t="s">
        <v>38</v>
      </c>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row>
    <row r="73" spans="1:80" ht="15">
      <c r="E73" s="52">
        <f t="shared" ref="E73:X73" si="49">E11</f>
        <v>2016</v>
      </c>
      <c r="F73" s="53">
        <f t="shared" si="49"/>
        <v>2017</v>
      </c>
      <c r="G73" s="53">
        <f t="shared" si="49"/>
        <v>2018</v>
      </c>
      <c r="H73" s="53">
        <f t="shared" si="49"/>
        <v>2019</v>
      </c>
      <c r="I73" s="53">
        <f t="shared" si="49"/>
        <v>2020</v>
      </c>
      <c r="J73" s="53">
        <f t="shared" si="49"/>
        <v>2021</v>
      </c>
      <c r="K73" s="53">
        <f t="shared" si="49"/>
        <v>2022</v>
      </c>
      <c r="L73" s="53">
        <f t="shared" si="49"/>
        <v>2023</v>
      </c>
      <c r="M73" s="53">
        <f t="shared" si="49"/>
        <v>2024</v>
      </c>
      <c r="N73" s="53">
        <f t="shared" si="49"/>
        <v>2025</v>
      </c>
      <c r="O73" s="53">
        <f t="shared" si="49"/>
        <v>2026</v>
      </c>
      <c r="P73" s="53">
        <f t="shared" si="49"/>
        <v>2027</v>
      </c>
      <c r="Q73" s="53">
        <f t="shared" si="49"/>
        <v>2028</v>
      </c>
      <c r="R73" s="53">
        <f t="shared" si="49"/>
        <v>2029</v>
      </c>
      <c r="S73" s="53">
        <f t="shared" si="49"/>
        <v>2030</v>
      </c>
      <c r="T73" s="53">
        <f t="shared" si="49"/>
        <v>2031</v>
      </c>
      <c r="U73" s="53">
        <f t="shared" si="49"/>
        <v>2032</v>
      </c>
      <c r="V73" s="53">
        <f t="shared" si="49"/>
        <v>2033</v>
      </c>
      <c r="W73" s="53">
        <f t="shared" si="49"/>
        <v>2034</v>
      </c>
      <c r="X73" s="53">
        <f t="shared" si="49"/>
        <v>2035</v>
      </c>
      <c r="Y73" s="54" t="s">
        <v>32</v>
      </c>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row>
    <row r="74" spans="1:80" ht="15">
      <c r="C74" s="44" t="s">
        <v>36</v>
      </c>
      <c r="D74" s="44" t="s">
        <v>36</v>
      </c>
      <c r="E74" s="55" t="str">
        <f t="shared" ref="E74:X74" si="50">CONCATENATE("Units_",E$11)</f>
        <v>Units_2016</v>
      </c>
      <c r="F74" s="56" t="str">
        <f t="shared" si="50"/>
        <v>Units_2017</v>
      </c>
      <c r="G74" s="56" t="str">
        <f t="shared" si="50"/>
        <v>Units_2018</v>
      </c>
      <c r="H74" s="56" t="str">
        <f t="shared" si="50"/>
        <v>Units_2019</v>
      </c>
      <c r="I74" s="56" t="str">
        <f t="shared" si="50"/>
        <v>Units_2020</v>
      </c>
      <c r="J74" s="56" t="str">
        <f t="shared" si="50"/>
        <v>Units_2021</v>
      </c>
      <c r="K74" s="56" t="str">
        <f t="shared" si="50"/>
        <v>Units_2022</v>
      </c>
      <c r="L74" s="56" t="str">
        <f t="shared" si="50"/>
        <v>Units_2023</v>
      </c>
      <c r="M74" s="56" t="str">
        <f t="shared" si="50"/>
        <v>Units_2024</v>
      </c>
      <c r="N74" s="56" t="str">
        <f t="shared" si="50"/>
        <v>Units_2025</v>
      </c>
      <c r="O74" s="56" t="str">
        <f t="shared" si="50"/>
        <v>Units_2026</v>
      </c>
      <c r="P74" s="56" t="str">
        <f t="shared" si="50"/>
        <v>Units_2027</v>
      </c>
      <c r="Q74" s="56" t="str">
        <f t="shared" si="50"/>
        <v>Units_2028</v>
      </c>
      <c r="R74" s="56" t="str">
        <f t="shared" si="50"/>
        <v>Units_2029</v>
      </c>
      <c r="S74" s="56" t="str">
        <f t="shared" si="50"/>
        <v>Units_2030</v>
      </c>
      <c r="T74" s="56" t="str">
        <f t="shared" si="50"/>
        <v>Units_2031</v>
      </c>
      <c r="U74" s="56" t="str">
        <f t="shared" si="50"/>
        <v>Units_2032</v>
      </c>
      <c r="V74" s="56" t="str">
        <f t="shared" si="50"/>
        <v>Units_2033</v>
      </c>
      <c r="W74" s="56" t="str">
        <f t="shared" si="50"/>
        <v>Units_2034</v>
      </c>
      <c r="X74" s="56" t="str">
        <f t="shared" si="50"/>
        <v>Units_2035</v>
      </c>
      <c r="Y74" s="57" t="s">
        <v>32</v>
      </c>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row>
    <row r="75" spans="1:80">
      <c r="B75" s="7" t="s">
        <v>39</v>
      </c>
      <c r="C75" s="45" t="s">
        <v>40</v>
      </c>
      <c r="D75" s="45" t="s">
        <v>41</v>
      </c>
      <c r="E75" s="42">
        <f>DSUM($B$57:$Y$65,E$57,$C$74:$D75)</f>
        <v>0</v>
      </c>
      <c r="F75" s="42">
        <f>DSUM($B$57:$Y$65,F$57,$C$74:$D75)</f>
        <v>0</v>
      </c>
      <c r="G75" s="42">
        <f>DSUM($B$57:$Y$65,G$57,$C$74:$D75)</f>
        <v>0</v>
      </c>
      <c r="H75" s="42">
        <f>DSUM($B$57:$Y$65,H$57,$C$74:$D75)</f>
        <v>0</v>
      </c>
      <c r="I75" s="42">
        <f>DSUM($B$57:$Y$65,I$57,$C$74:$D75)</f>
        <v>0</v>
      </c>
      <c r="J75" s="42">
        <f>DSUM($B$57:$Y$65,J$57,$C$74:$D75)</f>
        <v>0</v>
      </c>
      <c r="K75" s="42">
        <f>DSUM($B$57:$Y$65,K$57,$C$74:$D75)</f>
        <v>0</v>
      </c>
      <c r="L75" s="42">
        <f>DSUM($B$57:$Y$65,L$57,$C$74:$D75)</f>
        <v>0</v>
      </c>
      <c r="M75" s="42">
        <f>DSUM($B$57:$Y$65,M$57,$C$74:$D75)</f>
        <v>0</v>
      </c>
      <c r="N75" s="42">
        <f>DSUM($B$57:$Y$65,N$57,$C$74:$D75)</f>
        <v>0</v>
      </c>
      <c r="O75" s="42">
        <f>DSUM($B$57:$Y$65,O$57,$C$74:$D75)</f>
        <v>0</v>
      </c>
      <c r="P75" s="42">
        <f>DSUM($B$57:$Y$65,P$57,$C$74:$D75)</f>
        <v>0</v>
      </c>
      <c r="Q75" s="42">
        <f>DSUM($B$57:$Y$65,Q$57,$C$74:$D75)</f>
        <v>0</v>
      </c>
      <c r="R75" s="42">
        <f>DSUM($B$57:$Y$65,R$57,$C$74:$D75)</f>
        <v>0</v>
      </c>
      <c r="S75" s="42">
        <f>DSUM($B$57:$Y$65,S$57,$C$74:$D75)</f>
        <v>0</v>
      </c>
      <c r="T75" s="42">
        <f>DSUM($B$57:$Y$65,T$57,$C$74:$D75)</f>
        <v>0</v>
      </c>
      <c r="U75" s="42">
        <f>DSUM($B$57:$Y$65,U$57,$C$74:$D75)</f>
        <v>0</v>
      </c>
      <c r="V75" s="42">
        <f>DSUM($B$57:$Y$65,V$57,$C$74:$D75)</f>
        <v>0</v>
      </c>
      <c r="W75" s="42">
        <f>DSUM($B$57:$Y$65,W$57,$C$74:$D75)</f>
        <v>0</v>
      </c>
      <c r="X75" s="42">
        <f>DSUM($B$57:$Y$65,X$57,$C$74:$D75)</f>
        <v>0</v>
      </c>
      <c r="Y75" s="42">
        <f>DSUM($B$57:$Y$65,Y$57,$C$74:$D75)</f>
        <v>0</v>
      </c>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row>
    <row r="76" spans="1:80">
      <c r="B76" s="7" t="s">
        <v>42</v>
      </c>
      <c r="C76" s="45" t="s">
        <v>43</v>
      </c>
      <c r="D76" s="45" t="s">
        <v>44</v>
      </c>
      <c r="E76" s="42">
        <f>DSUM($B$57:$Y$65,E$57,$C$74:$D76)</f>
        <v>0</v>
      </c>
      <c r="F76" s="42">
        <f>DSUM($B$57:$Y$65,F$57,$C$74:$D76)</f>
        <v>0</v>
      </c>
      <c r="G76" s="42">
        <f>DSUM($B$57:$Y$65,G$57,$C$74:$D76)</f>
        <v>0</v>
      </c>
      <c r="H76" s="42">
        <f>DSUM($B$57:$Y$65,H$57,$C$74:$D76)</f>
        <v>0</v>
      </c>
      <c r="I76" s="42">
        <f>DSUM($B$57:$Y$65,I$57,$C$74:$D76)</f>
        <v>0</v>
      </c>
      <c r="J76" s="42">
        <f>DSUM($B$57:$Y$65,J$57,$C$74:$D76)</f>
        <v>0</v>
      </c>
      <c r="K76" s="42">
        <f>DSUM($B$57:$Y$65,K$57,$C$74:$D76)</f>
        <v>0</v>
      </c>
      <c r="L76" s="42">
        <f>DSUM($B$57:$Y$65,L$57,$C$74:$D76)</f>
        <v>0</v>
      </c>
      <c r="M76" s="42">
        <f>DSUM($B$57:$Y$65,M$57,$C$74:$D76)</f>
        <v>0</v>
      </c>
      <c r="N76" s="42">
        <f>DSUM($B$57:$Y$65,N$57,$C$74:$D76)</f>
        <v>0</v>
      </c>
      <c r="O76" s="42">
        <f>DSUM($B$57:$Y$65,O$57,$C$74:$D76)</f>
        <v>0</v>
      </c>
      <c r="P76" s="42">
        <f>DSUM($B$57:$Y$65,P$57,$C$74:$D76)</f>
        <v>0</v>
      </c>
      <c r="Q76" s="42">
        <f>DSUM($B$57:$Y$65,Q$57,$C$74:$D76)</f>
        <v>0</v>
      </c>
      <c r="R76" s="42">
        <f>DSUM($B$57:$Y$65,R$57,$C$74:$D76)</f>
        <v>0</v>
      </c>
      <c r="S76" s="42">
        <f>DSUM($B$57:$Y$65,S$57,$C$74:$D76)</f>
        <v>0</v>
      </c>
      <c r="T76" s="42">
        <f>DSUM($B$57:$Y$65,T$57,$C$74:$D76)</f>
        <v>0</v>
      </c>
      <c r="U76" s="42">
        <f>DSUM($B$57:$Y$65,U$57,$C$74:$D76)</f>
        <v>0</v>
      </c>
      <c r="V76" s="42">
        <f>DSUM($B$57:$Y$65,V$57,$C$74:$D76)</f>
        <v>0</v>
      </c>
      <c r="W76" s="42">
        <f>DSUM($B$57:$Y$65,W$57,$C$74:$D76)</f>
        <v>0</v>
      </c>
      <c r="X76" s="42">
        <f>DSUM($B$57:$Y$65,X$57,$C$74:$D76)</f>
        <v>0</v>
      </c>
      <c r="Y76" s="42">
        <f>DSUM($B$57:$Y$65,Y$57,$C$74:$D76)</f>
        <v>0</v>
      </c>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row>
    <row r="77" spans="1:80">
      <c r="B77" s="7" t="s">
        <v>45</v>
      </c>
      <c r="C77" s="45" t="s">
        <v>46</v>
      </c>
      <c r="D77" s="45" t="s">
        <v>47</v>
      </c>
      <c r="E77" s="42">
        <f>DSUM($B$57:$Y$65,E$57,$C$74:$D77)</f>
        <v>0</v>
      </c>
      <c r="F77" s="42">
        <f>DSUM($B$57:$Y$65,F$57,$C$74:$D77)</f>
        <v>0</v>
      </c>
      <c r="G77" s="42">
        <f>DSUM($B$57:$Y$65,G$57,$C$74:$D77)</f>
        <v>0</v>
      </c>
      <c r="H77" s="42">
        <f>DSUM($B$57:$Y$65,H$57,$C$74:$D77)</f>
        <v>0</v>
      </c>
      <c r="I77" s="42">
        <f>DSUM($B$57:$Y$65,I$57,$C$74:$D77)</f>
        <v>0</v>
      </c>
      <c r="J77" s="42">
        <f>DSUM($B$57:$Y$65,J$57,$C$74:$D77)</f>
        <v>0</v>
      </c>
      <c r="K77" s="42">
        <f>DSUM($B$57:$Y$65,K$57,$C$74:$D77)</f>
        <v>0</v>
      </c>
      <c r="L77" s="42">
        <f>DSUM($B$57:$Y$65,L$57,$C$74:$D77)</f>
        <v>0</v>
      </c>
      <c r="M77" s="42">
        <f>DSUM($B$57:$Y$65,M$57,$C$74:$D77)</f>
        <v>0</v>
      </c>
      <c r="N77" s="42">
        <f>DSUM($B$57:$Y$65,N$57,$C$74:$D77)</f>
        <v>0</v>
      </c>
      <c r="O77" s="42">
        <f>DSUM($B$57:$Y$65,O$57,$C$74:$D77)</f>
        <v>0</v>
      </c>
      <c r="P77" s="42">
        <f>DSUM($B$57:$Y$65,P$57,$C$74:$D77)</f>
        <v>0</v>
      </c>
      <c r="Q77" s="42">
        <f>DSUM($B$57:$Y$65,Q$57,$C$74:$D77)</f>
        <v>0</v>
      </c>
      <c r="R77" s="42">
        <f>DSUM($B$57:$Y$65,R$57,$C$74:$D77)</f>
        <v>0</v>
      </c>
      <c r="S77" s="42">
        <f>DSUM($B$57:$Y$65,S$57,$C$74:$D77)</f>
        <v>0</v>
      </c>
      <c r="T77" s="42">
        <f>DSUM($B$57:$Y$65,T$57,$C$74:$D77)</f>
        <v>0</v>
      </c>
      <c r="U77" s="42">
        <f>DSUM($B$57:$Y$65,U$57,$C$74:$D77)</f>
        <v>0</v>
      </c>
      <c r="V77" s="42">
        <f>DSUM($B$57:$Y$65,V$57,$C$74:$D77)</f>
        <v>0</v>
      </c>
      <c r="W77" s="42">
        <f>DSUM($B$57:$Y$65,W$57,$C$74:$D77)</f>
        <v>0</v>
      </c>
      <c r="X77" s="42">
        <f>DSUM($B$57:$Y$65,X$57,$C$74:$D77)</f>
        <v>0</v>
      </c>
      <c r="Y77" s="42">
        <f>DSUM($B$57:$Y$65,Y$57,$C$74:$D77)</f>
        <v>0</v>
      </c>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1:80">
      <c r="B78" s="7" t="s">
        <v>48</v>
      </c>
      <c r="C78" s="45" t="s">
        <v>49</v>
      </c>
      <c r="D78" s="45" t="s">
        <v>50</v>
      </c>
      <c r="E78" s="42">
        <f>DSUM($B$57:$Y$65,E$57,$C$74:$D78)</f>
        <v>0.30209681731031607</v>
      </c>
      <c r="F78" s="42">
        <f>DSUM($B$57:$Y$65,F$57,$C$74:$D78)</f>
        <v>0.34742868676559802</v>
      </c>
      <c r="G78" s="42">
        <f>DSUM($B$57:$Y$65,G$57,$C$74:$D78)</f>
        <v>0.38241924488489859</v>
      </c>
      <c r="H78" s="42">
        <f>DSUM($B$57:$Y$65,H$57,$C$74:$D78)</f>
        <v>0.40276141730978654</v>
      </c>
      <c r="I78" s="42">
        <f>DSUM($B$57:$Y$65,I$57,$C$74:$D78)</f>
        <v>0.39103618864420475</v>
      </c>
      <c r="J78" s="42">
        <f>DSUM($B$57:$Y$65,J$57,$C$74:$D78)</f>
        <v>0.32828220136516167</v>
      </c>
      <c r="K78" s="42">
        <f>DSUM($B$57:$Y$65,K$57,$C$74:$D78)</f>
        <v>0.24803133123754187</v>
      </c>
      <c r="L78" s="42">
        <f>DSUM($B$57:$Y$65,L$57,$C$74:$D78)</f>
        <v>0.17042967073645418</v>
      </c>
      <c r="M78" s="42">
        <f>DSUM($B$57:$Y$65,M$57,$C$74:$D78)</f>
        <v>0.10732654390085172</v>
      </c>
      <c r="N78" s="42">
        <f>DSUM($B$57:$Y$65,N$57,$C$74:$D78)</f>
        <v>6.2669026347020665E-2</v>
      </c>
      <c r="O78" s="42">
        <f>DSUM($B$57:$Y$65,O$57,$C$74:$D78)</f>
        <v>3.3829791089743225E-2</v>
      </c>
      <c r="P78" s="42">
        <f>DSUM($B$57:$Y$65,P$57,$C$74:$D78)</f>
        <v>1.7043507058042907E-2</v>
      </c>
      <c r="Q78" s="42">
        <f>DSUM($B$57:$Y$65,Q$57,$C$74:$D78)</f>
        <v>8.0493916724966603E-3</v>
      </c>
      <c r="R78" s="42">
        <f>DSUM($B$57:$Y$65,R$57,$C$74:$D78)</f>
        <v>3.57838993504317E-3</v>
      </c>
      <c r="S78" s="42">
        <f>DSUM($B$57:$Y$65,S$57,$C$74:$D78)</f>
        <v>1.5083675916865665E-3</v>
      </c>
      <c r="T78" s="42">
        <f>DSUM($B$57:$Y$65,T$57,$C$74:$D78)</f>
        <v>6.0020591027664695E-4</v>
      </c>
      <c r="U78" s="42">
        <f>DSUM($B$57:$Y$65,U$57,$C$74:$D78)</f>
        <v>2.2695244639393342E-4</v>
      </c>
      <c r="V78" s="42">
        <f>DSUM($B$57:$Y$65,V$57,$C$74:$D78)</f>
        <v>8.1728419396361296E-5</v>
      </c>
      <c r="W78" s="42">
        <f>DSUM($B$57:$Y$65,W$57,$C$74:$D78)</f>
        <v>2.808600939121704E-5</v>
      </c>
      <c r="X78" s="42">
        <f>DSUM($B$57:$Y$65,X$57,$C$74:$D78)</f>
        <v>9.2736512840225223E-6</v>
      </c>
      <c r="Y78" s="42">
        <f>DSUM($B$57:$Y$65,Y$57,$C$74:$D78)</f>
        <v>3.2399980278402829</v>
      </c>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1:80">
      <c r="B79" s="7" t="s">
        <v>51</v>
      </c>
      <c r="C79" s="45" t="s">
        <v>52</v>
      </c>
      <c r="D79" s="45" t="s">
        <v>53</v>
      </c>
      <c r="E79" s="42">
        <f>DSUM($B$57:$Y$65,E$57,$C$74:$D79)</f>
        <v>0.30209681731031607</v>
      </c>
      <c r="F79" s="42">
        <f>DSUM($B$57:$Y$65,F$57,$C$74:$D79)</f>
        <v>0.34742868676559802</v>
      </c>
      <c r="G79" s="42">
        <f>DSUM($B$57:$Y$65,G$57,$C$74:$D79)</f>
        <v>0.38241924488489859</v>
      </c>
      <c r="H79" s="42">
        <f>DSUM($B$57:$Y$65,H$57,$C$74:$D79)</f>
        <v>0.40276141730978654</v>
      </c>
      <c r="I79" s="42">
        <f>DSUM($B$57:$Y$65,I$57,$C$74:$D79)</f>
        <v>0.39103618864420475</v>
      </c>
      <c r="J79" s="42">
        <f>DSUM($B$57:$Y$65,J$57,$C$74:$D79)</f>
        <v>0.32828220136516167</v>
      </c>
      <c r="K79" s="42">
        <f>DSUM($B$57:$Y$65,K$57,$C$74:$D79)</f>
        <v>0.24803133123754187</v>
      </c>
      <c r="L79" s="42">
        <f>DSUM($B$57:$Y$65,L$57,$C$74:$D79)</f>
        <v>0.17042967073645418</v>
      </c>
      <c r="M79" s="42">
        <f>DSUM($B$57:$Y$65,M$57,$C$74:$D79)</f>
        <v>0.10732654390085172</v>
      </c>
      <c r="N79" s="42">
        <f>DSUM($B$57:$Y$65,N$57,$C$74:$D79)</f>
        <v>6.2669026347020665E-2</v>
      </c>
      <c r="O79" s="42">
        <f>DSUM($B$57:$Y$65,O$57,$C$74:$D79)</f>
        <v>3.3829791089743225E-2</v>
      </c>
      <c r="P79" s="42">
        <f>DSUM($B$57:$Y$65,P$57,$C$74:$D79)</f>
        <v>1.7043507058042907E-2</v>
      </c>
      <c r="Q79" s="42">
        <f>DSUM($B$57:$Y$65,Q$57,$C$74:$D79)</f>
        <v>8.0493916724966603E-3</v>
      </c>
      <c r="R79" s="42">
        <f>DSUM($B$57:$Y$65,R$57,$C$74:$D79)</f>
        <v>3.57838993504317E-3</v>
      </c>
      <c r="S79" s="42">
        <f>DSUM($B$57:$Y$65,S$57,$C$74:$D79)</f>
        <v>1.5083675916865665E-3</v>
      </c>
      <c r="T79" s="42">
        <f>DSUM($B$57:$Y$65,T$57,$C$74:$D79)</f>
        <v>6.0020591027664695E-4</v>
      </c>
      <c r="U79" s="42">
        <f>DSUM($B$57:$Y$65,U$57,$C$74:$D79)</f>
        <v>2.2695244639393342E-4</v>
      </c>
      <c r="V79" s="42">
        <f>DSUM($B$57:$Y$65,V$57,$C$74:$D79)</f>
        <v>8.1728419396361296E-5</v>
      </c>
      <c r="W79" s="42">
        <f>DSUM($B$57:$Y$65,W$57,$C$74:$D79)</f>
        <v>2.808600939121704E-5</v>
      </c>
      <c r="X79" s="42">
        <f>DSUM($B$57:$Y$65,X$57,$C$74:$D79)</f>
        <v>9.2736512840225223E-6</v>
      </c>
      <c r="Y79" s="42">
        <f>DSUM($B$57:$Y$65,Y$57,$C$74:$D79)</f>
        <v>3.2399980278402829</v>
      </c>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1:80">
      <c r="B80" s="7" t="s">
        <v>54</v>
      </c>
      <c r="C80" s="45" t="s">
        <v>55</v>
      </c>
      <c r="D80" s="45" t="s">
        <v>56</v>
      </c>
      <c r="E80" s="42">
        <f>DSUM($B$57:$Y$65,E$57,$C$74:$D80)</f>
        <v>0.30209681731031607</v>
      </c>
      <c r="F80" s="42">
        <f>DSUM($B$57:$Y$65,F$57,$C$74:$D80)</f>
        <v>0.34742868676559802</v>
      </c>
      <c r="G80" s="42">
        <f>DSUM($B$57:$Y$65,G$57,$C$74:$D80)</f>
        <v>0.38241924488489859</v>
      </c>
      <c r="H80" s="42">
        <f>DSUM($B$57:$Y$65,H$57,$C$74:$D80)</f>
        <v>0.40276141730978654</v>
      </c>
      <c r="I80" s="42">
        <f>DSUM($B$57:$Y$65,I$57,$C$74:$D80)</f>
        <v>0.39103618864420475</v>
      </c>
      <c r="J80" s="42">
        <f>DSUM($B$57:$Y$65,J$57,$C$74:$D80)</f>
        <v>0.32828220136516167</v>
      </c>
      <c r="K80" s="42">
        <f>DSUM($B$57:$Y$65,K$57,$C$74:$D80)</f>
        <v>0.24803133123754187</v>
      </c>
      <c r="L80" s="42">
        <f>DSUM($B$57:$Y$65,L$57,$C$74:$D80)</f>
        <v>0.17042967073645418</v>
      </c>
      <c r="M80" s="42">
        <f>DSUM($B$57:$Y$65,M$57,$C$74:$D80)</f>
        <v>0.10732654390085172</v>
      </c>
      <c r="N80" s="42">
        <f>DSUM($B$57:$Y$65,N$57,$C$74:$D80)</f>
        <v>6.2669026347020665E-2</v>
      </c>
      <c r="O80" s="42">
        <f>DSUM($B$57:$Y$65,O$57,$C$74:$D80)</f>
        <v>3.3829791089743225E-2</v>
      </c>
      <c r="P80" s="42">
        <f>DSUM($B$57:$Y$65,P$57,$C$74:$D80)</f>
        <v>1.7043507058042907E-2</v>
      </c>
      <c r="Q80" s="42">
        <f>DSUM($B$57:$Y$65,Q$57,$C$74:$D80)</f>
        <v>8.0493916724966603E-3</v>
      </c>
      <c r="R80" s="42">
        <f>DSUM($B$57:$Y$65,R$57,$C$74:$D80)</f>
        <v>3.57838993504317E-3</v>
      </c>
      <c r="S80" s="42">
        <f>DSUM($B$57:$Y$65,S$57,$C$74:$D80)</f>
        <v>1.5083675916865665E-3</v>
      </c>
      <c r="T80" s="42">
        <f>DSUM($B$57:$Y$65,T$57,$C$74:$D80)</f>
        <v>6.0020591027664695E-4</v>
      </c>
      <c r="U80" s="42">
        <f>DSUM($B$57:$Y$65,U$57,$C$74:$D80)</f>
        <v>2.2695244639393342E-4</v>
      </c>
      <c r="V80" s="42">
        <f>DSUM($B$57:$Y$65,V$57,$C$74:$D80)</f>
        <v>8.1728419396361296E-5</v>
      </c>
      <c r="W80" s="42">
        <f>DSUM($B$57:$Y$65,W$57,$C$74:$D80)</f>
        <v>2.808600939121704E-5</v>
      </c>
      <c r="X80" s="42">
        <f>DSUM($B$57:$Y$65,X$57,$C$74:$D80)</f>
        <v>9.2736512840225223E-6</v>
      </c>
      <c r="Y80" s="42">
        <f>DSUM($B$57:$Y$65,Y$57,$C$74:$D80)</f>
        <v>3.2399980278402829</v>
      </c>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2:79">
      <c r="B81" s="7" t="s">
        <v>57</v>
      </c>
      <c r="C81" s="45" t="s">
        <v>58</v>
      </c>
      <c r="D81" s="45" t="s">
        <v>59</v>
      </c>
      <c r="E81" s="42">
        <f>DSUM($B$57:$Y$65,E$57,$C$74:$D81)</f>
        <v>0.30209681731031607</v>
      </c>
      <c r="F81" s="42">
        <f>DSUM($B$57:$Y$65,F$57,$C$74:$D81)</f>
        <v>0.34742868676559802</v>
      </c>
      <c r="G81" s="42">
        <f>DSUM($B$57:$Y$65,G$57,$C$74:$D81)</f>
        <v>0.38241924488489859</v>
      </c>
      <c r="H81" s="42">
        <f>DSUM($B$57:$Y$65,H$57,$C$74:$D81)</f>
        <v>0.40276141730978654</v>
      </c>
      <c r="I81" s="42">
        <f>DSUM($B$57:$Y$65,I$57,$C$74:$D81)</f>
        <v>0.39103618864420475</v>
      </c>
      <c r="J81" s="42">
        <f>DSUM($B$57:$Y$65,J$57,$C$74:$D81)</f>
        <v>0.32828220136516167</v>
      </c>
      <c r="K81" s="42">
        <f>DSUM($B$57:$Y$65,K$57,$C$74:$D81)</f>
        <v>0.24803133123754187</v>
      </c>
      <c r="L81" s="42">
        <f>DSUM($B$57:$Y$65,L$57,$C$74:$D81)</f>
        <v>0.17042967073645418</v>
      </c>
      <c r="M81" s="42">
        <f>DSUM($B$57:$Y$65,M$57,$C$74:$D81)</f>
        <v>0.10732654390085172</v>
      </c>
      <c r="N81" s="42">
        <f>DSUM($B$57:$Y$65,N$57,$C$74:$D81)</f>
        <v>6.2669026347020665E-2</v>
      </c>
      <c r="O81" s="42">
        <f>DSUM($B$57:$Y$65,O$57,$C$74:$D81)</f>
        <v>3.3829791089743225E-2</v>
      </c>
      <c r="P81" s="42">
        <f>DSUM($B$57:$Y$65,P$57,$C$74:$D81)</f>
        <v>1.7043507058042907E-2</v>
      </c>
      <c r="Q81" s="42">
        <f>DSUM($B$57:$Y$65,Q$57,$C$74:$D81)</f>
        <v>8.0493916724966603E-3</v>
      </c>
      <c r="R81" s="42">
        <f>DSUM($B$57:$Y$65,R$57,$C$74:$D81)</f>
        <v>3.57838993504317E-3</v>
      </c>
      <c r="S81" s="42">
        <f>DSUM($B$57:$Y$65,S$57,$C$74:$D81)</f>
        <v>1.5083675916865665E-3</v>
      </c>
      <c r="T81" s="42">
        <f>DSUM($B$57:$Y$65,T$57,$C$74:$D81)</f>
        <v>6.0020591027664695E-4</v>
      </c>
      <c r="U81" s="42">
        <f>DSUM($B$57:$Y$65,U$57,$C$74:$D81)</f>
        <v>2.2695244639393342E-4</v>
      </c>
      <c r="V81" s="42">
        <f>DSUM($B$57:$Y$65,V$57,$C$74:$D81)</f>
        <v>8.1728419396361296E-5</v>
      </c>
      <c r="W81" s="42">
        <f>DSUM($B$57:$Y$65,W$57,$C$74:$D81)</f>
        <v>2.808600939121704E-5</v>
      </c>
      <c r="X81" s="42">
        <f>DSUM($B$57:$Y$65,X$57,$C$74:$D81)</f>
        <v>9.2736512840225223E-6</v>
      </c>
      <c r="Y81" s="42">
        <f>DSUM($B$57:$Y$65,Y$57,$C$74:$D81)</f>
        <v>3.2399980278402829</v>
      </c>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2:79">
      <c r="B82" s="7" t="s">
        <v>60</v>
      </c>
      <c r="C82" s="45" t="s">
        <v>61</v>
      </c>
      <c r="D82" s="45" t="s">
        <v>62</v>
      </c>
      <c r="E82" s="42">
        <f>DSUM($B$57:$Y$65,E$57,$C$74:$D82)</f>
        <v>0.30209681731031607</v>
      </c>
      <c r="F82" s="42">
        <f>DSUM($B$57:$Y$65,F$57,$C$74:$D82)</f>
        <v>0.34742868676559802</v>
      </c>
      <c r="G82" s="42">
        <f>DSUM($B$57:$Y$65,G$57,$C$74:$D82)</f>
        <v>0.38241924488489859</v>
      </c>
      <c r="H82" s="42">
        <f>DSUM($B$57:$Y$65,H$57,$C$74:$D82)</f>
        <v>0.40276141730978654</v>
      </c>
      <c r="I82" s="42">
        <f>DSUM($B$57:$Y$65,I$57,$C$74:$D82)</f>
        <v>0.39103618864420475</v>
      </c>
      <c r="J82" s="42">
        <f>DSUM($B$57:$Y$65,J$57,$C$74:$D82)</f>
        <v>0.32828220136516167</v>
      </c>
      <c r="K82" s="42">
        <f>DSUM($B$57:$Y$65,K$57,$C$74:$D82)</f>
        <v>0.24803133123754187</v>
      </c>
      <c r="L82" s="42">
        <f>DSUM($B$57:$Y$65,L$57,$C$74:$D82)</f>
        <v>0.17042967073645418</v>
      </c>
      <c r="M82" s="42">
        <f>DSUM($B$57:$Y$65,M$57,$C$74:$D82)</f>
        <v>0.10732654390085172</v>
      </c>
      <c r="N82" s="42">
        <f>DSUM($B$57:$Y$65,N$57,$C$74:$D82)</f>
        <v>6.2669026347020665E-2</v>
      </c>
      <c r="O82" s="42">
        <f>DSUM($B$57:$Y$65,O$57,$C$74:$D82)</f>
        <v>3.3829791089743225E-2</v>
      </c>
      <c r="P82" s="42">
        <f>DSUM($B$57:$Y$65,P$57,$C$74:$D82)</f>
        <v>1.7043507058042907E-2</v>
      </c>
      <c r="Q82" s="42">
        <f>DSUM($B$57:$Y$65,Q$57,$C$74:$D82)</f>
        <v>8.0493916724966603E-3</v>
      </c>
      <c r="R82" s="42">
        <f>DSUM($B$57:$Y$65,R$57,$C$74:$D82)</f>
        <v>3.57838993504317E-3</v>
      </c>
      <c r="S82" s="42">
        <f>DSUM($B$57:$Y$65,S$57,$C$74:$D82)</f>
        <v>1.5083675916865665E-3</v>
      </c>
      <c r="T82" s="42">
        <f>DSUM($B$57:$Y$65,T$57,$C$74:$D82)</f>
        <v>6.0020591027664695E-4</v>
      </c>
      <c r="U82" s="42">
        <f>DSUM($B$57:$Y$65,U$57,$C$74:$D82)</f>
        <v>2.2695244639393342E-4</v>
      </c>
      <c r="V82" s="42">
        <f>DSUM($B$57:$Y$65,V$57,$C$74:$D82)</f>
        <v>8.1728419396361296E-5</v>
      </c>
      <c r="W82" s="42">
        <f>DSUM($B$57:$Y$65,W$57,$C$74:$D82)</f>
        <v>2.808600939121704E-5</v>
      </c>
      <c r="X82" s="42">
        <f>DSUM($B$57:$Y$65,X$57,$C$74:$D82)</f>
        <v>9.2736512840225223E-6</v>
      </c>
      <c r="Y82" s="42">
        <f>DSUM($B$57:$Y$65,Y$57,$C$74:$D82)</f>
        <v>3.2399980278402829</v>
      </c>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2:79">
      <c r="B83" s="7" t="s">
        <v>63</v>
      </c>
      <c r="C83" s="45" t="s">
        <v>64</v>
      </c>
      <c r="D83" s="45" t="s">
        <v>65</v>
      </c>
      <c r="E83" s="42">
        <f>DSUM($B$57:$Y$65,E$57,$C$74:$D83)</f>
        <v>0.30209681731031607</v>
      </c>
      <c r="F83" s="42">
        <f>DSUM($B$57:$Y$65,F$57,$C$74:$D83)</f>
        <v>0.34742868676559802</v>
      </c>
      <c r="G83" s="42">
        <f>DSUM($B$57:$Y$65,G$57,$C$74:$D83)</f>
        <v>0.38241924488489859</v>
      </c>
      <c r="H83" s="42">
        <f>DSUM($B$57:$Y$65,H$57,$C$74:$D83)</f>
        <v>0.40276141730978654</v>
      </c>
      <c r="I83" s="42">
        <f>DSUM($B$57:$Y$65,I$57,$C$74:$D83)</f>
        <v>0.39103618864420475</v>
      </c>
      <c r="J83" s="42">
        <f>DSUM($B$57:$Y$65,J$57,$C$74:$D83)</f>
        <v>0.32828220136516167</v>
      </c>
      <c r="K83" s="42">
        <f>DSUM($B$57:$Y$65,K$57,$C$74:$D83)</f>
        <v>0.24803133123754187</v>
      </c>
      <c r="L83" s="42">
        <f>DSUM($B$57:$Y$65,L$57,$C$74:$D83)</f>
        <v>0.17042967073645418</v>
      </c>
      <c r="M83" s="42">
        <f>DSUM($B$57:$Y$65,M$57,$C$74:$D83)</f>
        <v>0.10732654390085172</v>
      </c>
      <c r="N83" s="42">
        <f>DSUM($B$57:$Y$65,N$57,$C$74:$D83)</f>
        <v>6.2669026347020665E-2</v>
      </c>
      <c r="O83" s="42">
        <f>DSUM($B$57:$Y$65,O$57,$C$74:$D83)</f>
        <v>3.3829791089743225E-2</v>
      </c>
      <c r="P83" s="42">
        <f>DSUM($B$57:$Y$65,P$57,$C$74:$D83)</f>
        <v>1.7043507058042907E-2</v>
      </c>
      <c r="Q83" s="42">
        <f>DSUM($B$57:$Y$65,Q$57,$C$74:$D83)</f>
        <v>8.0493916724966603E-3</v>
      </c>
      <c r="R83" s="42">
        <f>DSUM($B$57:$Y$65,R$57,$C$74:$D83)</f>
        <v>3.57838993504317E-3</v>
      </c>
      <c r="S83" s="42">
        <f>DSUM($B$57:$Y$65,S$57,$C$74:$D83)</f>
        <v>1.5083675916865665E-3</v>
      </c>
      <c r="T83" s="42">
        <f>DSUM($B$57:$Y$65,T$57,$C$74:$D83)</f>
        <v>6.0020591027664695E-4</v>
      </c>
      <c r="U83" s="42">
        <f>DSUM($B$57:$Y$65,U$57,$C$74:$D83)</f>
        <v>2.2695244639393342E-4</v>
      </c>
      <c r="V83" s="42">
        <f>DSUM($B$57:$Y$65,V$57,$C$74:$D83)</f>
        <v>8.1728419396361296E-5</v>
      </c>
      <c r="W83" s="42">
        <f>DSUM($B$57:$Y$65,W$57,$C$74:$D83)</f>
        <v>2.808600939121704E-5</v>
      </c>
      <c r="X83" s="42">
        <f>DSUM($B$57:$Y$65,X$57,$C$74:$D83)</f>
        <v>9.2736512840225223E-6</v>
      </c>
      <c r="Y83" s="42">
        <f>DSUM($B$57:$Y$65,Y$57,$C$74:$D83)</f>
        <v>3.2399980278402829</v>
      </c>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2:79">
      <c r="B84" s="7" t="s">
        <v>66</v>
      </c>
      <c r="C84" s="45" t="s">
        <v>67</v>
      </c>
      <c r="D84" s="45" t="s">
        <v>68</v>
      </c>
      <c r="E84" s="42">
        <f>DSUM($B$57:$Y$65,E$57,$C$74:$D84)</f>
        <v>0.30209681731031607</v>
      </c>
      <c r="F84" s="42">
        <f>DSUM($B$57:$Y$65,F$57,$C$74:$D84)</f>
        <v>0.34742868676559802</v>
      </c>
      <c r="G84" s="42">
        <f>DSUM($B$57:$Y$65,G$57,$C$74:$D84)</f>
        <v>0.38241924488489859</v>
      </c>
      <c r="H84" s="42">
        <f>DSUM($B$57:$Y$65,H$57,$C$74:$D84)</f>
        <v>0.40276141730978654</v>
      </c>
      <c r="I84" s="42">
        <f>DSUM($B$57:$Y$65,I$57,$C$74:$D84)</f>
        <v>0.39103618864420475</v>
      </c>
      <c r="J84" s="42">
        <f>DSUM($B$57:$Y$65,J$57,$C$74:$D84)</f>
        <v>0.32828220136516167</v>
      </c>
      <c r="K84" s="42">
        <f>DSUM($B$57:$Y$65,K$57,$C$74:$D84)</f>
        <v>0.24803133123754187</v>
      </c>
      <c r="L84" s="42">
        <f>DSUM($B$57:$Y$65,L$57,$C$74:$D84)</f>
        <v>0.17042967073645418</v>
      </c>
      <c r="M84" s="42">
        <f>DSUM($B$57:$Y$65,M$57,$C$74:$D84)</f>
        <v>0.10732654390085172</v>
      </c>
      <c r="N84" s="42">
        <f>DSUM($B$57:$Y$65,N$57,$C$74:$D84)</f>
        <v>6.2669026347020665E-2</v>
      </c>
      <c r="O84" s="42">
        <f>DSUM($B$57:$Y$65,O$57,$C$74:$D84)</f>
        <v>3.3829791089743225E-2</v>
      </c>
      <c r="P84" s="42">
        <f>DSUM($B$57:$Y$65,P$57,$C$74:$D84)</f>
        <v>1.7043507058042907E-2</v>
      </c>
      <c r="Q84" s="42">
        <f>DSUM($B$57:$Y$65,Q$57,$C$74:$D84)</f>
        <v>8.0493916724966603E-3</v>
      </c>
      <c r="R84" s="42">
        <f>DSUM($B$57:$Y$65,R$57,$C$74:$D84)</f>
        <v>3.57838993504317E-3</v>
      </c>
      <c r="S84" s="42">
        <f>DSUM($B$57:$Y$65,S$57,$C$74:$D84)</f>
        <v>1.5083675916865665E-3</v>
      </c>
      <c r="T84" s="42">
        <f>DSUM($B$57:$Y$65,T$57,$C$74:$D84)</f>
        <v>6.0020591027664695E-4</v>
      </c>
      <c r="U84" s="42">
        <f>DSUM($B$57:$Y$65,U$57,$C$74:$D84)</f>
        <v>2.2695244639393342E-4</v>
      </c>
      <c r="V84" s="42">
        <f>DSUM($B$57:$Y$65,V$57,$C$74:$D84)</f>
        <v>8.1728419396361296E-5</v>
      </c>
      <c r="W84" s="42">
        <f>DSUM($B$57:$Y$65,W$57,$C$74:$D84)</f>
        <v>2.808600939121704E-5</v>
      </c>
      <c r="X84" s="42">
        <f>DSUM($B$57:$Y$65,X$57,$C$74:$D84)</f>
        <v>9.2736512840225223E-6</v>
      </c>
      <c r="Y84" s="42">
        <f>DSUM($B$57:$Y$65,Y$57,$C$74:$D84)</f>
        <v>3.2399980278402829</v>
      </c>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2:79">
      <c r="B85" s="7" t="s">
        <v>69</v>
      </c>
      <c r="C85" s="45" t="s">
        <v>70</v>
      </c>
      <c r="D85" s="45" t="s">
        <v>71</v>
      </c>
      <c r="E85" s="42">
        <f>DSUM($B$57:$Y$65,E$57,$C$74:$D85)</f>
        <v>0.30209681731031607</v>
      </c>
      <c r="F85" s="42">
        <f>DSUM($B$57:$Y$65,F$57,$C$74:$D85)</f>
        <v>0.34742868676559802</v>
      </c>
      <c r="G85" s="42">
        <f>DSUM($B$57:$Y$65,G$57,$C$74:$D85)</f>
        <v>0.38241924488489859</v>
      </c>
      <c r="H85" s="42">
        <f>DSUM($B$57:$Y$65,H$57,$C$74:$D85)</f>
        <v>0.40276141730978654</v>
      </c>
      <c r="I85" s="42">
        <f>DSUM($B$57:$Y$65,I$57,$C$74:$D85)</f>
        <v>0.39103618864420475</v>
      </c>
      <c r="J85" s="42">
        <f>DSUM($B$57:$Y$65,J$57,$C$74:$D85)</f>
        <v>0.32828220136516167</v>
      </c>
      <c r="K85" s="42">
        <f>DSUM($B$57:$Y$65,K$57,$C$74:$D85)</f>
        <v>0.24803133123754187</v>
      </c>
      <c r="L85" s="42">
        <f>DSUM($B$57:$Y$65,L$57,$C$74:$D85)</f>
        <v>0.17042967073645418</v>
      </c>
      <c r="M85" s="42">
        <f>DSUM($B$57:$Y$65,M$57,$C$74:$D85)</f>
        <v>0.10732654390085172</v>
      </c>
      <c r="N85" s="42">
        <f>DSUM($B$57:$Y$65,N$57,$C$74:$D85)</f>
        <v>6.2669026347020665E-2</v>
      </c>
      <c r="O85" s="42">
        <f>DSUM($B$57:$Y$65,O$57,$C$74:$D85)</f>
        <v>3.3829791089743225E-2</v>
      </c>
      <c r="P85" s="42">
        <f>DSUM($B$57:$Y$65,P$57,$C$74:$D85)</f>
        <v>1.7043507058042907E-2</v>
      </c>
      <c r="Q85" s="42">
        <f>DSUM($B$57:$Y$65,Q$57,$C$74:$D85)</f>
        <v>8.0493916724966603E-3</v>
      </c>
      <c r="R85" s="42">
        <f>DSUM($B$57:$Y$65,R$57,$C$74:$D85)</f>
        <v>3.57838993504317E-3</v>
      </c>
      <c r="S85" s="42">
        <f>DSUM($B$57:$Y$65,S$57,$C$74:$D85)</f>
        <v>1.5083675916865665E-3</v>
      </c>
      <c r="T85" s="42">
        <f>DSUM($B$57:$Y$65,T$57,$C$74:$D85)</f>
        <v>6.0020591027664695E-4</v>
      </c>
      <c r="U85" s="42">
        <f>DSUM($B$57:$Y$65,U$57,$C$74:$D85)</f>
        <v>2.2695244639393342E-4</v>
      </c>
      <c r="V85" s="42">
        <f>DSUM($B$57:$Y$65,V$57,$C$74:$D85)</f>
        <v>8.1728419396361296E-5</v>
      </c>
      <c r="W85" s="42">
        <f>DSUM($B$57:$Y$65,W$57,$C$74:$D85)</f>
        <v>2.808600939121704E-5</v>
      </c>
      <c r="X85" s="42">
        <f>DSUM($B$57:$Y$65,X$57,$C$74:$D85)</f>
        <v>9.2736512840225223E-6</v>
      </c>
      <c r="Y85" s="42">
        <f>DSUM($B$57:$Y$65,Y$57,$C$74:$D85)</f>
        <v>3.2399980278402829</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2:79">
      <c r="B86" s="7" t="s">
        <v>72</v>
      </c>
      <c r="C86" s="45" t="s">
        <v>73</v>
      </c>
      <c r="D86" s="45" t="s">
        <v>74</v>
      </c>
      <c r="E86" s="42">
        <f>DSUM($B$57:$Y$65,E$57,$C$74:$D86)</f>
        <v>0.30209681731031607</v>
      </c>
      <c r="F86" s="42">
        <f>DSUM($B$57:$Y$65,F$57,$C$74:$D86)</f>
        <v>0.34742868676559802</v>
      </c>
      <c r="G86" s="42">
        <f>DSUM($B$57:$Y$65,G$57,$C$74:$D86)</f>
        <v>0.38241924488489859</v>
      </c>
      <c r="H86" s="42">
        <f>DSUM($B$57:$Y$65,H$57,$C$74:$D86)</f>
        <v>0.40276141730978654</v>
      </c>
      <c r="I86" s="42">
        <f>DSUM($B$57:$Y$65,I$57,$C$74:$D86)</f>
        <v>0.39103618864420475</v>
      </c>
      <c r="J86" s="42">
        <f>DSUM($B$57:$Y$65,J$57,$C$74:$D86)</f>
        <v>0.32828220136516167</v>
      </c>
      <c r="K86" s="42">
        <f>DSUM($B$57:$Y$65,K$57,$C$74:$D86)</f>
        <v>0.24803133123754187</v>
      </c>
      <c r="L86" s="42">
        <f>DSUM($B$57:$Y$65,L$57,$C$74:$D86)</f>
        <v>0.17042967073645418</v>
      </c>
      <c r="M86" s="42">
        <f>DSUM($B$57:$Y$65,M$57,$C$74:$D86)</f>
        <v>0.10732654390085172</v>
      </c>
      <c r="N86" s="42">
        <f>DSUM($B$57:$Y$65,N$57,$C$74:$D86)</f>
        <v>6.2669026347020665E-2</v>
      </c>
      <c r="O86" s="42">
        <f>DSUM($B$57:$Y$65,O$57,$C$74:$D86)</f>
        <v>3.3829791089743225E-2</v>
      </c>
      <c r="P86" s="42">
        <f>DSUM($B$57:$Y$65,P$57,$C$74:$D86)</f>
        <v>1.7043507058042907E-2</v>
      </c>
      <c r="Q86" s="42">
        <f>DSUM($B$57:$Y$65,Q$57,$C$74:$D86)</f>
        <v>8.0493916724966603E-3</v>
      </c>
      <c r="R86" s="42">
        <f>DSUM($B$57:$Y$65,R$57,$C$74:$D86)</f>
        <v>3.57838993504317E-3</v>
      </c>
      <c r="S86" s="42">
        <f>DSUM($B$57:$Y$65,S$57,$C$74:$D86)</f>
        <v>1.5083675916865665E-3</v>
      </c>
      <c r="T86" s="42">
        <f>DSUM($B$57:$Y$65,T$57,$C$74:$D86)</f>
        <v>6.0020591027664695E-4</v>
      </c>
      <c r="U86" s="42">
        <f>DSUM($B$57:$Y$65,U$57,$C$74:$D86)</f>
        <v>2.2695244639393342E-4</v>
      </c>
      <c r="V86" s="42">
        <f>DSUM($B$57:$Y$65,V$57,$C$74:$D86)</f>
        <v>8.1728419396361296E-5</v>
      </c>
      <c r="W86" s="42">
        <f>DSUM($B$57:$Y$65,W$57,$C$74:$D86)</f>
        <v>2.808600939121704E-5</v>
      </c>
      <c r="X86" s="42">
        <f>DSUM($B$57:$Y$65,X$57,$C$74:$D86)</f>
        <v>9.2736512840225223E-6</v>
      </c>
      <c r="Y86" s="42">
        <f>DSUM($B$57:$Y$65,Y$57,$C$74:$D86)</f>
        <v>3.2399980278402829</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2:79">
      <c r="B87" s="7" t="s">
        <v>75</v>
      </c>
      <c r="C87" s="45" t="s">
        <v>76</v>
      </c>
      <c r="D87" s="45" t="s">
        <v>77</v>
      </c>
      <c r="E87" s="42">
        <f>DSUM($B$57:$Y$65,E$57,$C$74:$D87)</f>
        <v>0.30209681731031607</v>
      </c>
      <c r="F87" s="42">
        <f>DSUM($B$57:$Y$65,F$57,$C$74:$D87)</f>
        <v>0.34742868676559802</v>
      </c>
      <c r="G87" s="42">
        <f>DSUM($B$57:$Y$65,G$57,$C$74:$D87)</f>
        <v>0.38241924488489859</v>
      </c>
      <c r="H87" s="42">
        <f>DSUM($B$57:$Y$65,H$57,$C$74:$D87)</f>
        <v>0.40276141730978654</v>
      </c>
      <c r="I87" s="42">
        <f>DSUM($B$57:$Y$65,I$57,$C$74:$D87)</f>
        <v>0.39103618864420475</v>
      </c>
      <c r="J87" s="42">
        <f>DSUM($B$57:$Y$65,J$57,$C$74:$D87)</f>
        <v>0.32828220136516167</v>
      </c>
      <c r="K87" s="42">
        <f>DSUM($B$57:$Y$65,K$57,$C$74:$D87)</f>
        <v>0.24803133123754187</v>
      </c>
      <c r="L87" s="42">
        <f>DSUM($B$57:$Y$65,L$57,$C$74:$D87)</f>
        <v>0.17042967073645418</v>
      </c>
      <c r="M87" s="42">
        <f>DSUM($B$57:$Y$65,M$57,$C$74:$D87)</f>
        <v>0.10732654390085172</v>
      </c>
      <c r="N87" s="42">
        <f>DSUM($B$57:$Y$65,N$57,$C$74:$D87)</f>
        <v>6.2669026347020665E-2</v>
      </c>
      <c r="O87" s="42">
        <f>DSUM($B$57:$Y$65,O$57,$C$74:$D87)</f>
        <v>3.3829791089743225E-2</v>
      </c>
      <c r="P87" s="42">
        <f>DSUM($B$57:$Y$65,P$57,$C$74:$D87)</f>
        <v>1.7043507058042907E-2</v>
      </c>
      <c r="Q87" s="42">
        <f>DSUM($B$57:$Y$65,Q$57,$C$74:$D87)</f>
        <v>8.0493916724966603E-3</v>
      </c>
      <c r="R87" s="42">
        <f>DSUM($B$57:$Y$65,R$57,$C$74:$D87)</f>
        <v>3.57838993504317E-3</v>
      </c>
      <c r="S87" s="42">
        <f>DSUM($B$57:$Y$65,S$57,$C$74:$D87)</f>
        <v>1.5083675916865665E-3</v>
      </c>
      <c r="T87" s="42">
        <f>DSUM($B$57:$Y$65,T$57,$C$74:$D87)</f>
        <v>6.0020591027664695E-4</v>
      </c>
      <c r="U87" s="42">
        <f>DSUM($B$57:$Y$65,U$57,$C$74:$D87)</f>
        <v>2.2695244639393342E-4</v>
      </c>
      <c r="V87" s="42">
        <f>DSUM($B$57:$Y$65,V$57,$C$74:$D87)</f>
        <v>8.1728419396361296E-5</v>
      </c>
      <c r="W87" s="42">
        <f>DSUM($B$57:$Y$65,W$57,$C$74:$D87)</f>
        <v>2.808600939121704E-5</v>
      </c>
      <c r="X87" s="42">
        <f>DSUM($B$57:$Y$65,X$57,$C$74:$D87)</f>
        <v>9.2736512840225223E-6</v>
      </c>
      <c r="Y87" s="42">
        <f>DSUM($B$57:$Y$65,Y$57,$C$74:$D87)</f>
        <v>3.2399980278402829</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2:79">
      <c r="B88" s="7" t="s">
        <v>78</v>
      </c>
      <c r="C88" s="45" t="s">
        <v>79</v>
      </c>
      <c r="D88" s="45" t="s">
        <v>80</v>
      </c>
      <c r="E88" s="42">
        <f>DSUM($B$57:$Y$65,E$57,$C$74:$D88)</f>
        <v>0.30209681731031607</v>
      </c>
      <c r="F88" s="42">
        <f>DSUM($B$57:$Y$65,F$57,$C$74:$D88)</f>
        <v>0.34742868676559802</v>
      </c>
      <c r="G88" s="42">
        <f>DSUM($B$57:$Y$65,G$57,$C$74:$D88)</f>
        <v>0.38241924488489859</v>
      </c>
      <c r="H88" s="42">
        <f>DSUM($B$57:$Y$65,H$57,$C$74:$D88)</f>
        <v>0.40276141730978654</v>
      </c>
      <c r="I88" s="42">
        <f>DSUM($B$57:$Y$65,I$57,$C$74:$D88)</f>
        <v>0.39103618864420475</v>
      </c>
      <c r="J88" s="42">
        <f>DSUM($B$57:$Y$65,J$57,$C$74:$D88)</f>
        <v>0.32828220136516167</v>
      </c>
      <c r="K88" s="42">
        <f>DSUM($B$57:$Y$65,K$57,$C$74:$D88)</f>
        <v>0.24803133123754187</v>
      </c>
      <c r="L88" s="42">
        <f>DSUM($B$57:$Y$65,L$57,$C$74:$D88)</f>
        <v>0.17042967073645418</v>
      </c>
      <c r="M88" s="42">
        <f>DSUM($B$57:$Y$65,M$57,$C$74:$D88)</f>
        <v>0.10732654390085172</v>
      </c>
      <c r="N88" s="42">
        <f>DSUM($B$57:$Y$65,N$57,$C$74:$D88)</f>
        <v>6.2669026347020665E-2</v>
      </c>
      <c r="O88" s="42">
        <f>DSUM($B$57:$Y$65,O$57,$C$74:$D88)</f>
        <v>3.3829791089743225E-2</v>
      </c>
      <c r="P88" s="42">
        <f>DSUM($B$57:$Y$65,P$57,$C$74:$D88)</f>
        <v>1.7043507058042907E-2</v>
      </c>
      <c r="Q88" s="42">
        <f>DSUM($B$57:$Y$65,Q$57,$C$74:$D88)</f>
        <v>8.0493916724966603E-3</v>
      </c>
      <c r="R88" s="42">
        <f>DSUM($B$57:$Y$65,R$57,$C$74:$D88)</f>
        <v>3.57838993504317E-3</v>
      </c>
      <c r="S88" s="42">
        <f>DSUM($B$57:$Y$65,S$57,$C$74:$D88)</f>
        <v>1.5083675916865665E-3</v>
      </c>
      <c r="T88" s="42">
        <f>DSUM($B$57:$Y$65,T$57,$C$74:$D88)</f>
        <v>6.0020591027664695E-4</v>
      </c>
      <c r="U88" s="42">
        <f>DSUM($B$57:$Y$65,U$57,$C$74:$D88)</f>
        <v>2.2695244639393342E-4</v>
      </c>
      <c r="V88" s="42">
        <f>DSUM($B$57:$Y$65,V$57,$C$74:$D88)</f>
        <v>8.1728419396361296E-5</v>
      </c>
      <c r="W88" s="42">
        <f>DSUM($B$57:$Y$65,W$57,$C$74:$D88)</f>
        <v>2.808600939121704E-5</v>
      </c>
      <c r="X88" s="42">
        <f>DSUM($B$57:$Y$65,X$57,$C$74:$D88)</f>
        <v>9.2736512840225223E-6</v>
      </c>
      <c r="Y88" s="42">
        <f>DSUM($B$57:$Y$65,Y$57,$C$74:$D88)</f>
        <v>3.2399980278402829</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2:79">
      <c r="B89" s="7" t="s">
        <v>81</v>
      </c>
      <c r="C89" s="45" t="s">
        <v>82</v>
      </c>
      <c r="D89" s="45" t="s">
        <v>83</v>
      </c>
      <c r="E89" s="42">
        <f>DSUM($B$57:$Y$65,E$57,$C$74:$D89)</f>
        <v>0.30209681731031607</v>
      </c>
      <c r="F89" s="42">
        <f>DSUM($B$57:$Y$65,F$57,$C$74:$D89)</f>
        <v>0.34742868676559802</v>
      </c>
      <c r="G89" s="42">
        <f>DSUM($B$57:$Y$65,G$57,$C$74:$D89)</f>
        <v>0.38241924488489859</v>
      </c>
      <c r="H89" s="42">
        <f>DSUM($B$57:$Y$65,H$57,$C$74:$D89)</f>
        <v>0.40276141730978654</v>
      </c>
      <c r="I89" s="42">
        <f>DSUM($B$57:$Y$65,I$57,$C$74:$D89)</f>
        <v>0.39103618864420475</v>
      </c>
      <c r="J89" s="42">
        <f>DSUM($B$57:$Y$65,J$57,$C$74:$D89)</f>
        <v>0.32828220136516167</v>
      </c>
      <c r="K89" s="42">
        <f>DSUM($B$57:$Y$65,K$57,$C$74:$D89)</f>
        <v>0.24803133123754187</v>
      </c>
      <c r="L89" s="42">
        <f>DSUM($B$57:$Y$65,L$57,$C$74:$D89)</f>
        <v>0.17042967073645418</v>
      </c>
      <c r="M89" s="42">
        <f>DSUM($B$57:$Y$65,M$57,$C$74:$D89)</f>
        <v>0.10732654390085172</v>
      </c>
      <c r="N89" s="42">
        <f>DSUM($B$57:$Y$65,N$57,$C$74:$D89)</f>
        <v>6.2669026347020665E-2</v>
      </c>
      <c r="O89" s="42">
        <f>DSUM($B$57:$Y$65,O$57,$C$74:$D89)</f>
        <v>3.3829791089743225E-2</v>
      </c>
      <c r="P89" s="42">
        <f>DSUM($B$57:$Y$65,P$57,$C$74:$D89)</f>
        <v>1.7043507058042907E-2</v>
      </c>
      <c r="Q89" s="42">
        <f>DSUM($B$57:$Y$65,Q$57,$C$74:$D89)</f>
        <v>8.0493916724966603E-3</v>
      </c>
      <c r="R89" s="42">
        <f>DSUM($B$57:$Y$65,R$57,$C$74:$D89)</f>
        <v>3.57838993504317E-3</v>
      </c>
      <c r="S89" s="42">
        <f>DSUM($B$57:$Y$65,S$57,$C$74:$D89)</f>
        <v>1.5083675916865665E-3</v>
      </c>
      <c r="T89" s="42">
        <f>DSUM($B$57:$Y$65,T$57,$C$74:$D89)</f>
        <v>6.0020591027664695E-4</v>
      </c>
      <c r="U89" s="42">
        <f>DSUM($B$57:$Y$65,U$57,$C$74:$D89)</f>
        <v>2.2695244639393342E-4</v>
      </c>
      <c r="V89" s="42">
        <f>DSUM($B$57:$Y$65,V$57,$C$74:$D89)</f>
        <v>8.1728419396361296E-5</v>
      </c>
      <c r="W89" s="42">
        <f>DSUM($B$57:$Y$65,W$57,$C$74:$D89)</f>
        <v>2.808600939121704E-5</v>
      </c>
      <c r="X89" s="42">
        <f>DSUM($B$57:$Y$65,X$57,$C$74:$D89)</f>
        <v>9.2736512840225223E-6</v>
      </c>
      <c r="Y89" s="42">
        <f>DSUM($B$57:$Y$65,Y$57,$C$74:$D89)</f>
        <v>3.2399980278402829</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2:79">
      <c r="B90" s="7" t="s">
        <v>84</v>
      </c>
      <c r="C90" s="45" t="s">
        <v>85</v>
      </c>
      <c r="D90" s="45" t="s">
        <v>86</v>
      </c>
      <c r="E90" s="42">
        <f>DSUM($B$57:$Y$65,E$57,$C$74:$D90)</f>
        <v>0.30209681731031607</v>
      </c>
      <c r="F90" s="42">
        <f>DSUM($B$57:$Y$65,F$57,$C$74:$D90)</f>
        <v>0.34742868676559802</v>
      </c>
      <c r="G90" s="42">
        <f>DSUM($B$57:$Y$65,G$57,$C$74:$D90)</f>
        <v>0.38241924488489859</v>
      </c>
      <c r="H90" s="42">
        <f>DSUM($B$57:$Y$65,H$57,$C$74:$D90)</f>
        <v>0.40276141730978654</v>
      </c>
      <c r="I90" s="42">
        <f>DSUM($B$57:$Y$65,I$57,$C$74:$D90)</f>
        <v>0.39103618864420475</v>
      </c>
      <c r="J90" s="42">
        <f>DSUM($B$57:$Y$65,J$57,$C$74:$D90)</f>
        <v>0.32828220136516167</v>
      </c>
      <c r="K90" s="42">
        <f>DSUM($B$57:$Y$65,K$57,$C$74:$D90)</f>
        <v>0.24803133123754187</v>
      </c>
      <c r="L90" s="42">
        <f>DSUM($B$57:$Y$65,L$57,$C$74:$D90)</f>
        <v>0.17042967073645418</v>
      </c>
      <c r="M90" s="42">
        <f>DSUM($B$57:$Y$65,M$57,$C$74:$D90)</f>
        <v>0.10732654390085172</v>
      </c>
      <c r="N90" s="42">
        <f>DSUM($B$57:$Y$65,N$57,$C$74:$D90)</f>
        <v>6.2669026347020665E-2</v>
      </c>
      <c r="O90" s="42">
        <f>DSUM($B$57:$Y$65,O$57,$C$74:$D90)</f>
        <v>3.3829791089743225E-2</v>
      </c>
      <c r="P90" s="42">
        <f>DSUM($B$57:$Y$65,P$57,$C$74:$D90)</f>
        <v>1.7043507058042907E-2</v>
      </c>
      <c r="Q90" s="42">
        <f>DSUM($B$57:$Y$65,Q$57,$C$74:$D90)</f>
        <v>8.0493916724966603E-3</v>
      </c>
      <c r="R90" s="42">
        <f>DSUM($B$57:$Y$65,R$57,$C$74:$D90)</f>
        <v>3.57838993504317E-3</v>
      </c>
      <c r="S90" s="42">
        <f>DSUM($B$57:$Y$65,S$57,$C$74:$D90)</f>
        <v>1.5083675916865665E-3</v>
      </c>
      <c r="T90" s="42">
        <f>DSUM($B$57:$Y$65,T$57,$C$74:$D90)</f>
        <v>6.0020591027664695E-4</v>
      </c>
      <c r="U90" s="42">
        <f>DSUM($B$57:$Y$65,U$57,$C$74:$D90)</f>
        <v>2.2695244639393342E-4</v>
      </c>
      <c r="V90" s="42">
        <f>DSUM($B$57:$Y$65,V$57,$C$74:$D90)</f>
        <v>8.1728419396361296E-5</v>
      </c>
      <c r="W90" s="42">
        <f>DSUM($B$57:$Y$65,W$57,$C$74:$D90)</f>
        <v>2.808600939121704E-5</v>
      </c>
      <c r="X90" s="42">
        <f>DSUM($B$57:$Y$65,X$57,$C$74:$D90)</f>
        <v>9.2736512840225223E-6</v>
      </c>
      <c r="Y90" s="42">
        <f>DSUM($B$57:$Y$65,Y$57,$C$74:$D90)</f>
        <v>3.2399980278402829</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2:79">
      <c r="B91" s="7" t="s">
        <v>87</v>
      </c>
      <c r="C91" s="45" t="s">
        <v>88</v>
      </c>
      <c r="D91" s="45" t="s">
        <v>89</v>
      </c>
      <c r="E91" s="42">
        <f>DSUM($B$57:$Y$65,E$57,$C$74:$D91)</f>
        <v>0.30209681731031607</v>
      </c>
      <c r="F91" s="42">
        <f>DSUM($B$57:$Y$65,F$57,$C$74:$D91)</f>
        <v>0.34742868676559802</v>
      </c>
      <c r="G91" s="42">
        <f>DSUM($B$57:$Y$65,G$57,$C$74:$D91)</f>
        <v>0.38241924488489859</v>
      </c>
      <c r="H91" s="42">
        <f>DSUM($B$57:$Y$65,H$57,$C$74:$D91)</f>
        <v>0.40276141730978654</v>
      </c>
      <c r="I91" s="42">
        <f>DSUM($B$57:$Y$65,I$57,$C$74:$D91)</f>
        <v>0.39103618864420475</v>
      </c>
      <c r="J91" s="42">
        <f>DSUM($B$57:$Y$65,J$57,$C$74:$D91)</f>
        <v>0.32828220136516167</v>
      </c>
      <c r="K91" s="42">
        <f>DSUM($B$57:$Y$65,K$57,$C$74:$D91)</f>
        <v>0.24803133123754187</v>
      </c>
      <c r="L91" s="42">
        <f>DSUM($B$57:$Y$65,L$57,$C$74:$D91)</f>
        <v>0.17042967073645418</v>
      </c>
      <c r="M91" s="42">
        <f>DSUM($B$57:$Y$65,M$57,$C$74:$D91)</f>
        <v>0.10732654390085172</v>
      </c>
      <c r="N91" s="42">
        <f>DSUM($B$57:$Y$65,N$57,$C$74:$D91)</f>
        <v>6.2669026347020665E-2</v>
      </c>
      <c r="O91" s="42">
        <f>DSUM($B$57:$Y$65,O$57,$C$74:$D91)</f>
        <v>3.3829791089743225E-2</v>
      </c>
      <c r="P91" s="42">
        <f>DSUM($B$57:$Y$65,P$57,$C$74:$D91)</f>
        <v>1.7043507058042907E-2</v>
      </c>
      <c r="Q91" s="42">
        <f>DSUM($B$57:$Y$65,Q$57,$C$74:$D91)</f>
        <v>8.0493916724966603E-3</v>
      </c>
      <c r="R91" s="42">
        <f>DSUM($B$57:$Y$65,R$57,$C$74:$D91)</f>
        <v>3.57838993504317E-3</v>
      </c>
      <c r="S91" s="42">
        <f>DSUM($B$57:$Y$65,S$57,$C$74:$D91)</f>
        <v>1.5083675916865665E-3</v>
      </c>
      <c r="T91" s="42">
        <f>DSUM($B$57:$Y$65,T$57,$C$74:$D91)</f>
        <v>6.0020591027664695E-4</v>
      </c>
      <c r="U91" s="42">
        <f>DSUM($B$57:$Y$65,U$57,$C$74:$D91)</f>
        <v>2.2695244639393342E-4</v>
      </c>
      <c r="V91" s="42">
        <f>DSUM($B$57:$Y$65,V$57,$C$74:$D91)</f>
        <v>8.1728419396361296E-5</v>
      </c>
      <c r="W91" s="42">
        <f>DSUM($B$57:$Y$65,W$57,$C$74:$D91)</f>
        <v>2.808600939121704E-5</v>
      </c>
      <c r="X91" s="42">
        <f>DSUM($B$57:$Y$65,X$57,$C$74:$D91)</f>
        <v>9.2736512840225223E-6</v>
      </c>
      <c r="Y91" s="42">
        <f>DSUM($B$57:$Y$65,Y$57,$C$74:$D91)</f>
        <v>3.2399980278402829</v>
      </c>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2:79">
      <c r="B92" s="7" t="s">
        <v>90</v>
      </c>
      <c r="C92" s="45" t="s">
        <v>91</v>
      </c>
      <c r="D92" s="45" t="s">
        <v>92</v>
      </c>
      <c r="E92" s="42">
        <f>DSUM($B$57:$Y$65,E$57,$C$74:$D92)</f>
        <v>0.30209681731031607</v>
      </c>
      <c r="F92" s="42">
        <f>DSUM($B$57:$Y$65,F$57,$C$74:$D92)</f>
        <v>0.34742868676559802</v>
      </c>
      <c r="G92" s="42">
        <f>DSUM($B$57:$Y$65,G$57,$C$74:$D92)</f>
        <v>0.38241924488489859</v>
      </c>
      <c r="H92" s="42">
        <f>DSUM($B$57:$Y$65,H$57,$C$74:$D92)</f>
        <v>0.40276141730978654</v>
      </c>
      <c r="I92" s="42">
        <f>DSUM($B$57:$Y$65,I$57,$C$74:$D92)</f>
        <v>0.39103618864420475</v>
      </c>
      <c r="J92" s="42">
        <f>DSUM($B$57:$Y$65,J$57,$C$74:$D92)</f>
        <v>0.32828220136516167</v>
      </c>
      <c r="K92" s="42">
        <f>DSUM($B$57:$Y$65,K$57,$C$74:$D92)</f>
        <v>0.24803133123754187</v>
      </c>
      <c r="L92" s="42">
        <f>DSUM($B$57:$Y$65,L$57,$C$74:$D92)</f>
        <v>0.17042967073645418</v>
      </c>
      <c r="M92" s="42">
        <f>DSUM($B$57:$Y$65,M$57,$C$74:$D92)</f>
        <v>0.10732654390085172</v>
      </c>
      <c r="N92" s="42">
        <f>DSUM($B$57:$Y$65,N$57,$C$74:$D92)</f>
        <v>6.2669026347020665E-2</v>
      </c>
      <c r="O92" s="42">
        <f>DSUM($B$57:$Y$65,O$57,$C$74:$D92)</f>
        <v>3.3829791089743225E-2</v>
      </c>
      <c r="P92" s="42">
        <f>DSUM($B$57:$Y$65,P$57,$C$74:$D92)</f>
        <v>1.7043507058042907E-2</v>
      </c>
      <c r="Q92" s="42">
        <f>DSUM($B$57:$Y$65,Q$57,$C$74:$D92)</f>
        <v>8.0493916724966603E-3</v>
      </c>
      <c r="R92" s="42">
        <f>DSUM($B$57:$Y$65,R$57,$C$74:$D92)</f>
        <v>3.57838993504317E-3</v>
      </c>
      <c r="S92" s="42">
        <f>DSUM($B$57:$Y$65,S$57,$C$74:$D92)</f>
        <v>1.5083675916865665E-3</v>
      </c>
      <c r="T92" s="42">
        <f>DSUM($B$57:$Y$65,T$57,$C$74:$D92)</f>
        <v>6.0020591027664695E-4</v>
      </c>
      <c r="U92" s="42">
        <f>DSUM($B$57:$Y$65,U$57,$C$74:$D92)</f>
        <v>2.2695244639393342E-4</v>
      </c>
      <c r="V92" s="42">
        <f>DSUM($B$57:$Y$65,V$57,$C$74:$D92)</f>
        <v>8.1728419396361296E-5</v>
      </c>
      <c r="W92" s="42">
        <f>DSUM($B$57:$Y$65,W$57,$C$74:$D92)</f>
        <v>2.808600939121704E-5</v>
      </c>
      <c r="X92" s="42">
        <f>DSUM($B$57:$Y$65,X$57,$C$74:$D92)</f>
        <v>9.2736512840225223E-6</v>
      </c>
      <c r="Y92" s="42">
        <f>DSUM($B$57:$Y$65,Y$57,$C$74:$D92)</f>
        <v>3.2399980278402829</v>
      </c>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2:79">
      <c r="B93" s="7" t="s">
        <v>93</v>
      </c>
      <c r="C93" s="45" t="s">
        <v>94</v>
      </c>
      <c r="D93" s="45" t="s">
        <v>95</v>
      </c>
      <c r="E93" s="42">
        <f>DSUM($B$57:$Y$65,E$57,$C$74:$D93)</f>
        <v>0.30209681731031607</v>
      </c>
      <c r="F93" s="42">
        <f>DSUM($B$57:$Y$65,F$57,$C$74:$D93)</f>
        <v>0.34742868676559802</v>
      </c>
      <c r="G93" s="42">
        <f>DSUM($B$57:$Y$65,G$57,$C$74:$D93)</f>
        <v>0.38241924488489859</v>
      </c>
      <c r="H93" s="42">
        <f>DSUM($B$57:$Y$65,H$57,$C$74:$D93)</f>
        <v>0.40276141730978654</v>
      </c>
      <c r="I93" s="42">
        <f>DSUM($B$57:$Y$65,I$57,$C$74:$D93)</f>
        <v>0.39103618864420475</v>
      </c>
      <c r="J93" s="42">
        <f>DSUM($B$57:$Y$65,J$57,$C$74:$D93)</f>
        <v>0.32828220136516167</v>
      </c>
      <c r="K93" s="42">
        <f>DSUM($B$57:$Y$65,K$57,$C$74:$D93)</f>
        <v>0.24803133123754187</v>
      </c>
      <c r="L93" s="42">
        <f>DSUM($B$57:$Y$65,L$57,$C$74:$D93)</f>
        <v>0.17042967073645418</v>
      </c>
      <c r="M93" s="42">
        <f>DSUM($B$57:$Y$65,M$57,$C$74:$D93)</f>
        <v>0.10732654390085172</v>
      </c>
      <c r="N93" s="42">
        <f>DSUM($B$57:$Y$65,N$57,$C$74:$D93)</f>
        <v>6.2669026347020665E-2</v>
      </c>
      <c r="O93" s="42">
        <f>DSUM($B$57:$Y$65,O$57,$C$74:$D93)</f>
        <v>3.3829791089743225E-2</v>
      </c>
      <c r="P93" s="42">
        <f>DSUM($B$57:$Y$65,P$57,$C$74:$D93)</f>
        <v>1.7043507058042907E-2</v>
      </c>
      <c r="Q93" s="42">
        <f>DSUM($B$57:$Y$65,Q$57,$C$74:$D93)</f>
        <v>8.0493916724966603E-3</v>
      </c>
      <c r="R93" s="42">
        <f>DSUM($B$57:$Y$65,R$57,$C$74:$D93)</f>
        <v>3.57838993504317E-3</v>
      </c>
      <c r="S93" s="42">
        <f>DSUM($B$57:$Y$65,S$57,$C$74:$D93)</f>
        <v>1.5083675916865665E-3</v>
      </c>
      <c r="T93" s="42">
        <f>DSUM($B$57:$Y$65,T$57,$C$74:$D93)</f>
        <v>6.0020591027664695E-4</v>
      </c>
      <c r="U93" s="42">
        <f>DSUM($B$57:$Y$65,U$57,$C$74:$D93)</f>
        <v>2.2695244639393342E-4</v>
      </c>
      <c r="V93" s="42">
        <f>DSUM($B$57:$Y$65,V$57,$C$74:$D93)</f>
        <v>8.1728419396361296E-5</v>
      </c>
      <c r="W93" s="42">
        <f>DSUM($B$57:$Y$65,W$57,$C$74:$D93)</f>
        <v>2.808600939121704E-5</v>
      </c>
      <c r="X93" s="42">
        <f>DSUM($B$57:$Y$65,X$57,$C$74:$D93)</f>
        <v>9.2736512840225223E-6</v>
      </c>
      <c r="Y93" s="42">
        <f>DSUM($B$57:$Y$65,Y$57,$C$74:$D93)</f>
        <v>3.2399980278402829</v>
      </c>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2:79">
      <c r="B94" s="7" t="s">
        <v>96</v>
      </c>
      <c r="C94" s="45" t="s">
        <v>97</v>
      </c>
      <c r="D94" s="45" t="s">
        <v>98</v>
      </c>
      <c r="E94" s="42">
        <f>DSUM($B$57:$Y$65,E$57,$C$74:$D94)</f>
        <v>0.30209681731031607</v>
      </c>
      <c r="F94" s="42">
        <f>DSUM($B$57:$Y$65,F$57,$C$74:$D94)</f>
        <v>0.34742868676559802</v>
      </c>
      <c r="G94" s="42">
        <f>DSUM($B$57:$Y$65,G$57,$C$74:$D94)</f>
        <v>0.38241924488489859</v>
      </c>
      <c r="H94" s="42">
        <f>DSUM($B$57:$Y$65,H$57,$C$74:$D94)</f>
        <v>0.40276141730978654</v>
      </c>
      <c r="I94" s="42">
        <f>DSUM($B$57:$Y$65,I$57,$C$74:$D94)</f>
        <v>0.39103618864420475</v>
      </c>
      <c r="J94" s="42">
        <f>DSUM($B$57:$Y$65,J$57,$C$74:$D94)</f>
        <v>0.32828220136516167</v>
      </c>
      <c r="K94" s="42">
        <f>DSUM($B$57:$Y$65,K$57,$C$74:$D94)</f>
        <v>0.24803133123754187</v>
      </c>
      <c r="L94" s="42">
        <f>DSUM($B$57:$Y$65,L$57,$C$74:$D94)</f>
        <v>0.17042967073645418</v>
      </c>
      <c r="M94" s="42">
        <f>DSUM($B$57:$Y$65,M$57,$C$74:$D94)</f>
        <v>0.10732654390085172</v>
      </c>
      <c r="N94" s="42">
        <f>DSUM($B$57:$Y$65,N$57,$C$74:$D94)</f>
        <v>6.2669026347020665E-2</v>
      </c>
      <c r="O94" s="42">
        <f>DSUM($B$57:$Y$65,O$57,$C$74:$D94)</f>
        <v>3.3829791089743225E-2</v>
      </c>
      <c r="P94" s="42">
        <f>DSUM($B$57:$Y$65,P$57,$C$74:$D94)</f>
        <v>1.7043507058042907E-2</v>
      </c>
      <c r="Q94" s="42">
        <f>DSUM($B$57:$Y$65,Q$57,$C$74:$D94)</f>
        <v>8.0493916724966603E-3</v>
      </c>
      <c r="R94" s="42">
        <f>DSUM($B$57:$Y$65,R$57,$C$74:$D94)</f>
        <v>3.57838993504317E-3</v>
      </c>
      <c r="S94" s="42">
        <f>DSUM($B$57:$Y$65,S$57,$C$74:$D94)</f>
        <v>1.5083675916865665E-3</v>
      </c>
      <c r="T94" s="42">
        <f>DSUM($B$57:$Y$65,T$57,$C$74:$D94)</f>
        <v>6.0020591027664695E-4</v>
      </c>
      <c r="U94" s="42">
        <f>DSUM($B$57:$Y$65,U$57,$C$74:$D94)</f>
        <v>2.2695244639393342E-4</v>
      </c>
      <c r="V94" s="42">
        <f>DSUM($B$57:$Y$65,V$57,$C$74:$D94)</f>
        <v>8.1728419396361296E-5</v>
      </c>
      <c r="W94" s="42">
        <f>DSUM($B$57:$Y$65,W$57,$C$74:$D94)</f>
        <v>2.808600939121704E-5</v>
      </c>
      <c r="X94" s="42">
        <f>DSUM($B$57:$Y$65,X$57,$C$74:$D94)</f>
        <v>9.2736512840225223E-6</v>
      </c>
      <c r="Y94" s="42">
        <f>DSUM($B$57:$Y$65,Y$57,$C$74:$D94)</f>
        <v>3.2399980278402829</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2:79">
      <c r="B95" s="7" t="s">
        <v>99</v>
      </c>
      <c r="C95" s="45" t="s">
        <v>100</v>
      </c>
      <c r="D95" s="45" t="s">
        <v>101</v>
      </c>
      <c r="E95" s="42">
        <f>DSUM($B$57:$Y$65,E$57,$C$74:$D95)</f>
        <v>0.30209681731031607</v>
      </c>
      <c r="F95" s="42">
        <f>DSUM($B$57:$Y$65,F$57,$C$74:$D95)</f>
        <v>0.34742868676559802</v>
      </c>
      <c r="G95" s="42">
        <f>DSUM($B$57:$Y$65,G$57,$C$74:$D95)</f>
        <v>0.38241924488489859</v>
      </c>
      <c r="H95" s="42">
        <f>DSUM($B$57:$Y$65,H$57,$C$74:$D95)</f>
        <v>0.40276141730978654</v>
      </c>
      <c r="I95" s="42">
        <f>DSUM($B$57:$Y$65,I$57,$C$74:$D95)</f>
        <v>0.39103618864420475</v>
      </c>
      <c r="J95" s="42">
        <f>DSUM($B$57:$Y$65,J$57,$C$74:$D95)</f>
        <v>0.32828220136516167</v>
      </c>
      <c r="K95" s="42">
        <f>DSUM($B$57:$Y$65,K$57,$C$74:$D95)</f>
        <v>0.24803133123754187</v>
      </c>
      <c r="L95" s="42">
        <f>DSUM($B$57:$Y$65,L$57,$C$74:$D95)</f>
        <v>0.17042967073645418</v>
      </c>
      <c r="M95" s="42">
        <f>DSUM($B$57:$Y$65,M$57,$C$74:$D95)</f>
        <v>0.10732654390085172</v>
      </c>
      <c r="N95" s="42">
        <f>DSUM($B$57:$Y$65,N$57,$C$74:$D95)</f>
        <v>6.2669026347020665E-2</v>
      </c>
      <c r="O95" s="42">
        <f>DSUM($B$57:$Y$65,O$57,$C$74:$D95)</f>
        <v>3.3829791089743225E-2</v>
      </c>
      <c r="P95" s="42">
        <f>DSUM($B$57:$Y$65,P$57,$C$74:$D95)</f>
        <v>1.7043507058042907E-2</v>
      </c>
      <c r="Q95" s="42">
        <f>DSUM($B$57:$Y$65,Q$57,$C$74:$D95)</f>
        <v>8.0493916724966603E-3</v>
      </c>
      <c r="R95" s="42">
        <f>DSUM($B$57:$Y$65,R$57,$C$74:$D95)</f>
        <v>3.57838993504317E-3</v>
      </c>
      <c r="S95" s="42">
        <f>DSUM($B$57:$Y$65,S$57,$C$74:$D95)</f>
        <v>1.5083675916865665E-3</v>
      </c>
      <c r="T95" s="42">
        <f>DSUM($B$57:$Y$65,T$57,$C$74:$D95)</f>
        <v>6.0020591027664695E-4</v>
      </c>
      <c r="U95" s="42">
        <f>DSUM($B$57:$Y$65,U$57,$C$74:$D95)</f>
        <v>2.2695244639393342E-4</v>
      </c>
      <c r="V95" s="42">
        <f>DSUM($B$57:$Y$65,V$57,$C$74:$D95)</f>
        <v>8.1728419396361296E-5</v>
      </c>
      <c r="W95" s="42">
        <f>DSUM($B$57:$Y$65,W$57,$C$74:$D95)</f>
        <v>2.808600939121704E-5</v>
      </c>
      <c r="X95" s="42">
        <f>DSUM($B$57:$Y$65,X$57,$C$74:$D95)</f>
        <v>9.2736512840225223E-6</v>
      </c>
      <c r="Y95" s="42">
        <f>DSUM($B$57:$Y$65,Y$57,$C$74:$D95)</f>
        <v>3.2399980278402829</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2:79">
      <c r="B96" s="7" t="s">
        <v>162</v>
      </c>
      <c r="C96" s="45" t="s">
        <v>102</v>
      </c>
      <c r="D96" s="45" t="s">
        <v>163</v>
      </c>
      <c r="E96" s="42">
        <f>DSUM($B$57:$Y$65,E$57,$C$74:$D96)</f>
        <v>0.30209681731031607</v>
      </c>
      <c r="F96" s="42">
        <f>DSUM($B$57:$Y$65,F$57,$C$74:$D96)</f>
        <v>0.34742868676559802</v>
      </c>
      <c r="G96" s="42">
        <f>DSUM($B$57:$Y$65,G$57,$C$74:$D96)</f>
        <v>0.38241924488489859</v>
      </c>
      <c r="H96" s="42">
        <f>DSUM($B$57:$Y$65,H$57,$C$74:$D96)</f>
        <v>0.40276141730978654</v>
      </c>
      <c r="I96" s="42">
        <f>DSUM($B$57:$Y$65,I$57,$C$74:$D96)</f>
        <v>0.39103618864420475</v>
      </c>
      <c r="J96" s="42">
        <f>DSUM($B$57:$Y$65,J$57,$C$74:$D96)</f>
        <v>0.32828220136516167</v>
      </c>
      <c r="K96" s="42">
        <f>DSUM($B$57:$Y$65,K$57,$C$74:$D96)</f>
        <v>0.24803133123754187</v>
      </c>
      <c r="L96" s="42">
        <f>DSUM($B$57:$Y$65,L$57,$C$74:$D96)</f>
        <v>0.17042967073645418</v>
      </c>
      <c r="M96" s="42">
        <f>DSUM($B$57:$Y$65,M$57,$C$74:$D96)</f>
        <v>0.10732654390085172</v>
      </c>
      <c r="N96" s="42">
        <f>DSUM($B$57:$Y$65,N$57,$C$74:$D96)</f>
        <v>6.2669026347020665E-2</v>
      </c>
      <c r="O96" s="42">
        <f>DSUM($B$57:$Y$65,O$57,$C$74:$D96)</f>
        <v>3.3829791089743225E-2</v>
      </c>
      <c r="P96" s="42">
        <f>DSUM($B$57:$Y$65,P$57,$C$74:$D96)</f>
        <v>1.7043507058042907E-2</v>
      </c>
      <c r="Q96" s="42">
        <f>DSUM($B$57:$Y$65,Q$57,$C$74:$D96)</f>
        <v>8.0493916724966603E-3</v>
      </c>
      <c r="R96" s="42">
        <f>DSUM($B$57:$Y$65,R$57,$C$74:$D96)</f>
        <v>3.57838993504317E-3</v>
      </c>
      <c r="S96" s="42">
        <f>DSUM($B$57:$Y$65,S$57,$C$74:$D96)</f>
        <v>1.5083675916865665E-3</v>
      </c>
      <c r="T96" s="42">
        <f>DSUM($B$57:$Y$65,T$57,$C$74:$D96)</f>
        <v>6.0020591027664695E-4</v>
      </c>
      <c r="U96" s="42">
        <f>DSUM($B$57:$Y$65,U$57,$C$74:$D96)</f>
        <v>2.2695244639393342E-4</v>
      </c>
      <c r="V96" s="42">
        <f>DSUM($B$57:$Y$65,V$57,$C$74:$D96)</f>
        <v>8.1728419396361296E-5</v>
      </c>
      <c r="W96" s="42">
        <f>DSUM($B$57:$Y$65,W$57,$C$74:$D96)</f>
        <v>2.808600939121704E-5</v>
      </c>
      <c r="X96" s="42">
        <f>DSUM($B$57:$Y$65,X$57,$C$74:$D96)</f>
        <v>9.2736512840225223E-6</v>
      </c>
      <c r="Y96" s="42">
        <f>DSUM($B$57:$Y$65,Y$57,$C$74:$D96)</f>
        <v>3.2399980278402829</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1:79">
      <c r="B97" s="7" t="s">
        <v>164</v>
      </c>
      <c r="C97" s="45" t="s">
        <v>165</v>
      </c>
      <c r="D97" s="45" t="s">
        <v>166</v>
      </c>
      <c r="E97" s="42">
        <f>DSUM($B$57:$Y$65,E$57,$C$74:$D97)</f>
        <v>0.30209681731031607</v>
      </c>
      <c r="F97" s="42">
        <f>DSUM($B$57:$Y$65,F$57,$C$74:$D97)</f>
        <v>0.34742868676559802</v>
      </c>
      <c r="G97" s="42">
        <f>DSUM($B$57:$Y$65,G$57,$C$74:$D97)</f>
        <v>0.38241924488489859</v>
      </c>
      <c r="H97" s="42">
        <f>DSUM($B$57:$Y$65,H$57,$C$74:$D97)</f>
        <v>0.40276141730978654</v>
      </c>
      <c r="I97" s="42">
        <f>DSUM($B$57:$Y$65,I$57,$C$74:$D97)</f>
        <v>0.39103618864420475</v>
      </c>
      <c r="J97" s="42">
        <f>DSUM($B$57:$Y$65,J$57,$C$74:$D97)</f>
        <v>0.32828220136516167</v>
      </c>
      <c r="K97" s="42">
        <f>DSUM($B$57:$Y$65,K$57,$C$74:$D97)</f>
        <v>0.24803133123754187</v>
      </c>
      <c r="L97" s="42">
        <f>DSUM($B$57:$Y$65,L$57,$C$74:$D97)</f>
        <v>0.17042967073645418</v>
      </c>
      <c r="M97" s="42">
        <f>DSUM($B$57:$Y$65,M$57,$C$74:$D97)</f>
        <v>0.10732654390085172</v>
      </c>
      <c r="N97" s="42">
        <f>DSUM($B$57:$Y$65,N$57,$C$74:$D97)</f>
        <v>6.2669026347020665E-2</v>
      </c>
      <c r="O97" s="42">
        <f>DSUM($B$57:$Y$65,O$57,$C$74:$D97)</f>
        <v>3.3829791089743225E-2</v>
      </c>
      <c r="P97" s="42">
        <f>DSUM($B$57:$Y$65,P$57,$C$74:$D97)</f>
        <v>1.7043507058042907E-2</v>
      </c>
      <c r="Q97" s="42">
        <f>DSUM($B$57:$Y$65,Q$57,$C$74:$D97)</f>
        <v>8.0493916724966603E-3</v>
      </c>
      <c r="R97" s="42">
        <f>DSUM($B$57:$Y$65,R$57,$C$74:$D97)</f>
        <v>3.57838993504317E-3</v>
      </c>
      <c r="S97" s="42">
        <f>DSUM($B$57:$Y$65,S$57,$C$74:$D97)</f>
        <v>1.5083675916865665E-3</v>
      </c>
      <c r="T97" s="42">
        <f>DSUM($B$57:$Y$65,T$57,$C$74:$D97)</f>
        <v>6.0020591027664695E-4</v>
      </c>
      <c r="U97" s="42">
        <f>DSUM($B$57:$Y$65,U$57,$C$74:$D97)</f>
        <v>2.2695244639393342E-4</v>
      </c>
      <c r="V97" s="42">
        <f>DSUM($B$57:$Y$65,V$57,$C$74:$D97)</f>
        <v>8.1728419396361296E-5</v>
      </c>
      <c r="W97" s="42">
        <f>DSUM($B$57:$Y$65,W$57,$C$74:$D97)</f>
        <v>2.808600939121704E-5</v>
      </c>
      <c r="X97" s="42">
        <f>DSUM($B$57:$Y$65,X$57,$C$74:$D97)</f>
        <v>9.2736512840225223E-6</v>
      </c>
      <c r="Y97" s="42">
        <f>DSUM($B$57:$Y$65,Y$57,$C$74:$D97)</f>
        <v>3.2399980278402829</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1:79">
      <c r="B98" s="7" t="s">
        <v>167</v>
      </c>
      <c r="C98" s="45" t="s">
        <v>168</v>
      </c>
      <c r="D98" s="45" t="s">
        <v>169</v>
      </c>
      <c r="E98" s="42">
        <f>DSUM($B$57:$Y$65,E$57,$C$74:$D98)</f>
        <v>0.30209681731031607</v>
      </c>
      <c r="F98" s="42">
        <f>DSUM($B$57:$Y$65,F$57,$C$74:$D98)</f>
        <v>0.34742868676559802</v>
      </c>
      <c r="G98" s="42">
        <f>DSUM($B$57:$Y$65,G$57,$C$74:$D98)</f>
        <v>0.38241924488489859</v>
      </c>
      <c r="H98" s="42">
        <f>DSUM($B$57:$Y$65,H$57,$C$74:$D98)</f>
        <v>0.40276141730978654</v>
      </c>
      <c r="I98" s="42">
        <f>DSUM($B$57:$Y$65,I$57,$C$74:$D98)</f>
        <v>0.39103618864420475</v>
      </c>
      <c r="J98" s="42">
        <f>DSUM($B$57:$Y$65,J$57,$C$74:$D98)</f>
        <v>0.32828220136516167</v>
      </c>
      <c r="K98" s="42">
        <f>DSUM($B$57:$Y$65,K$57,$C$74:$D98)</f>
        <v>0.24803133123754187</v>
      </c>
      <c r="L98" s="42">
        <f>DSUM($B$57:$Y$65,L$57,$C$74:$D98)</f>
        <v>0.17042967073645418</v>
      </c>
      <c r="M98" s="42">
        <f>DSUM($B$57:$Y$65,M$57,$C$74:$D98)</f>
        <v>0.10732654390085172</v>
      </c>
      <c r="N98" s="42">
        <f>DSUM($B$57:$Y$65,N$57,$C$74:$D98)</f>
        <v>6.2669026347020665E-2</v>
      </c>
      <c r="O98" s="42">
        <f>DSUM($B$57:$Y$65,O$57,$C$74:$D98)</f>
        <v>3.3829791089743225E-2</v>
      </c>
      <c r="P98" s="42">
        <f>DSUM($B$57:$Y$65,P$57,$C$74:$D98)</f>
        <v>1.7043507058042907E-2</v>
      </c>
      <c r="Q98" s="42">
        <f>DSUM($B$57:$Y$65,Q$57,$C$74:$D98)</f>
        <v>8.0493916724966603E-3</v>
      </c>
      <c r="R98" s="42">
        <f>DSUM($B$57:$Y$65,R$57,$C$74:$D98)</f>
        <v>3.57838993504317E-3</v>
      </c>
      <c r="S98" s="42">
        <f>DSUM($B$57:$Y$65,S$57,$C$74:$D98)</f>
        <v>1.5083675916865665E-3</v>
      </c>
      <c r="T98" s="42">
        <f>DSUM($B$57:$Y$65,T$57,$C$74:$D98)</f>
        <v>6.0020591027664695E-4</v>
      </c>
      <c r="U98" s="42">
        <f>DSUM($B$57:$Y$65,U$57,$C$74:$D98)</f>
        <v>2.2695244639393342E-4</v>
      </c>
      <c r="V98" s="42">
        <f>DSUM($B$57:$Y$65,V$57,$C$74:$D98)</f>
        <v>8.1728419396361296E-5</v>
      </c>
      <c r="W98" s="42">
        <f>DSUM($B$57:$Y$65,W$57,$C$74:$D98)</f>
        <v>2.808600939121704E-5</v>
      </c>
      <c r="X98" s="42">
        <f>DSUM($B$57:$Y$65,X$57,$C$74:$D98)</f>
        <v>9.2736512840225223E-6</v>
      </c>
      <c r="Y98" s="42">
        <f>DSUM($B$57:$Y$65,Y$57,$C$74:$D98)</f>
        <v>3.2399980278402829</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1:79">
      <c r="B99" s="7" t="s">
        <v>170</v>
      </c>
      <c r="C99" s="45" t="s">
        <v>171</v>
      </c>
      <c r="D99" s="45" t="s">
        <v>172</v>
      </c>
      <c r="E99" s="42">
        <f>DSUM($B$57:$Y$65,E$57,$C$74:$D99)</f>
        <v>0.30209681731031607</v>
      </c>
      <c r="F99" s="42">
        <f>DSUM($B$57:$Y$65,F$57,$C$74:$D99)</f>
        <v>0.34742868676559802</v>
      </c>
      <c r="G99" s="42">
        <f>DSUM($B$57:$Y$65,G$57,$C$74:$D99)</f>
        <v>0.38241924488489859</v>
      </c>
      <c r="H99" s="42">
        <f>DSUM($B$57:$Y$65,H$57,$C$74:$D99)</f>
        <v>0.40276141730978654</v>
      </c>
      <c r="I99" s="42">
        <f>DSUM($B$57:$Y$65,I$57,$C$74:$D99)</f>
        <v>0.39103618864420475</v>
      </c>
      <c r="J99" s="42">
        <f>DSUM($B$57:$Y$65,J$57,$C$74:$D99)</f>
        <v>0.32828220136516167</v>
      </c>
      <c r="K99" s="42">
        <f>DSUM($B$57:$Y$65,K$57,$C$74:$D99)</f>
        <v>0.24803133123754187</v>
      </c>
      <c r="L99" s="42">
        <f>DSUM($B$57:$Y$65,L$57,$C$74:$D99)</f>
        <v>0.17042967073645418</v>
      </c>
      <c r="M99" s="42">
        <f>DSUM($B$57:$Y$65,M$57,$C$74:$D99)</f>
        <v>0.10732654390085172</v>
      </c>
      <c r="N99" s="42">
        <f>DSUM($B$57:$Y$65,N$57,$C$74:$D99)</f>
        <v>6.2669026347020665E-2</v>
      </c>
      <c r="O99" s="42">
        <f>DSUM($B$57:$Y$65,O$57,$C$74:$D99)</f>
        <v>3.3829791089743225E-2</v>
      </c>
      <c r="P99" s="42">
        <f>DSUM($B$57:$Y$65,P$57,$C$74:$D99)</f>
        <v>1.7043507058042907E-2</v>
      </c>
      <c r="Q99" s="42">
        <f>DSUM($B$57:$Y$65,Q$57,$C$74:$D99)</f>
        <v>8.0493916724966603E-3</v>
      </c>
      <c r="R99" s="42">
        <f>DSUM($B$57:$Y$65,R$57,$C$74:$D99)</f>
        <v>3.57838993504317E-3</v>
      </c>
      <c r="S99" s="42">
        <f>DSUM($B$57:$Y$65,S$57,$C$74:$D99)</f>
        <v>1.5083675916865665E-3</v>
      </c>
      <c r="T99" s="42">
        <f>DSUM($B$57:$Y$65,T$57,$C$74:$D99)</f>
        <v>6.0020591027664695E-4</v>
      </c>
      <c r="U99" s="42">
        <f>DSUM($B$57:$Y$65,U$57,$C$74:$D99)</f>
        <v>2.2695244639393342E-4</v>
      </c>
      <c r="V99" s="42">
        <f>DSUM($B$57:$Y$65,V$57,$C$74:$D99)</f>
        <v>8.1728419396361296E-5</v>
      </c>
      <c r="W99" s="42">
        <f>DSUM($B$57:$Y$65,W$57,$C$74:$D99)</f>
        <v>2.808600939121704E-5</v>
      </c>
      <c r="X99" s="42">
        <f>DSUM($B$57:$Y$65,X$57,$C$74:$D99)</f>
        <v>9.2736512840225223E-6</v>
      </c>
      <c r="Y99" s="42">
        <f>DSUM($B$57:$Y$65,Y$57,$C$74:$D99)</f>
        <v>3.2399980278402829</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79">
      <c r="B100" s="7" t="s">
        <v>173</v>
      </c>
      <c r="C100" s="45" t="s">
        <v>174</v>
      </c>
      <c r="D100" s="45" t="s">
        <v>175</v>
      </c>
      <c r="E100" s="42">
        <f>DSUM($B$57:$Y$65,E$57,$C$74:$D100)</f>
        <v>0.30209681731031607</v>
      </c>
      <c r="F100" s="42">
        <f>DSUM($B$57:$Y$65,F$57,$C$74:$D100)</f>
        <v>0.34742868676559802</v>
      </c>
      <c r="G100" s="42">
        <f>DSUM($B$57:$Y$65,G$57,$C$74:$D100)</f>
        <v>0.38241924488489859</v>
      </c>
      <c r="H100" s="42">
        <f>DSUM($B$57:$Y$65,H$57,$C$74:$D100)</f>
        <v>0.40276141730978654</v>
      </c>
      <c r="I100" s="42">
        <f>DSUM($B$57:$Y$65,I$57,$C$74:$D100)</f>
        <v>0.39103618864420475</v>
      </c>
      <c r="J100" s="42">
        <f>DSUM($B$57:$Y$65,J$57,$C$74:$D100)</f>
        <v>0.32828220136516167</v>
      </c>
      <c r="K100" s="42">
        <f>DSUM($B$57:$Y$65,K$57,$C$74:$D100)</f>
        <v>0.24803133123754187</v>
      </c>
      <c r="L100" s="42">
        <f>DSUM($B$57:$Y$65,L$57,$C$74:$D100)</f>
        <v>0.17042967073645418</v>
      </c>
      <c r="M100" s="42">
        <f>DSUM($B$57:$Y$65,M$57,$C$74:$D100)</f>
        <v>0.10732654390085172</v>
      </c>
      <c r="N100" s="42">
        <f>DSUM($B$57:$Y$65,N$57,$C$74:$D100)</f>
        <v>6.2669026347020665E-2</v>
      </c>
      <c r="O100" s="42">
        <f>DSUM($B$57:$Y$65,O$57,$C$74:$D100)</f>
        <v>3.3829791089743225E-2</v>
      </c>
      <c r="P100" s="42">
        <f>DSUM($B$57:$Y$65,P$57,$C$74:$D100)</f>
        <v>1.7043507058042907E-2</v>
      </c>
      <c r="Q100" s="42">
        <f>DSUM($B$57:$Y$65,Q$57,$C$74:$D100)</f>
        <v>8.0493916724966603E-3</v>
      </c>
      <c r="R100" s="42">
        <f>DSUM($B$57:$Y$65,R$57,$C$74:$D100)</f>
        <v>3.57838993504317E-3</v>
      </c>
      <c r="S100" s="42">
        <f>DSUM($B$57:$Y$65,S$57,$C$74:$D100)</f>
        <v>1.5083675916865665E-3</v>
      </c>
      <c r="T100" s="42">
        <f>DSUM($B$57:$Y$65,T$57,$C$74:$D100)</f>
        <v>6.0020591027664695E-4</v>
      </c>
      <c r="U100" s="42">
        <f>DSUM($B$57:$Y$65,U$57,$C$74:$D100)</f>
        <v>2.2695244639393342E-4</v>
      </c>
      <c r="V100" s="42">
        <f>DSUM($B$57:$Y$65,V$57,$C$74:$D100)</f>
        <v>8.1728419396361296E-5</v>
      </c>
      <c r="W100" s="42">
        <f>DSUM($B$57:$Y$65,W$57,$C$74:$D100)</f>
        <v>2.808600939121704E-5</v>
      </c>
      <c r="X100" s="42">
        <f>DSUM($B$57:$Y$65,X$57,$C$74:$D100)</f>
        <v>9.2736512840225223E-6</v>
      </c>
      <c r="Y100" s="42">
        <f>DSUM($B$57:$Y$65,Y$57,$C$74:$D100)</f>
        <v>3.2399980278402829</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79">
      <c r="B101" s="7" t="s">
        <v>176</v>
      </c>
      <c r="C101" s="45" t="s">
        <v>177</v>
      </c>
      <c r="D101" s="45" t="s">
        <v>178</v>
      </c>
      <c r="E101" s="42">
        <f>DSUM($B$57:$Y$65,E$57,$C$74:$D101)</f>
        <v>0.30209681731031607</v>
      </c>
      <c r="F101" s="42">
        <f>DSUM($B$57:$Y$65,F$57,$C$74:$D101)</f>
        <v>0.34742868676559802</v>
      </c>
      <c r="G101" s="42">
        <f>DSUM($B$57:$Y$65,G$57,$C$74:$D101)</f>
        <v>0.38241924488489859</v>
      </c>
      <c r="H101" s="42">
        <f>DSUM($B$57:$Y$65,H$57,$C$74:$D101)</f>
        <v>0.40276141730978654</v>
      </c>
      <c r="I101" s="42">
        <f>DSUM($B$57:$Y$65,I$57,$C$74:$D101)</f>
        <v>0.39103618864420475</v>
      </c>
      <c r="J101" s="42">
        <f>DSUM($B$57:$Y$65,J$57,$C$74:$D101)</f>
        <v>0.32828220136516167</v>
      </c>
      <c r="K101" s="42">
        <f>DSUM($B$57:$Y$65,K$57,$C$74:$D101)</f>
        <v>0.24803133123754187</v>
      </c>
      <c r="L101" s="42">
        <f>DSUM($B$57:$Y$65,L$57,$C$74:$D101)</f>
        <v>0.17042967073645418</v>
      </c>
      <c r="M101" s="42">
        <f>DSUM($B$57:$Y$65,M$57,$C$74:$D101)</f>
        <v>0.10732654390085172</v>
      </c>
      <c r="N101" s="42">
        <f>DSUM($B$57:$Y$65,N$57,$C$74:$D101)</f>
        <v>6.2669026347020665E-2</v>
      </c>
      <c r="O101" s="42">
        <f>DSUM($B$57:$Y$65,O$57,$C$74:$D101)</f>
        <v>3.3829791089743225E-2</v>
      </c>
      <c r="P101" s="42">
        <f>DSUM($B$57:$Y$65,P$57,$C$74:$D101)</f>
        <v>1.7043507058042907E-2</v>
      </c>
      <c r="Q101" s="42">
        <f>DSUM($B$57:$Y$65,Q$57,$C$74:$D101)</f>
        <v>8.0493916724966603E-3</v>
      </c>
      <c r="R101" s="42">
        <f>DSUM($B$57:$Y$65,R$57,$C$74:$D101)</f>
        <v>3.57838993504317E-3</v>
      </c>
      <c r="S101" s="42">
        <f>DSUM($B$57:$Y$65,S$57,$C$74:$D101)</f>
        <v>1.5083675916865665E-3</v>
      </c>
      <c r="T101" s="42">
        <f>DSUM($B$57:$Y$65,T$57,$C$74:$D101)</f>
        <v>6.0020591027664695E-4</v>
      </c>
      <c r="U101" s="42">
        <f>DSUM($B$57:$Y$65,U$57,$C$74:$D101)</f>
        <v>2.2695244639393342E-4</v>
      </c>
      <c r="V101" s="42">
        <f>DSUM($B$57:$Y$65,V$57,$C$74:$D101)</f>
        <v>8.1728419396361296E-5</v>
      </c>
      <c r="W101" s="42">
        <f>DSUM($B$57:$Y$65,W$57,$C$74:$D101)</f>
        <v>2.808600939121704E-5</v>
      </c>
      <c r="X101" s="42">
        <f>DSUM($B$57:$Y$65,X$57,$C$74:$D101)</f>
        <v>9.2736512840225223E-6</v>
      </c>
      <c r="Y101" s="42">
        <f>DSUM($B$57:$Y$65,Y$57,$C$74:$D101)</f>
        <v>3.2399980278402829</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79">
      <c r="B102" s="7" t="s">
        <v>179</v>
      </c>
      <c r="C102" s="45" t="s">
        <v>180</v>
      </c>
      <c r="D102" s="45" t="s">
        <v>181</v>
      </c>
      <c r="E102" s="42">
        <f>DSUM($B$57:$Y$65,E$57,$C$74:$D102)</f>
        <v>0.30209681731031607</v>
      </c>
      <c r="F102" s="42">
        <f>DSUM($B$57:$Y$65,F$57,$C$74:$D102)</f>
        <v>0.34742868676559802</v>
      </c>
      <c r="G102" s="42">
        <f>DSUM($B$57:$Y$65,G$57,$C$74:$D102)</f>
        <v>0.38241924488489859</v>
      </c>
      <c r="H102" s="42">
        <f>DSUM($B$57:$Y$65,H$57,$C$74:$D102)</f>
        <v>0.40276141730978654</v>
      </c>
      <c r="I102" s="42">
        <f>DSUM($B$57:$Y$65,I$57,$C$74:$D102)</f>
        <v>0.39103618864420475</v>
      </c>
      <c r="J102" s="42">
        <f>DSUM($B$57:$Y$65,J$57,$C$74:$D102)</f>
        <v>0.32828220136516167</v>
      </c>
      <c r="K102" s="42">
        <f>DSUM($B$57:$Y$65,K$57,$C$74:$D102)</f>
        <v>0.24803133123754187</v>
      </c>
      <c r="L102" s="42">
        <f>DSUM($B$57:$Y$65,L$57,$C$74:$D102)</f>
        <v>0.17042967073645418</v>
      </c>
      <c r="M102" s="42">
        <f>DSUM($B$57:$Y$65,M$57,$C$74:$D102)</f>
        <v>0.10732654390085172</v>
      </c>
      <c r="N102" s="42">
        <f>DSUM($B$57:$Y$65,N$57,$C$74:$D102)</f>
        <v>6.2669026347020665E-2</v>
      </c>
      <c r="O102" s="42">
        <f>DSUM($B$57:$Y$65,O$57,$C$74:$D102)</f>
        <v>3.3829791089743225E-2</v>
      </c>
      <c r="P102" s="42">
        <f>DSUM($B$57:$Y$65,P$57,$C$74:$D102)</f>
        <v>1.7043507058042907E-2</v>
      </c>
      <c r="Q102" s="42">
        <f>DSUM($B$57:$Y$65,Q$57,$C$74:$D102)</f>
        <v>8.0493916724966603E-3</v>
      </c>
      <c r="R102" s="42">
        <f>DSUM($B$57:$Y$65,R$57,$C$74:$D102)</f>
        <v>3.57838993504317E-3</v>
      </c>
      <c r="S102" s="42">
        <f>DSUM($B$57:$Y$65,S$57,$C$74:$D102)</f>
        <v>1.5083675916865665E-3</v>
      </c>
      <c r="T102" s="42">
        <f>DSUM($B$57:$Y$65,T$57,$C$74:$D102)</f>
        <v>6.0020591027664695E-4</v>
      </c>
      <c r="U102" s="42">
        <f>DSUM($B$57:$Y$65,U$57,$C$74:$D102)</f>
        <v>2.2695244639393342E-4</v>
      </c>
      <c r="V102" s="42">
        <f>DSUM($B$57:$Y$65,V$57,$C$74:$D102)</f>
        <v>8.1728419396361296E-5</v>
      </c>
      <c r="W102" s="42">
        <f>DSUM($B$57:$Y$65,W$57,$C$74:$D102)</f>
        <v>2.808600939121704E-5</v>
      </c>
      <c r="X102" s="42">
        <f>DSUM($B$57:$Y$65,X$57,$C$74:$D102)</f>
        <v>9.2736512840225223E-6</v>
      </c>
      <c r="Y102" s="42">
        <f>DSUM($B$57:$Y$65,Y$57,$C$74:$D102)</f>
        <v>3.2399980278402829</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79">
      <c r="B103" s="7" t="s">
        <v>182</v>
      </c>
      <c r="C103" s="45" t="s">
        <v>183</v>
      </c>
      <c r="D103" s="45" t="s">
        <v>184</v>
      </c>
      <c r="E103" s="42">
        <f>DSUM($B$57:$Y$65,E$57,$C$74:$D103)</f>
        <v>0.30209681731031607</v>
      </c>
      <c r="F103" s="42">
        <f>DSUM($B$57:$Y$65,F$57,$C$74:$D103)</f>
        <v>0.34742868676559802</v>
      </c>
      <c r="G103" s="42">
        <f>DSUM($B$57:$Y$65,G$57,$C$74:$D103)</f>
        <v>0.38241924488489859</v>
      </c>
      <c r="H103" s="42">
        <f>DSUM($B$57:$Y$65,H$57,$C$74:$D103)</f>
        <v>0.40276141730978654</v>
      </c>
      <c r="I103" s="42">
        <f>DSUM($B$57:$Y$65,I$57,$C$74:$D103)</f>
        <v>0.39103618864420475</v>
      </c>
      <c r="J103" s="42">
        <f>DSUM($B$57:$Y$65,J$57,$C$74:$D103)</f>
        <v>0.32828220136516167</v>
      </c>
      <c r="K103" s="42">
        <f>DSUM($B$57:$Y$65,K$57,$C$74:$D103)</f>
        <v>0.24803133123754187</v>
      </c>
      <c r="L103" s="42">
        <f>DSUM($B$57:$Y$65,L$57,$C$74:$D103)</f>
        <v>0.17042967073645418</v>
      </c>
      <c r="M103" s="42">
        <f>DSUM($B$57:$Y$65,M$57,$C$74:$D103)</f>
        <v>0.10732654390085172</v>
      </c>
      <c r="N103" s="42">
        <f>DSUM($B$57:$Y$65,N$57,$C$74:$D103)</f>
        <v>6.2669026347020665E-2</v>
      </c>
      <c r="O103" s="42">
        <f>DSUM($B$57:$Y$65,O$57,$C$74:$D103)</f>
        <v>3.3829791089743225E-2</v>
      </c>
      <c r="P103" s="42">
        <f>DSUM($B$57:$Y$65,P$57,$C$74:$D103)</f>
        <v>1.7043507058042907E-2</v>
      </c>
      <c r="Q103" s="42">
        <f>DSUM($B$57:$Y$65,Q$57,$C$74:$D103)</f>
        <v>8.0493916724966603E-3</v>
      </c>
      <c r="R103" s="42">
        <f>DSUM($B$57:$Y$65,R$57,$C$74:$D103)</f>
        <v>3.57838993504317E-3</v>
      </c>
      <c r="S103" s="42">
        <f>DSUM($B$57:$Y$65,S$57,$C$74:$D103)</f>
        <v>1.5083675916865665E-3</v>
      </c>
      <c r="T103" s="42">
        <f>DSUM($B$57:$Y$65,T$57,$C$74:$D103)</f>
        <v>6.0020591027664695E-4</v>
      </c>
      <c r="U103" s="42">
        <f>DSUM($B$57:$Y$65,U$57,$C$74:$D103)</f>
        <v>2.2695244639393342E-4</v>
      </c>
      <c r="V103" s="42">
        <f>DSUM($B$57:$Y$65,V$57,$C$74:$D103)</f>
        <v>8.1728419396361296E-5</v>
      </c>
      <c r="W103" s="42">
        <f>DSUM($B$57:$Y$65,W$57,$C$74:$D103)</f>
        <v>2.808600939121704E-5</v>
      </c>
      <c r="X103" s="42">
        <f>DSUM($B$57:$Y$65,X$57,$C$74:$D103)</f>
        <v>9.2736512840225223E-6</v>
      </c>
      <c r="Y103" s="42">
        <f>DSUM($B$57:$Y$65,Y$57,$C$74:$D103)</f>
        <v>3.2399980278402829</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79">
      <c r="B104" s="7" t="s">
        <v>185</v>
      </c>
      <c r="C104" s="45" t="s">
        <v>186</v>
      </c>
      <c r="D104" s="45" t="s">
        <v>187</v>
      </c>
      <c r="E104" s="42">
        <f>DSUM($B$57:$Y$65,E$57,$C$74:$D104)</f>
        <v>0.30209681731031607</v>
      </c>
      <c r="F104" s="42">
        <f>DSUM($B$57:$Y$65,F$57,$C$74:$D104)</f>
        <v>0.34742868676559802</v>
      </c>
      <c r="G104" s="42">
        <f>DSUM($B$57:$Y$65,G$57,$C$74:$D104)</f>
        <v>0.38241924488489859</v>
      </c>
      <c r="H104" s="42">
        <f>DSUM($B$57:$Y$65,H$57,$C$74:$D104)</f>
        <v>0.40276141730978654</v>
      </c>
      <c r="I104" s="42">
        <f>DSUM($B$57:$Y$65,I$57,$C$74:$D104)</f>
        <v>0.39103618864420475</v>
      </c>
      <c r="J104" s="42">
        <f>DSUM($B$57:$Y$65,J$57,$C$74:$D104)</f>
        <v>0.32828220136516167</v>
      </c>
      <c r="K104" s="42">
        <f>DSUM($B$57:$Y$65,K$57,$C$74:$D104)</f>
        <v>0.24803133123754187</v>
      </c>
      <c r="L104" s="42">
        <f>DSUM($B$57:$Y$65,L$57,$C$74:$D104)</f>
        <v>0.17042967073645418</v>
      </c>
      <c r="M104" s="42">
        <f>DSUM($B$57:$Y$65,M$57,$C$74:$D104)</f>
        <v>0.10732654390085172</v>
      </c>
      <c r="N104" s="42">
        <f>DSUM($B$57:$Y$65,N$57,$C$74:$D104)</f>
        <v>6.2669026347020665E-2</v>
      </c>
      <c r="O104" s="42">
        <f>DSUM($B$57:$Y$65,O$57,$C$74:$D104)</f>
        <v>3.3829791089743225E-2</v>
      </c>
      <c r="P104" s="42">
        <f>DSUM($B$57:$Y$65,P$57,$C$74:$D104)</f>
        <v>1.7043507058042907E-2</v>
      </c>
      <c r="Q104" s="42">
        <f>DSUM($B$57:$Y$65,Q$57,$C$74:$D104)</f>
        <v>8.0493916724966603E-3</v>
      </c>
      <c r="R104" s="42">
        <f>DSUM($B$57:$Y$65,R$57,$C$74:$D104)</f>
        <v>3.57838993504317E-3</v>
      </c>
      <c r="S104" s="42">
        <f>DSUM($B$57:$Y$65,S$57,$C$74:$D104)</f>
        <v>1.5083675916865665E-3</v>
      </c>
      <c r="T104" s="42">
        <f>DSUM($B$57:$Y$65,T$57,$C$74:$D104)</f>
        <v>6.0020591027664695E-4</v>
      </c>
      <c r="U104" s="42">
        <f>DSUM($B$57:$Y$65,U$57,$C$74:$D104)</f>
        <v>2.2695244639393342E-4</v>
      </c>
      <c r="V104" s="42">
        <f>DSUM($B$57:$Y$65,V$57,$C$74:$D104)</f>
        <v>8.1728419396361296E-5</v>
      </c>
      <c r="W104" s="42">
        <f>DSUM($B$57:$Y$65,W$57,$C$74:$D104)</f>
        <v>2.808600939121704E-5</v>
      </c>
      <c r="X104" s="42">
        <f>DSUM($B$57:$Y$65,X$57,$C$74:$D104)</f>
        <v>9.2736512840225223E-6</v>
      </c>
      <c r="Y104" s="42">
        <f>DSUM($B$57:$Y$65,Y$57,$C$74:$D104)</f>
        <v>3.2399980278402829</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79">
      <c r="B105" s="7" t="s">
        <v>188</v>
      </c>
      <c r="C105" s="45" t="s">
        <v>189</v>
      </c>
      <c r="D105" s="45" t="s">
        <v>190</v>
      </c>
      <c r="E105" s="42">
        <f>DSUM($B$57:$Y$65,E$57,$C$74:$D105)</f>
        <v>0.30209681731031607</v>
      </c>
      <c r="F105" s="42">
        <f>DSUM($B$57:$Y$65,F$57,$C$74:$D105)</f>
        <v>0.34742868676559802</v>
      </c>
      <c r="G105" s="42">
        <f>DSUM($B$57:$Y$65,G$57,$C$74:$D105)</f>
        <v>0.38241924488489859</v>
      </c>
      <c r="H105" s="42">
        <f>DSUM($B$57:$Y$65,H$57,$C$74:$D105)</f>
        <v>0.40276141730978654</v>
      </c>
      <c r="I105" s="42">
        <f>DSUM($B$57:$Y$65,I$57,$C$74:$D105)</f>
        <v>0.39103618864420475</v>
      </c>
      <c r="J105" s="42">
        <f>DSUM($B$57:$Y$65,J$57,$C$74:$D105)</f>
        <v>0.32828220136516167</v>
      </c>
      <c r="K105" s="42">
        <f>DSUM($B$57:$Y$65,K$57,$C$74:$D105)</f>
        <v>0.24803133123754187</v>
      </c>
      <c r="L105" s="42">
        <f>DSUM($B$57:$Y$65,L$57,$C$74:$D105)</f>
        <v>0.17042967073645418</v>
      </c>
      <c r="M105" s="42">
        <f>DSUM($B$57:$Y$65,M$57,$C$74:$D105)</f>
        <v>0.10732654390085172</v>
      </c>
      <c r="N105" s="42">
        <f>DSUM($B$57:$Y$65,N$57,$C$74:$D105)</f>
        <v>6.2669026347020665E-2</v>
      </c>
      <c r="O105" s="42">
        <f>DSUM($B$57:$Y$65,O$57,$C$74:$D105)</f>
        <v>3.3829791089743225E-2</v>
      </c>
      <c r="P105" s="42">
        <f>DSUM($B$57:$Y$65,P$57,$C$74:$D105)</f>
        <v>1.7043507058042907E-2</v>
      </c>
      <c r="Q105" s="42">
        <f>DSUM($B$57:$Y$65,Q$57,$C$74:$D105)</f>
        <v>8.0493916724966603E-3</v>
      </c>
      <c r="R105" s="42">
        <f>DSUM($B$57:$Y$65,R$57,$C$74:$D105)</f>
        <v>3.57838993504317E-3</v>
      </c>
      <c r="S105" s="42">
        <f>DSUM($B$57:$Y$65,S$57,$C$74:$D105)</f>
        <v>1.5083675916865665E-3</v>
      </c>
      <c r="T105" s="42">
        <f>DSUM($B$57:$Y$65,T$57,$C$74:$D105)</f>
        <v>6.0020591027664695E-4</v>
      </c>
      <c r="U105" s="42">
        <f>DSUM($B$57:$Y$65,U$57,$C$74:$D105)</f>
        <v>2.2695244639393342E-4</v>
      </c>
      <c r="V105" s="42">
        <f>DSUM($B$57:$Y$65,V$57,$C$74:$D105)</f>
        <v>8.1728419396361296E-5</v>
      </c>
      <c r="W105" s="42">
        <f>DSUM($B$57:$Y$65,W$57,$C$74:$D105)</f>
        <v>2.808600939121704E-5</v>
      </c>
      <c r="X105" s="42">
        <f>DSUM($B$57:$Y$65,X$57,$C$74:$D105)</f>
        <v>9.2736512840225223E-6</v>
      </c>
      <c r="Y105" s="42">
        <f>DSUM($B$57:$Y$65,Y$57,$C$74:$D105)</f>
        <v>3.2399980278402829</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79">
      <c r="B106" s="7" t="s">
        <v>191</v>
      </c>
      <c r="C106" s="45" t="s">
        <v>192</v>
      </c>
      <c r="D106" s="45" t="s">
        <v>103</v>
      </c>
      <c r="E106" s="42">
        <f>DSUM($B$57:$Y$65,E$57,$C$74:$D106)</f>
        <v>0.30209681731031607</v>
      </c>
      <c r="F106" s="42">
        <f>DSUM($B$57:$Y$65,F$57,$C$74:$D106)</f>
        <v>0.34742868676559802</v>
      </c>
      <c r="G106" s="42">
        <f>DSUM($B$57:$Y$65,G$57,$C$74:$D106)</f>
        <v>0.38241924488489859</v>
      </c>
      <c r="H106" s="42">
        <f>DSUM($B$57:$Y$65,H$57,$C$74:$D106)</f>
        <v>0.40276141730978654</v>
      </c>
      <c r="I106" s="42">
        <f>DSUM($B$57:$Y$65,I$57,$C$74:$D106)</f>
        <v>0.39103618864420475</v>
      </c>
      <c r="J106" s="42">
        <f>DSUM($B$57:$Y$65,J$57,$C$74:$D106)</f>
        <v>0.32828220136516167</v>
      </c>
      <c r="K106" s="42">
        <f>DSUM($B$57:$Y$65,K$57,$C$74:$D106)</f>
        <v>0.24803133123754187</v>
      </c>
      <c r="L106" s="42">
        <f>DSUM($B$57:$Y$65,L$57,$C$74:$D106)</f>
        <v>0.17042967073645418</v>
      </c>
      <c r="M106" s="42">
        <f>DSUM($B$57:$Y$65,M$57,$C$74:$D106)</f>
        <v>0.10732654390085172</v>
      </c>
      <c r="N106" s="42">
        <f>DSUM($B$57:$Y$65,N$57,$C$74:$D106)</f>
        <v>6.2669026347020665E-2</v>
      </c>
      <c r="O106" s="42">
        <f>DSUM($B$57:$Y$65,O$57,$C$74:$D106)</f>
        <v>3.3829791089743225E-2</v>
      </c>
      <c r="P106" s="42">
        <f>DSUM($B$57:$Y$65,P$57,$C$74:$D106)</f>
        <v>1.7043507058042907E-2</v>
      </c>
      <c r="Q106" s="42">
        <f>DSUM($B$57:$Y$65,Q$57,$C$74:$D106)</f>
        <v>8.0493916724966603E-3</v>
      </c>
      <c r="R106" s="42">
        <f>DSUM($B$57:$Y$65,R$57,$C$74:$D106)</f>
        <v>3.57838993504317E-3</v>
      </c>
      <c r="S106" s="42">
        <f>DSUM($B$57:$Y$65,S$57,$C$74:$D106)</f>
        <v>1.5083675916865665E-3</v>
      </c>
      <c r="T106" s="42">
        <f>DSUM($B$57:$Y$65,T$57,$C$74:$D106)</f>
        <v>6.0020591027664695E-4</v>
      </c>
      <c r="U106" s="42">
        <f>DSUM($B$57:$Y$65,U$57,$C$74:$D106)</f>
        <v>2.2695244639393342E-4</v>
      </c>
      <c r="V106" s="42">
        <f>DSUM($B$57:$Y$65,V$57,$C$74:$D106)</f>
        <v>8.1728419396361296E-5</v>
      </c>
      <c r="W106" s="42">
        <f>DSUM($B$57:$Y$65,W$57,$C$74:$D106)</f>
        <v>2.808600939121704E-5</v>
      </c>
      <c r="X106" s="42">
        <f>DSUM($B$57:$Y$65,X$57,$C$74:$D106)</f>
        <v>9.2736512840225223E-6</v>
      </c>
      <c r="Y106" s="42">
        <f>DSUM($B$57:$Y$65,Y$57,$C$74:$D106)</f>
        <v>3.2399980278402829</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79">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79">
      <c r="E108" s="26">
        <f>E106</f>
        <v>0.30209681731031607</v>
      </c>
      <c r="F108" s="26">
        <f>F106+E108</f>
        <v>0.64952550407591403</v>
      </c>
      <c r="G108" s="26">
        <f t="shared" ref="G108:W108" si="51">G106+F108</f>
        <v>1.0319447489608127</v>
      </c>
      <c r="H108" s="26">
        <f t="shared" si="51"/>
        <v>1.4347061662705993</v>
      </c>
      <c r="I108" s="26">
        <f t="shared" si="51"/>
        <v>1.8257423549148042</v>
      </c>
      <c r="J108" s="26">
        <f t="shared" si="51"/>
        <v>2.1540245562799658</v>
      </c>
      <c r="K108" s="26">
        <f t="shared" si="51"/>
        <v>2.4020558875175078</v>
      </c>
      <c r="L108" s="26">
        <f t="shared" si="51"/>
        <v>2.5724855582539621</v>
      </c>
      <c r="M108" s="26">
        <f t="shared" si="51"/>
        <v>2.6798121021548136</v>
      </c>
      <c r="N108" s="26">
        <f t="shared" si="51"/>
        <v>2.7424811285018342</v>
      </c>
      <c r="O108" s="26">
        <f t="shared" si="51"/>
        <v>2.7763109195915776</v>
      </c>
      <c r="P108" s="26">
        <f t="shared" si="51"/>
        <v>2.7933544266496204</v>
      </c>
      <c r="Q108" s="26">
        <f t="shared" si="51"/>
        <v>2.8014038183221173</v>
      </c>
      <c r="R108" s="26">
        <f t="shared" si="51"/>
        <v>2.8049822082571603</v>
      </c>
      <c r="S108" s="26">
        <f t="shared" si="51"/>
        <v>2.806490575848847</v>
      </c>
      <c r="T108" s="26">
        <f t="shared" si="51"/>
        <v>2.8070907817591237</v>
      </c>
      <c r="U108" s="26">
        <f t="shared" si="51"/>
        <v>2.8073177342055176</v>
      </c>
      <c r="V108" s="26">
        <f t="shared" si="51"/>
        <v>2.8073994626249141</v>
      </c>
      <c r="W108" s="26">
        <f t="shared" si="51"/>
        <v>2.8074275486343052</v>
      </c>
      <c r="X108" s="26">
        <f>X106+W108</f>
        <v>2.8074368222855894</v>
      </c>
      <c r="Y108" s="26"/>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79" ht="15">
      <c r="A109" s="50" t="s">
        <v>104</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79" ht="15">
      <c r="D110" s="58" t="str">
        <f>C26</f>
        <v>Irr Motor - Retro</v>
      </c>
      <c r="E110" s="52">
        <f t="shared" ref="E110:X110" si="52">E11</f>
        <v>2016</v>
      </c>
      <c r="F110" s="53">
        <f t="shared" si="52"/>
        <v>2017</v>
      </c>
      <c r="G110" s="53">
        <f t="shared" si="52"/>
        <v>2018</v>
      </c>
      <c r="H110" s="53">
        <f t="shared" si="52"/>
        <v>2019</v>
      </c>
      <c r="I110" s="53">
        <f t="shared" si="52"/>
        <v>2020</v>
      </c>
      <c r="J110" s="53">
        <f t="shared" si="52"/>
        <v>2021</v>
      </c>
      <c r="K110" s="53">
        <f t="shared" si="52"/>
        <v>2022</v>
      </c>
      <c r="L110" s="53">
        <f t="shared" si="52"/>
        <v>2023</v>
      </c>
      <c r="M110" s="53">
        <f t="shared" si="52"/>
        <v>2024</v>
      </c>
      <c r="N110" s="53">
        <f t="shared" si="52"/>
        <v>2025</v>
      </c>
      <c r="O110" s="53">
        <f t="shared" si="52"/>
        <v>2026</v>
      </c>
      <c r="P110" s="53">
        <f t="shared" si="52"/>
        <v>2027</v>
      </c>
      <c r="Q110" s="53">
        <f t="shared" si="52"/>
        <v>2028</v>
      </c>
      <c r="R110" s="53">
        <f t="shared" si="52"/>
        <v>2029</v>
      </c>
      <c r="S110" s="53">
        <f t="shared" si="52"/>
        <v>2030</v>
      </c>
      <c r="T110" s="53">
        <f t="shared" si="52"/>
        <v>2031</v>
      </c>
      <c r="U110" s="53">
        <f t="shared" si="52"/>
        <v>2032</v>
      </c>
      <c r="V110" s="53">
        <f t="shared" si="52"/>
        <v>2033</v>
      </c>
      <c r="W110" s="53">
        <f t="shared" si="52"/>
        <v>2034</v>
      </c>
      <c r="X110" s="53">
        <f t="shared" si="52"/>
        <v>2035</v>
      </c>
      <c r="Y110" s="54" t="s">
        <v>32</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79" ht="15">
      <c r="E111" s="55" t="str">
        <f t="shared" ref="E111:X111" si="53">CONCATENATE("Units_",E$11)</f>
        <v>Units_2016</v>
      </c>
      <c r="F111" s="56" t="str">
        <f t="shared" si="53"/>
        <v>Units_2017</v>
      </c>
      <c r="G111" s="56" t="str">
        <f t="shared" si="53"/>
        <v>Units_2018</v>
      </c>
      <c r="H111" s="56" t="str">
        <f t="shared" si="53"/>
        <v>Units_2019</v>
      </c>
      <c r="I111" s="56" t="str">
        <f t="shared" si="53"/>
        <v>Units_2020</v>
      </c>
      <c r="J111" s="56" t="str">
        <f t="shared" si="53"/>
        <v>Units_2021</v>
      </c>
      <c r="K111" s="56" t="str">
        <f t="shared" si="53"/>
        <v>Units_2022</v>
      </c>
      <c r="L111" s="56" t="str">
        <f t="shared" si="53"/>
        <v>Units_2023</v>
      </c>
      <c r="M111" s="56" t="str">
        <f t="shared" si="53"/>
        <v>Units_2024</v>
      </c>
      <c r="N111" s="56" t="str">
        <f t="shared" si="53"/>
        <v>Units_2025</v>
      </c>
      <c r="O111" s="56" t="str">
        <f t="shared" si="53"/>
        <v>Units_2026</v>
      </c>
      <c r="P111" s="56" t="str">
        <f t="shared" si="53"/>
        <v>Units_2027</v>
      </c>
      <c r="Q111" s="56" t="str">
        <f t="shared" si="53"/>
        <v>Units_2028</v>
      </c>
      <c r="R111" s="56" t="str">
        <f t="shared" si="53"/>
        <v>Units_2029</v>
      </c>
      <c r="S111" s="56" t="str">
        <f t="shared" si="53"/>
        <v>Units_2030</v>
      </c>
      <c r="T111" s="56" t="str">
        <f t="shared" si="53"/>
        <v>Units_2031</v>
      </c>
      <c r="U111" s="56" t="str">
        <f t="shared" si="53"/>
        <v>Units_2032</v>
      </c>
      <c r="V111" s="56" t="str">
        <f t="shared" si="53"/>
        <v>Units_2033</v>
      </c>
      <c r="W111" s="56" t="str">
        <f t="shared" si="53"/>
        <v>Units_2034</v>
      </c>
      <c r="X111" s="56" t="str">
        <f t="shared" si="53"/>
        <v>Units_2035</v>
      </c>
      <c r="Y111" s="57" t="s">
        <v>32</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79">
      <c r="D112" s="7" t="s">
        <v>39</v>
      </c>
      <c r="E112" s="46">
        <f>E75</f>
        <v>0</v>
      </c>
      <c r="F112" s="46">
        <f t="shared" ref="F112:Y112" si="54">F75</f>
        <v>0</v>
      </c>
      <c r="G112" s="46">
        <f t="shared" si="54"/>
        <v>0</v>
      </c>
      <c r="H112" s="46">
        <f t="shared" si="54"/>
        <v>0</v>
      </c>
      <c r="I112" s="46">
        <f t="shared" si="54"/>
        <v>0</v>
      </c>
      <c r="J112" s="46">
        <f t="shared" si="54"/>
        <v>0</v>
      </c>
      <c r="K112" s="46">
        <f t="shared" si="54"/>
        <v>0</v>
      </c>
      <c r="L112" s="46">
        <f t="shared" si="54"/>
        <v>0</v>
      </c>
      <c r="M112" s="46">
        <f t="shared" si="54"/>
        <v>0</v>
      </c>
      <c r="N112" s="46">
        <f t="shared" si="54"/>
        <v>0</v>
      </c>
      <c r="O112" s="46">
        <f t="shared" si="54"/>
        <v>0</v>
      </c>
      <c r="P112" s="46">
        <f t="shared" si="54"/>
        <v>0</v>
      </c>
      <c r="Q112" s="46">
        <f t="shared" si="54"/>
        <v>0</v>
      </c>
      <c r="R112" s="46">
        <f t="shared" si="54"/>
        <v>0</v>
      </c>
      <c r="S112" s="46">
        <f t="shared" si="54"/>
        <v>0</v>
      </c>
      <c r="T112" s="46">
        <f t="shared" si="54"/>
        <v>0</v>
      </c>
      <c r="U112" s="46">
        <f t="shared" si="54"/>
        <v>0</v>
      </c>
      <c r="V112" s="46">
        <f t="shared" si="54"/>
        <v>0</v>
      </c>
      <c r="W112" s="46">
        <f t="shared" si="54"/>
        <v>0</v>
      </c>
      <c r="X112" s="46">
        <f t="shared" si="54"/>
        <v>0</v>
      </c>
      <c r="Y112" s="46">
        <f t="shared" si="54"/>
        <v>0</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4:79">
      <c r="D113" s="7" t="s">
        <v>42</v>
      </c>
      <c r="E113" s="46">
        <f>E76-E75</f>
        <v>0</v>
      </c>
      <c r="F113" s="46">
        <f>F76-F75</f>
        <v>0</v>
      </c>
      <c r="G113" s="46">
        <f t="shared" ref="G113:X126" si="55">G76-G75</f>
        <v>0</v>
      </c>
      <c r="H113" s="46">
        <f t="shared" si="55"/>
        <v>0</v>
      </c>
      <c r="I113" s="46">
        <f t="shared" si="55"/>
        <v>0</v>
      </c>
      <c r="J113" s="46">
        <f t="shared" si="55"/>
        <v>0</v>
      </c>
      <c r="K113" s="46">
        <f t="shared" si="55"/>
        <v>0</v>
      </c>
      <c r="L113" s="46">
        <f t="shared" si="55"/>
        <v>0</v>
      </c>
      <c r="M113" s="46">
        <f t="shared" si="55"/>
        <v>0</v>
      </c>
      <c r="N113" s="46">
        <f>N76-N75</f>
        <v>0</v>
      </c>
      <c r="O113" s="46">
        <f t="shared" si="55"/>
        <v>0</v>
      </c>
      <c r="P113" s="46">
        <f t="shared" si="55"/>
        <v>0</v>
      </c>
      <c r="Q113" s="46">
        <f t="shared" si="55"/>
        <v>0</v>
      </c>
      <c r="R113" s="46">
        <f t="shared" si="55"/>
        <v>0</v>
      </c>
      <c r="S113" s="46">
        <f t="shared" si="55"/>
        <v>0</v>
      </c>
      <c r="T113" s="46">
        <f t="shared" si="55"/>
        <v>0</v>
      </c>
      <c r="U113" s="46">
        <f t="shared" si="55"/>
        <v>0</v>
      </c>
      <c r="V113" s="46">
        <f t="shared" si="55"/>
        <v>0</v>
      </c>
      <c r="W113" s="46">
        <f t="shared" si="55"/>
        <v>0</v>
      </c>
      <c r="X113" s="46">
        <f t="shared" si="55"/>
        <v>0</v>
      </c>
      <c r="Y113" s="46">
        <f t="shared" ref="Y113" si="56">Y76-Y75</f>
        <v>0</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4:79">
      <c r="D114" s="7" t="s">
        <v>45</v>
      </c>
      <c r="E114" s="46">
        <f t="shared" ref="E114:T129" si="57">E77-E76</f>
        <v>0</v>
      </c>
      <c r="F114" s="46">
        <f t="shared" si="57"/>
        <v>0</v>
      </c>
      <c r="G114" s="46">
        <f t="shared" si="55"/>
        <v>0</v>
      </c>
      <c r="H114" s="46">
        <f t="shared" si="55"/>
        <v>0</v>
      </c>
      <c r="I114" s="46">
        <f t="shared" si="55"/>
        <v>0</v>
      </c>
      <c r="J114" s="46">
        <f t="shared" si="55"/>
        <v>0</v>
      </c>
      <c r="K114" s="46">
        <f t="shared" si="55"/>
        <v>0</v>
      </c>
      <c r="L114" s="46">
        <f t="shared" si="55"/>
        <v>0</v>
      </c>
      <c r="M114" s="46">
        <f t="shared" si="55"/>
        <v>0</v>
      </c>
      <c r="N114" s="46">
        <f t="shared" si="55"/>
        <v>0</v>
      </c>
      <c r="O114" s="46">
        <f t="shared" si="55"/>
        <v>0</v>
      </c>
      <c r="P114" s="46">
        <f t="shared" si="55"/>
        <v>0</v>
      </c>
      <c r="Q114" s="46">
        <f t="shared" si="55"/>
        <v>0</v>
      </c>
      <c r="R114" s="46">
        <f t="shared" si="55"/>
        <v>0</v>
      </c>
      <c r="S114" s="46">
        <f t="shared" si="55"/>
        <v>0</v>
      </c>
      <c r="T114" s="46">
        <f t="shared" si="55"/>
        <v>0</v>
      </c>
      <c r="U114" s="46">
        <f t="shared" si="55"/>
        <v>0</v>
      </c>
      <c r="V114" s="46">
        <f t="shared" si="55"/>
        <v>0</v>
      </c>
      <c r="W114" s="46">
        <f t="shared" si="55"/>
        <v>0</v>
      </c>
      <c r="X114" s="46">
        <f t="shared" si="55"/>
        <v>0</v>
      </c>
      <c r="Y114" s="46">
        <f t="shared" ref="Y114" si="58">Y77-Y76</f>
        <v>0</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4:79">
      <c r="D115" s="7" t="s">
        <v>48</v>
      </c>
      <c r="E115" s="46">
        <f t="shared" si="57"/>
        <v>0.30209681731031607</v>
      </c>
      <c r="F115" s="46">
        <f t="shared" si="57"/>
        <v>0.34742868676559802</v>
      </c>
      <c r="G115" s="46">
        <f t="shared" si="55"/>
        <v>0.38241924488489859</v>
      </c>
      <c r="H115" s="46">
        <f t="shared" si="55"/>
        <v>0.40276141730978654</v>
      </c>
      <c r="I115" s="46">
        <f t="shared" si="55"/>
        <v>0.39103618864420475</v>
      </c>
      <c r="J115" s="46">
        <f t="shared" si="55"/>
        <v>0.32828220136516167</v>
      </c>
      <c r="K115" s="46">
        <f t="shared" si="55"/>
        <v>0.24803133123754187</v>
      </c>
      <c r="L115" s="46">
        <f t="shared" si="55"/>
        <v>0.17042967073645418</v>
      </c>
      <c r="M115" s="46">
        <f t="shared" si="55"/>
        <v>0.10732654390085172</v>
      </c>
      <c r="N115" s="46">
        <f t="shared" si="55"/>
        <v>6.2669026347020665E-2</v>
      </c>
      <c r="O115" s="46">
        <f t="shared" si="55"/>
        <v>3.3829791089743225E-2</v>
      </c>
      <c r="P115" s="46">
        <f t="shared" si="55"/>
        <v>1.7043507058042907E-2</v>
      </c>
      <c r="Q115" s="46">
        <f t="shared" si="55"/>
        <v>8.0493916724966603E-3</v>
      </c>
      <c r="R115" s="46">
        <f t="shared" si="55"/>
        <v>3.57838993504317E-3</v>
      </c>
      <c r="S115" s="46">
        <f t="shared" si="55"/>
        <v>1.5083675916865665E-3</v>
      </c>
      <c r="T115" s="46">
        <f t="shared" si="55"/>
        <v>6.0020591027664695E-4</v>
      </c>
      <c r="U115" s="46">
        <f t="shared" si="55"/>
        <v>2.2695244639393342E-4</v>
      </c>
      <c r="V115" s="46">
        <f t="shared" si="55"/>
        <v>8.1728419396361296E-5</v>
      </c>
      <c r="W115" s="46">
        <f t="shared" si="55"/>
        <v>2.808600939121704E-5</v>
      </c>
      <c r="X115" s="46">
        <f t="shared" si="55"/>
        <v>9.2736512840225223E-6</v>
      </c>
      <c r="Y115" s="46">
        <f t="shared" ref="Y115" si="59">Y78-Y77</f>
        <v>3.2399980278402829</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4:79">
      <c r="D116" s="7" t="s">
        <v>51</v>
      </c>
      <c r="E116" s="46">
        <f t="shared" si="57"/>
        <v>0</v>
      </c>
      <c r="F116" s="46">
        <f t="shared" si="57"/>
        <v>0</v>
      </c>
      <c r="G116" s="46">
        <f t="shared" si="55"/>
        <v>0</v>
      </c>
      <c r="H116" s="46">
        <f t="shared" si="55"/>
        <v>0</v>
      </c>
      <c r="I116" s="46">
        <f t="shared" si="55"/>
        <v>0</v>
      </c>
      <c r="J116" s="46">
        <f t="shared" si="55"/>
        <v>0</v>
      </c>
      <c r="K116" s="46">
        <f t="shared" si="55"/>
        <v>0</v>
      </c>
      <c r="L116" s="46">
        <f t="shared" si="55"/>
        <v>0</v>
      </c>
      <c r="M116" s="46">
        <f t="shared" si="55"/>
        <v>0</v>
      </c>
      <c r="N116" s="46">
        <f t="shared" si="55"/>
        <v>0</v>
      </c>
      <c r="O116" s="46">
        <f t="shared" si="55"/>
        <v>0</v>
      </c>
      <c r="P116" s="46">
        <f t="shared" si="55"/>
        <v>0</v>
      </c>
      <c r="Q116" s="46">
        <f t="shared" si="55"/>
        <v>0</v>
      </c>
      <c r="R116" s="46">
        <f t="shared" si="55"/>
        <v>0</v>
      </c>
      <c r="S116" s="46">
        <f t="shared" si="55"/>
        <v>0</v>
      </c>
      <c r="T116" s="46">
        <f t="shared" si="55"/>
        <v>0</v>
      </c>
      <c r="U116" s="46">
        <f t="shared" si="55"/>
        <v>0</v>
      </c>
      <c r="V116" s="46">
        <f t="shared" si="55"/>
        <v>0</v>
      </c>
      <c r="W116" s="46">
        <f t="shared" si="55"/>
        <v>0</v>
      </c>
      <c r="X116" s="46">
        <f t="shared" si="55"/>
        <v>0</v>
      </c>
      <c r="Y116" s="46">
        <f t="shared" ref="Y116" si="60">Y79-Y78</f>
        <v>0</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4:79">
      <c r="D117" s="7" t="s">
        <v>54</v>
      </c>
      <c r="E117" s="46">
        <f t="shared" si="57"/>
        <v>0</v>
      </c>
      <c r="F117" s="46">
        <f t="shared" si="57"/>
        <v>0</v>
      </c>
      <c r="G117" s="46">
        <f t="shared" si="55"/>
        <v>0</v>
      </c>
      <c r="H117" s="46">
        <f t="shared" si="55"/>
        <v>0</v>
      </c>
      <c r="I117" s="46">
        <f t="shared" si="55"/>
        <v>0</v>
      </c>
      <c r="J117" s="46">
        <f t="shared" si="55"/>
        <v>0</v>
      </c>
      <c r="K117" s="46">
        <f t="shared" si="55"/>
        <v>0</v>
      </c>
      <c r="L117" s="46">
        <f t="shared" si="55"/>
        <v>0</v>
      </c>
      <c r="M117" s="46">
        <f t="shared" si="55"/>
        <v>0</v>
      </c>
      <c r="N117" s="46">
        <f t="shared" si="55"/>
        <v>0</v>
      </c>
      <c r="O117" s="46">
        <f t="shared" si="55"/>
        <v>0</v>
      </c>
      <c r="P117" s="46">
        <f t="shared" si="55"/>
        <v>0</v>
      </c>
      <c r="Q117" s="46">
        <f t="shared" si="55"/>
        <v>0</v>
      </c>
      <c r="R117" s="46">
        <f t="shared" si="55"/>
        <v>0</v>
      </c>
      <c r="S117" s="46">
        <f t="shared" si="55"/>
        <v>0</v>
      </c>
      <c r="T117" s="46">
        <f t="shared" si="55"/>
        <v>0</v>
      </c>
      <c r="U117" s="46">
        <f t="shared" si="55"/>
        <v>0</v>
      </c>
      <c r="V117" s="46">
        <f t="shared" si="55"/>
        <v>0</v>
      </c>
      <c r="W117" s="46">
        <f t="shared" si="55"/>
        <v>0</v>
      </c>
      <c r="X117" s="46">
        <f t="shared" si="55"/>
        <v>0</v>
      </c>
      <c r="Y117" s="46">
        <f t="shared" ref="Y117" si="61">Y80-Y79</f>
        <v>0</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4:79">
      <c r="D118" s="7" t="s">
        <v>57</v>
      </c>
      <c r="E118" s="46">
        <f t="shared" si="57"/>
        <v>0</v>
      </c>
      <c r="F118" s="46">
        <f t="shared" si="57"/>
        <v>0</v>
      </c>
      <c r="G118" s="46">
        <f t="shared" si="55"/>
        <v>0</v>
      </c>
      <c r="H118" s="46">
        <f t="shared" si="55"/>
        <v>0</v>
      </c>
      <c r="I118" s="46">
        <f t="shared" si="55"/>
        <v>0</v>
      </c>
      <c r="J118" s="46">
        <f t="shared" si="55"/>
        <v>0</v>
      </c>
      <c r="K118" s="46">
        <f t="shared" si="55"/>
        <v>0</v>
      </c>
      <c r="L118" s="46">
        <f t="shared" si="55"/>
        <v>0</v>
      </c>
      <c r="M118" s="46">
        <f t="shared" si="55"/>
        <v>0</v>
      </c>
      <c r="N118" s="46">
        <f t="shared" si="55"/>
        <v>0</v>
      </c>
      <c r="O118" s="46">
        <f t="shared" si="55"/>
        <v>0</v>
      </c>
      <c r="P118" s="46">
        <f t="shared" si="55"/>
        <v>0</v>
      </c>
      <c r="Q118" s="46">
        <f t="shared" si="55"/>
        <v>0</v>
      </c>
      <c r="R118" s="46">
        <f t="shared" si="55"/>
        <v>0</v>
      </c>
      <c r="S118" s="46">
        <f t="shared" si="55"/>
        <v>0</v>
      </c>
      <c r="T118" s="46">
        <f t="shared" si="55"/>
        <v>0</v>
      </c>
      <c r="U118" s="46">
        <f t="shared" si="55"/>
        <v>0</v>
      </c>
      <c r="V118" s="46">
        <f t="shared" si="55"/>
        <v>0</v>
      </c>
      <c r="W118" s="46">
        <f t="shared" si="55"/>
        <v>0</v>
      </c>
      <c r="X118" s="46">
        <f t="shared" si="55"/>
        <v>0</v>
      </c>
      <c r="Y118" s="46">
        <f t="shared" ref="Y118" si="62">Y81-Y80</f>
        <v>0</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4:79">
      <c r="D119" s="7" t="s">
        <v>60</v>
      </c>
      <c r="E119" s="46">
        <f t="shared" si="57"/>
        <v>0</v>
      </c>
      <c r="F119" s="46">
        <f t="shared" si="57"/>
        <v>0</v>
      </c>
      <c r="G119" s="46">
        <f t="shared" si="55"/>
        <v>0</v>
      </c>
      <c r="H119" s="46">
        <f t="shared" si="55"/>
        <v>0</v>
      </c>
      <c r="I119" s="46">
        <f t="shared" si="55"/>
        <v>0</v>
      </c>
      <c r="J119" s="46">
        <f t="shared" si="55"/>
        <v>0</v>
      </c>
      <c r="K119" s="46">
        <f t="shared" si="55"/>
        <v>0</v>
      </c>
      <c r="L119" s="46">
        <f t="shared" si="55"/>
        <v>0</v>
      </c>
      <c r="M119" s="46">
        <f t="shared" si="55"/>
        <v>0</v>
      </c>
      <c r="N119" s="46">
        <f t="shared" si="55"/>
        <v>0</v>
      </c>
      <c r="O119" s="46">
        <f t="shared" si="55"/>
        <v>0</v>
      </c>
      <c r="P119" s="46">
        <f t="shared" si="55"/>
        <v>0</v>
      </c>
      <c r="Q119" s="46">
        <f t="shared" si="55"/>
        <v>0</v>
      </c>
      <c r="R119" s="46">
        <f t="shared" si="55"/>
        <v>0</v>
      </c>
      <c r="S119" s="46">
        <f t="shared" si="55"/>
        <v>0</v>
      </c>
      <c r="T119" s="46">
        <f t="shared" si="55"/>
        <v>0</v>
      </c>
      <c r="U119" s="46">
        <f t="shared" si="55"/>
        <v>0</v>
      </c>
      <c r="V119" s="46">
        <f t="shared" si="55"/>
        <v>0</v>
      </c>
      <c r="W119" s="46">
        <f t="shared" si="55"/>
        <v>0</v>
      </c>
      <c r="X119" s="46">
        <f t="shared" si="55"/>
        <v>0</v>
      </c>
      <c r="Y119" s="46">
        <f t="shared" ref="Y119" si="63">Y82-Y81</f>
        <v>0</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4:79">
      <c r="D120" s="7" t="s">
        <v>63</v>
      </c>
      <c r="E120" s="46">
        <f t="shared" si="57"/>
        <v>0</v>
      </c>
      <c r="F120" s="46">
        <f t="shared" si="57"/>
        <v>0</v>
      </c>
      <c r="G120" s="46">
        <f t="shared" si="55"/>
        <v>0</v>
      </c>
      <c r="H120" s="46">
        <f t="shared" si="55"/>
        <v>0</v>
      </c>
      <c r="I120" s="46">
        <f t="shared" si="55"/>
        <v>0</v>
      </c>
      <c r="J120" s="46">
        <f t="shared" si="55"/>
        <v>0</v>
      </c>
      <c r="K120" s="46">
        <f t="shared" si="55"/>
        <v>0</v>
      </c>
      <c r="L120" s="46">
        <f t="shared" si="55"/>
        <v>0</v>
      </c>
      <c r="M120" s="46">
        <f t="shared" si="55"/>
        <v>0</v>
      </c>
      <c r="N120" s="46">
        <f t="shared" si="55"/>
        <v>0</v>
      </c>
      <c r="O120" s="46">
        <f t="shared" si="55"/>
        <v>0</v>
      </c>
      <c r="P120" s="46">
        <f t="shared" si="55"/>
        <v>0</v>
      </c>
      <c r="Q120" s="46">
        <f t="shared" si="55"/>
        <v>0</v>
      </c>
      <c r="R120" s="46">
        <f t="shared" si="55"/>
        <v>0</v>
      </c>
      <c r="S120" s="46">
        <f t="shared" si="55"/>
        <v>0</v>
      </c>
      <c r="T120" s="46">
        <f t="shared" si="55"/>
        <v>0</v>
      </c>
      <c r="U120" s="46">
        <f t="shared" si="55"/>
        <v>0</v>
      </c>
      <c r="V120" s="46">
        <f t="shared" si="55"/>
        <v>0</v>
      </c>
      <c r="W120" s="46">
        <f t="shared" si="55"/>
        <v>0</v>
      </c>
      <c r="X120" s="46">
        <f t="shared" si="55"/>
        <v>0</v>
      </c>
      <c r="Y120" s="46">
        <f t="shared" ref="Y120" si="64">Y83-Y82</f>
        <v>0</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4:79">
      <c r="D121" s="7" t="s">
        <v>66</v>
      </c>
      <c r="E121" s="46">
        <f t="shared" si="57"/>
        <v>0</v>
      </c>
      <c r="F121" s="46">
        <f t="shared" si="57"/>
        <v>0</v>
      </c>
      <c r="G121" s="46">
        <f t="shared" si="55"/>
        <v>0</v>
      </c>
      <c r="H121" s="46">
        <f t="shared" si="55"/>
        <v>0</v>
      </c>
      <c r="I121" s="46">
        <f t="shared" si="55"/>
        <v>0</v>
      </c>
      <c r="J121" s="46">
        <f t="shared" si="55"/>
        <v>0</v>
      </c>
      <c r="K121" s="46">
        <f t="shared" si="55"/>
        <v>0</v>
      </c>
      <c r="L121" s="46">
        <f t="shared" si="55"/>
        <v>0</v>
      </c>
      <c r="M121" s="46">
        <f t="shared" si="55"/>
        <v>0</v>
      </c>
      <c r="N121" s="46">
        <f t="shared" si="55"/>
        <v>0</v>
      </c>
      <c r="O121" s="46">
        <f t="shared" si="55"/>
        <v>0</v>
      </c>
      <c r="P121" s="46">
        <f t="shared" si="55"/>
        <v>0</v>
      </c>
      <c r="Q121" s="46">
        <f t="shared" si="55"/>
        <v>0</v>
      </c>
      <c r="R121" s="46">
        <f t="shared" si="55"/>
        <v>0</v>
      </c>
      <c r="S121" s="46">
        <f t="shared" si="55"/>
        <v>0</v>
      </c>
      <c r="T121" s="46">
        <f t="shared" si="55"/>
        <v>0</v>
      </c>
      <c r="U121" s="46">
        <f t="shared" si="55"/>
        <v>0</v>
      </c>
      <c r="V121" s="46">
        <f t="shared" si="55"/>
        <v>0</v>
      </c>
      <c r="W121" s="46">
        <f t="shared" si="55"/>
        <v>0</v>
      </c>
      <c r="X121" s="46">
        <f t="shared" si="55"/>
        <v>0</v>
      </c>
      <c r="Y121" s="46">
        <f t="shared" ref="Y121" si="65">Y84-Y83</f>
        <v>0</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4:79">
      <c r="D122" s="7" t="s">
        <v>69</v>
      </c>
      <c r="E122" s="46">
        <f t="shared" si="57"/>
        <v>0</v>
      </c>
      <c r="F122" s="46">
        <f t="shared" si="57"/>
        <v>0</v>
      </c>
      <c r="G122" s="46">
        <f t="shared" si="55"/>
        <v>0</v>
      </c>
      <c r="H122" s="46">
        <f t="shared" si="55"/>
        <v>0</v>
      </c>
      <c r="I122" s="46">
        <f t="shared" si="55"/>
        <v>0</v>
      </c>
      <c r="J122" s="46">
        <f t="shared" si="55"/>
        <v>0</v>
      </c>
      <c r="K122" s="46">
        <f t="shared" si="55"/>
        <v>0</v>
      </c>
      <c r="L122" s="46">
        <f t="shared" si="55"/>
        <v>0</v>
      </c>
      <c r="M122" s="46">
        <f t="shared" si="55"/>
        <v>0</v>
      </c>
      <c r="N122" s="46">
        <f t="shared" si="55"/>
        <v>0</v>
      </c>
      <c r="O122" s="46">
        <f t="shared" si="55"/>
        <v>0</v>
      </c>
      <c r="P122" s="46">
        <f t="shared" si="55"/>
        <v>0</v>
      </c>
      <c r="Q122" s="46">
        <f t="shared" si="55"/>
        <v>0</v>
      </c>
      <c r="R122" s="46">
        <f t="shared" si="55"/>
        <v>0</v>
      </c>
      <c r="S122" s="46">
        <f t="shared" si="55"/>
        <v>0</v>
      </c>
      <c r="T122" s="46">
        <f t="shared" si="55"/>
        <v>0</v>
      </c>
      <c r="U122" s="46">
        <f t="shared" si="55"/>
        <v>0</v>
      </c>
      <c r="V122" s="46">
        <f t="shared" si="55"/>
        <v>0</v>
      </c>
      <c r="W122" s="46">
        <f t="shared" si="55"/>
        <v>0</v>
      </c>
      <c r="X122" s="46">
        <f t="shared" si="55"/>
        <v>0</v>
      </c>
      <c r="Y122" s="46">
        <f t="shared" ref="Y122" si="66">Y85-Y84</f>
        <v>0</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4:79">
      <c r="D123" s="7" t="s">
        <v>72</v>
      </c>
      <c r="E123" s="46">
        <f t="shared" si="57"/>
        <v>0</v>
      </c>
      <c r="F123" s="46">
        <f t="shared" si="57"/>
        <v>0</v>
      </c>
      <c r="G123" s="46">
        <f t="shared" si="55"/>
        <v>0</v>
      </c>
      <c r="H123" s="46">
        <f t="shared" si="55"/>
        <v>0</v>
      </c>
      <c r="I123" s="46">
        <f t="shared" si="55"/>
        <v>0</v>
      </c>
      <c r="J123" s="46">
        <f t="shared" si="55"/>
        <v>0</v>
      </c>
      <c r="K123" s="46">
        <f t="shared" si="55"/>
        <v>0</v>
      </c>
      <c r="L123" s="46">
        <f t="shared" si="55"/>
        <v>0</v>
      </c>
      <c r="M123" s="46">
        <f t="shared" si="55"/>
        <v>0</v>
      </c>
      <c r="N123" s="46">
        <f t="shared" si="55"/>
        <v>0</v>
      </c>
      <c r="O123" s="46">
        <f t="shared" si="55"/>
        <v>0</v>
      </c>
      <c r="P123" s="46">
        <f t="shared" si="55"/>
        <v>0</v>
      </c>
      <c r="Q123" s="46">
        <f t="shared" si="55"/>
        <v>0</v>
      </c>
      <c r="R123" s="46">
        <f t="shared" si="55"/>
        <v>0</v>
      </c>
      <c r="S123" s="46">
        <f t="shared" si="55"/>
        <v>0</v>
      </c>
      <c r="T123" s="46">
        <f t="shared" si="55"/>
        <v>0</v>
      </c>
      <c r="U123" s="46">
        <f t="shared" si="55"/>
        <v>0</v>
      </c>
      <c r="V123" s="46">
        <f t="shared" si="55"/>
        <v>0</v>
      </c>
      <c r="W123" s="46">
        <f t="shared" si="55"/>
        <v>0</v>
      </c>
      <c r="X123" s="46">
        <f t="shared" si="55"/>
        <v>0</v>
      </c>
      <c r="Y123" s="46">
        <f t="shared" ref="Y123" si="67">Y86-Y85</f>
        <v>0</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4:79">
      <c r="D124" s="7" t="s">
        <v>75</v>
      </c>
      <c r="E124" s="46">
        <f t="shared" si="57"/>
        <v>0</v>
      </c>
      <c r="F124" s="46">
        <f t="shared" si="57"/>
        <v>0</v>
      </c>
      <c r="G124" s="46">
        <f t="shared" si="55"/>
        <v>0</v>
      </c>
      <c r="H124" s="46">
        <f t="shared" si="55"/>
        <v>0</v>
      </c>
      <c r="I124" s="46">
        <f t="shared" si="55"/>
        <v>0</v>
      </c>
      <c r="J124" s="46">
        <f t="shared" si="55"/>
        <v>0</v>
      </c>
      <c r="K124" s="46">
        <f t="shared" si="55"/>
        <v>0</v>
      </c>
      <c r="L124" s="46">
        <f t="shared" si="55"/>
        <v>0</v>
      </c>
      <c r="M124" s="46">
        <f t="shared" si="55"/>
        <v>0</v>
      </c>
      <c r="N124" s="46">
        <f t="shared" si="55"/>
        <v>0</v>
      </c>
      <c r="O124" s="46">
        <f t="shared" si="55"/>
        <v>0</v>
      </c>
      <c r="P124" s="46">
        <f t="shared" si="55"/>
        <v>0</v>
      </c>
      <c r="Q124" s="46">
        <f t="shared" si="55"/>
        <v>0</v>
      </c>
      <c r="R124" s="46">
        <f t="shared" si="55"/>
        <v>0</v>
      </c>
      <c r="S124" s="46">
        <f t="shared" si="55"/>
        <v>0</v>
      </c>
      <c r="T124" s="46">
        <f t="shared" si="55"/>
        <v>0</v>
      </c>
      <c r="U124" s="46">
        <f t="shared" si="55"/>
        <v>0</v>
      </c>
      <c r="V124" s="46">
        <f t="shared" si="55"/>
        <v>0</v>
      </c>
      <c r="W124" s="46">
        <f t="shared" si="55"/>
        <v>0</v>
      </c>
      <c r="X124" s="46">
        <f t="shared" si="55"/>
        <v>0</v>
      </c>
      <c r="Y124" s="46">
        <f t="shared" ref="Y124" si="68">Y87-Y86</f>
        <v>0</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4:79">
      <c r="D125" s="7" t="s">
        <v>78</v>
      </c>
      <c r="E125" s="46">
        <f t="shared" si="57"/>
        <v>0</v>
      </c>
      <c r="F125" s="46">
        <f t="shared" si="57"/>
        <v>0</v>
      </c>
      <c r="G125" s="46">
        <f t="shared" si="55"/>
        <v>0</v>
      </c>
      <c r="H125" s="46">
        <f t="shared" si="55"/>
        <v>0</v>
      </c>
      <c r="I125" s="46">
        <f t="shared" si="55"/>
        <v>0</v>
      </c>
      <c r="J125" s="46">
        <f t="shared" si="55"/>
        <v>0</v>
      </c>
      <c r="K125" s="46">
        <f t="shared" si="55"/>
        <v>0</v>
      </c>
      <c r="L125" s="46">
        <f t="shared" si="55"/>
        <v>0</v>
      </c>
      <c r="M125" s="46">
        <f t="shared" si="55"/>
        <v>0</v>
      </c>
      <c r="N125" s="46">
        <f t="shared" si="55"/>
        <v>0</v>
      </c>
      <c r="O125" s="46">
        <f t="shared" si="55"/>
        <v>0</v>
      </c>
      <c r="P125" s="46">
        <f t="shared" si="55"/>
        <v>0</v>
      </c>
      <c r="Q125" s="46">
        <f t="shared" si="55"/>
        <v>0</v>
      </c>
      <c r="R125" s="46">
        <f t="shared" si="55"/>
        <v>0</v>
      </c>
      <c r="S125" s="46">
        <f t="shared" si="55"/>
        <v>0</v>
      </c>
      <c r="T125" s="46">
        <f t="shared" si="55"/>
        <v>0</v>
      </c>
      <c r="U125" s="46">
        <f t="shared" si="55"/>
        <v>0</v>
      </c>
      <c r="V125" s="46">
        <f t="shared" si="55"/>
        <v>0</v>
      </c>
      <c r="W125" s="46">
        <f t="shared" si="55"/>
        <v>0</v>
      </c>
      <c r="X125" s="46">
        <f t="shared" si="55"/>
        <v>0</v>
      </c>
      <c r="Y125" s="46">
        <f t="shared" ref="Y125" si="69">Y88-Y87</f>
        <v>0</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4:79">
      <c r="D126" s="7" t="s">
        <v>81</v>
      </c>
      <c r="E126" s="46">
        <f t="shared" si="57"/>
        <v>0</v>
      </c>
      <c r="F126" s="46">
        <f t="shared" si="57"/>
        <v>0</v>
      </c>
      <c r="G126" s="46">
        <f t="shared" si="55"/>
        <v>0</v>
      </c>
      <c r="H126" s="46">
        <f t="shared" si="55"/>
        <v>0</v>
      </c>
      <c r="I126" s="46">
        <f t="shared" si="55"/>
        <v>0</v>
      </c>
      <c r="J126" s="46">
        <f t="shared" si="55"/>
        <v>0</v>
      </c>
      <c r="K126" s="46">
        <f t="shared" si="55"/>
        <v>0</v>
      </c>
      <c r="L126" s="46">
        <f t="shared" si="55"/>
        <v>0</v>
      </c>
      <c r="M126" s="46">
        <f t="shared" si="55"/>
        <v>0</v>
      </c>
      <c r="N126" s="46">
        <f t="shared" si="55"/>
        <v>0</v>
      </c>
      <c r="O126" s="46">
        <f t="shared" si="55"/>
        <v>0</v>
      </c>
      <c r="P126" s="46">
        <f t="shared" ref="P126:X129" si="70">P89-P88</f>
        <v>0</v>
      </c>
      <c r="Q126" s="46">
        <f t="shared" si="70"/>
        <v>0</v>
      </c>
      <c r="R126" s="46">
        <f t="shared" si="70"/>
        <v>0</v>
      </c>
      <c r="S126" s="46">
        <f t="shared" si="70"/>
        <v>0</v>
      </c>
      <c r="T126" s="46">
        <f t="shared" si="70"/>
        <v>0</v>
      </c>
      <c r="U126" s="46">
        <f t="shared" si="70"/>
        <v>0</v>
      </c>
      <c r="V126" s="46">
        <f t="shared" si="70"/>
        <v>0</v>
      </c>
      <c r="W126" s="46">
        <f t="shared" si="70"/>
        <v>0</v>
      </c>
      <c r="X126" s="46">
        <f t="shared" si="70"/>
        <v>0</v>
      </c>
      <c r="Y126" s="46">
        <f t="shared" ref="Y126" si="71">Y89-Y88</f>
        <v>0</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4:79">
      <c r="D127" s="7" t="s">
        <v>84</v>
      </c>
      <c r="E127" s="46">
        <f t="shared" si="57"/>
        <v>0</v>
      </c>
      <c r="F127" s="46">
        <f t="shared" si="57"/>
        <v>0</v>
      </c>
      <c r="G127" s="46">
        <f t="shared" si="57"/>
        <v>0</v>
      </c>
      <c r="H127" s="46">
        <f t="shared" si="57"/>
        <v>0</v>
      </c>
      <c r="I127" s="46">
        <f t="shared" si="57"/>
        <v>0</v>
      </c>
      <c r="J127" s="46">
        <f t="shared" si="57"/>
        <v>0</v>
      </c>
      <c r="K127" s="46">
        <f t="shared" si="57"/>
        <v>0</v>
      </c>
      <c r="L127" s="46">
        <f t="shared" si="57"/>
        <v>0</v>
      </c>
      <c r="M127" s="46">
        <f t="shared" si="57"/>
        <v>0</v>
      </c>
      <c r="N127" s="46">
        <f t="shared" si="57"/>
        <v>0</v>
      </c>
      <c r="O127" s="46">
        <f t="shared" si="57"/>
        <v>0</v>
      </c>
      <c r="P127" s="46">
        <f t="shared" si="57"/>
        <v>0</v>
      </c>
      <c r="Q127" s="46">
        <f t="shared" si="57"/>
        <v>0</v>
      </c>
      <c r="R127" s="46">
        <f t="shared" si="57"/>
        <v>0</v>
      </c>
      <c r="S127" s="46">
        <f t="shared" si="57"/>
        <v>0</v>
      </c>
      <c r="T127" s="46">
        <f t="shared" si="57"/>
        <v>0</v>
      </c>
      <c r="U127" s="46">
        <f t="shared" si="70"/>
        <v>0</v>
      </c>
      <c r="V127" s="46">
        <f t="shared" si="70"/>
        <v>0</v>
      </c>
      <c r="W127" s="46">
        <f t="shared" si="70"/>
        <v>0</v>
      </c>
      <c r="X127" s="46">
        <f t="shared" si="70"/>
        <v>0</v>
      </c>
      <c r="Y127" s="46">
        <f t="shared" ref="Y127" si="72">Y90-Y89</f>
        <v>0</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4:79">
      <c r="D128" s="7" t="s">
        <v>87</v>
      </c>
      <c r="E128" s="46">
        <f t="shared" si="57"/>
        <v>0</v>
      </c>
      <c r="F128" s="46">
        <f t="shared" si="57"/>
        <v>0</v>
      </c>
      <c r="G128" s="46">
        <f t="shared" si="57"/>
        <v>0</v>
      </c>
      <c r="H128" s="46">
        <f t="shared" si="57"/>
        <v>0</v>
      </c>
      <c r="I128" s="46">
        <f t="shared" si="57"/>
        <v>0</v>
      </c>
      <c r="J128" s="46">
        <f t="shared" si="57"/>
        <v>0</v>
      </c>
      <c r="K128" s="46">
        <f t="shared" si="57"/>
        <v>0</v>
      </c>
      <c r="L128" s="46">
        <f t="shared" si="57"/>
        <v>0</v>
      </c>
      <c r="M128" s="46">
        <f t="shared" si="57"/>
        <v>0</v>
      </c>
      <c r="N128" s="46">
        <f t="shared" si="57"/>
        <v>0</v>
      </c>
      <c r="O128" s="46">
        <f t="shared" si="57"/>
        <v>0</v>
      </c>
      <c r="P128" s="46">
        <f t="shared" si="57"/>
        <v>0</v>
      </c>
      <c r="Q128" s="46">
        <f t="shared" si="57"/>
        <v>0</v>
      </c>
      <c r="R128" s="46">
        <f t="shared" si="57"/>
        <v>0</v>
      </c>
      <c r="S128" s="46">
        <f t="shared" si="57"/>
        <v>0</v>
      </c>
      <c r="T128" s="46">
        <f t="shared" si="57"/>
        <v>0</v>
      </c>
      <c r="U128" s="46">
        <f t="shared" si="70"/>
        <v>0</v>
      </c>
      <c r="V128" s="46">
        <f t="shared" si="70"/>
        <v>0</v>
      </c>
      <c r="W128" s="46">
        <f t="shared" si="70"/>
        <v>0</v>
      </c>
      <c r="X128" s="46">
        <f t="shared" si="70"/>
        <v>0</v>
      </c>
      <c r="Y128" s="46">
        <f t="shared" ref="Y128" si="73">Y91-Y90</f>
        <v>0</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4:79">
      <c r="D129" s="7" t="s">
        <v>90</v>
      </c>
      <c r="E129" s="46">
        <f t="shared" si="57"/>
        <v>0</v>
      </c>
      <c r="F129" s="46">
        <f t="shared" si="57"/>
        <v>0</v>
      </c>
      <c r="G129" s="46">
        <f t="shared" si="57"/>
        <v>0</v>
      </c>
      <c r="H129" s="46">
        <f t="shared" si="57"/>
        <v>0</v>
      </c>
      <c r="I129" s="46">
        <f t="shared" si="57"/>
        <v>0</v>
      </c>
      <c r="J129" s="46">
        <f t="shared" si="57"/>
        <v>0</v>
      </c>
      <c r="K129" s="46">
        <f t="shared" si="57"/>
        <v>0</v>
      </c>
      <c r="L129" s="46">
        <f t="shared" si="57"/>
        <v>0</v>
      </c>
      <c r="M129" s="46">
        <f t="shared" si="57"/>
        <v>0</v>
      </c>
      <c r="N129" s="46">
        <f t="shared" si="57"/>
        <v>0</v>
      </c>
      <c r="O129" s="46">
        <f t="shared" si="57"/>
        <v>0</v>
      </c>
      <c r="P129" s="46">
        <f t="shared" si="57"/>
        <v>0</v>
      </c>
      <c r="Q129" s="46">
        <f t="shared" si="57"/>
        <v>0</v>
      </c>
      <c r="R129" s="46">
        <f t="shared" si="57"/>
        <v>0</v>
      </c>
      <c r="S129" s="46">
        <f t="shared" si="57"/>
        <v>0</v>
      </c>
      <c r="T129" s="46">
        <f t="shared" si="57"/>
        <v>0</v>
      </c>
      <c r="U129" s="46">
        <f t="shared" si="70"/>
        <v>0</v>
      </c>
      <c r="V129" s="46">
        <f t="shared" si="70"/>
        <v>0</v>
      </c>
      <c r="W129" s="46">
        <f t="shared" si="70"/>
        <v>0</v>
      </c>
      <c r="X129" s="46">
        <f t="shared" si="70"/>
        <v>0</v>
      </c>
      <c r="Y129" s="46">
        <f t="shared" ref="Y129" si="74">Y92-Y91</f>
        <v>0</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4:79">
      <c r="D130" s="7" t="s">
        <v>93</v>
      </c>
      <c r="E130" s="46">
        <f t="shared" ref="E130:Y130" si="75">E93-E92</f>
        <v>0</v>
      </c>
      <c r="F130" s="46">
        <f t="shared" si="75"/>
        <v>0</v>
      </c>
      <c r="G130" s="46">
        <f t="shared" si="75"/>
        <v>0</v>
      </c>
      <c r="H130" s="46">
        <f t="shared" si="75"/>
        <v>0</v>
      </c>
      <c r="I130" s="46">
        <f t="shared" si="75"/>
        <v>0</v>
      </c>
      <c r="J130" s="46">
        <f t="shared" si="75"/>
        <v>0</v>
      </c>
      <c r="K130" s="46">
        <f t="shared" si="75"/>
        <v>0</v>
      </c>
      <c r="L130" s="46">
        <f t="shared" si="75"/>
        <v>0</v>
      </c>
      <c r="M130" s="46">
        <f t="shared" si="75"/>
        <v>0</v>
      </c>
      <c r="N130" s="46">
        <f t="shared" si="75"/>
        <v>0</v>
      </c>
      <c r="O130" s="46">
        <f t="shared" si="75"/>
        <v>0</v>
      </c>
      <c r="P130" s="46">
        <f t="shared" si="75"/>
        <v>0</v>
      </c>
      <c r="Q130" s="46">
        <f t="shared" si="75"/>
        <v>0</v>
      </c>
      <c r="R130" s="46">
        <f t="shared" si="75"/>
        <v>0</v>
      </c>
      <c r="S130" s="46">
        <f t="shared" si="75"/>
        <v>0</v>
      </c>
      <c r="T130" s="46">
        <f t="shared" si="75"/>
        <v>0</v>
      </c>
      <c r="U130" s="46">
        <f t="shared" si="75"/>
        <v>0</v>
      </c>
      <c r="V130" s="46">
        <f t="shared" si="75"/>
        <v>0</v>
      </c>
      <c r="W130" s="46">
        <f t="shared" si="75"/>
        <v>0</v>
      </c>
      <c r="X130" s="46">
        <f t="shared" si="75"/>
        <v>0</v>
      </c>
      <c r="Y130" s="46">
        <f t="shared" si="75"/>
        <v>0</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4:79">
      <c r="D131" s="7" t="s">
        <v>96</v>
      </c>
      <c r="E131" s="46">
        <f t="shared" ref="E131:Y131" si="76">E94-E93</f>
        <v>0</v>
      </c>
      <c r="F131" s="46">
        <f t="shared" si="76"/>
        <v>0</v>
      </c>
      <c r="G131" s="46">
        <f t="shared" si="76"/>
        <v>0</v>
      </c>
      <c r="H131" s="46">
        <f t="shared" si="76"/>
        <v>0</v>
      </c>
      <c r="I131" s="46">
        <f t="shared" si="76"/>
        <v>0</v>
      </c>
      <c r="J131" s="46">
        <f t="shared" si="76"/>
        <v>0</v>
      </c>
      <c r="K131" s="46">
        <f t="shared" si="76"/>
        <v>0</v>
      </c>
      <c r="L131" s="46">
        <f t="shared" si="76"/>
        <v>0</v>
      </c>
      <c r="M131" s="46">
        <f t="shared" si="76"/>
        <v>0</v>
      </c>
      <c r="N131" s="46">
        <f t="shared" si="76"/>
        <v>0</v>
      </c>
      <c r="O131" s="46">
        <f t="shared" si="76"/>
        <v>0</v>
      </c>
      <c r="P131" s="46">
        <f t="shared" si="76"/>
        <v>0</v>
      </c>
      <c r="Q131" s="46">
        <f t="shared" si="76"/>
        <v>0</v>
      </c>
      <c r="R131" s="46">
        <f t="shared" si="76"/>
        <v>0</v>
      </c>
      <c r="S131" s="46">
        <f t="shared" si="76"/>
        <v>0</v>
      </c>
      <c r="T131" s="46">
        <f t="shared" si="76"/>
        <v>0</v>
      </c>
      <c r="U131" s="46">
        <f t="shared" si="76"/>
        <v>0</v>
      </c>
      <c r="V131" s="46">
        <f t="shared" si="76"/>
        <v>0</v>
      </c>
      <c r="W131" s="46">
        <f t="shared" si="76"/>
        <v>0</v>
      </c>
      <c r="X131" s="46">
        <f t="shared" si="76"/>
        <v>0</v>
      </c>
      <c r="Y131" s="46">
        <f t="shared" si="76"/>
        <v>0</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4:79">
      <c r="D132" s="7" t="s">
        <v>99</v>
      </c>
      <c r="E132" s="46">
        <f t="shared" ref="E132:Y132" si="77">E95-E94</f>
        <v>0</v>
      </c>
      <c r="F132" s="46">
        <f t="shared" si="77"/>
        <v>0</v>
      </c>
      <c r="G132" s="46">
        <f t="shared" si="77"/>
        <v>0</v>
      </c>
      <c r="H132" s="46">
        <f t="shared" si="77"/>
        <v>0</v>
      </c>
      <c r="I132" s="46">
        <f t="shared" si="77"/>
        <v>0</v>
      </c>
      <c r="J132" s="46">
        <f t="shared" si="77"/>
        <v>0</v>
      </c>
      <c r="K132" s="46">
        <f t="shared" si="77"/>
        <v>0</v>
      </c>
      <c r="L132" s="46">
        <f t="shared" si="77"/>
        <v>0</v>
      </c>
      <c r="M132" s="46">
        <f t="shared" si="77"/>
        <v>0</v>
      </c>
      <c r="N132" s="46">
        <f t="shared" si="77"/>
        <v>0</v>
      </c>
      <c r="O132" s="46">
        <f t="shared" si="77"/>
        <v>0</v>
      </c>
      <c r="P132" s="46">
        <f t="shared" si="77"/>
        <v>0</v>
      </c>
      <c r="Q132" s="46">
        <f t="shared" si="77"/>
        <v>0</v>
      </c>
      <c r="R132" s="46">
        <f t="shared" si="77"/>
        <v>0</v>
      </c>
      <c r="S132" s="46">
        <f t="shared" si="77"/>
        <v>0</v>
      </c>
      <c r="T132" s="46">
        <f t="shared" si="77"/>
        <v>0</v>
      </c>
      <c r="U132" s="46">
        <f t="shared" si="77"/>
        <v>0</v>
      </c>
      <c r="V132" s="46">
        <f t="shared" si="77"/>
        <v>0</v>
      </c>
      <c r="W132" s="46">
        <f t="shared" si="77"/>
        <v>0</v>
      </c>
      <c r="X132" s="46">
        <f t="shared" si="77"/>
        <v>0</v>
      </c>
      <c r="Y132" s="46">
        <f t="shared" si="77"/>
        <v>0</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4:79">
      <c r="D133" s="7" t="s">
        <v>162</v>
      </c>
      <c r="E133" s="46">
        <f t="shared" ref="E133:X133" si="78">E96-E95</f>
        <v>0</v>
      </c>
      <c r="F133" s="46">
        <f t="shared" si="78"/>
        <v>0</v>
      </c>
      <c r="G133" s="46">
        <f t="shared" si="78"/>
        <v>0</v>
      </c>
      <c r="H133" s="46">
        <f t="shared" si="78"/>
        <v>0</v>
      </c>
      <c r="I133" s="46">
        <f t="shared" si="78"/>
        <v>0</v>
      </c>
      <c r="J133" s="46">
        <f t="shared" si="78"/>
        <v>0</v>
      </c>
      <c r="K133" s="46">
        <f t="shared" si="78"/>
        <v>0</v>
      </c>
      <c r="L133" s="46">
        <f t="shared" si="78"/>
        <v>0</v>
      </c>
      <c r="M133" s="46">
        <f t="shared" si="78"/>
        <v>0</v>
      </c>
      <c r="N133" s="46">
        <f t="shared" si="78"/>
        <v>0</v>
      </c>
      <c r="O133" s="46">
        <f t="shared" si="78"/>
        <v>0</v>
      </c>
      <c r="P133" s="46">
        <f t="shared" si="78"/>
        <v>0</v>
      </c>
      <c r="Q133" s="46">
        <f t="shared" si="78"/>
        <v>0</v>
      </c>
      <c r="R133" s="46">
        <f t="shared" si="78"/>
        <v>0</v>
      </c>
      <c r="S133" s="46">
        <f t="shared" si="78"/>
        <v>0</v>
      </c>
      <c r="T133" s="46">
        <f t="shared" si="78"/>
        <v>0</v>
      </c>
      <c r="U133" s="46">
        <f t="shared" si="78"/>
        <v>0</v>
      </c>
      <c r="V133" s="46">
        <f t="shared" si="78"/>
        <v>0</v>
      </c>
      <c r="W133" s="46">
        <f t="shared" si="78"/>
        <v>0</v>
      </c>
      <c r="X133" s="46">
        <f t="shared" si="78"/>
        <v>0</v>
      </c>
      <c r="Y133" s="46">
        <f t="shared" ref="Y133" si="79">Y96-Y95</f>
        <v>0</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4:79">
      <c r="D134" s="7" t="s">
        <v>164</v>
      </c>
      <c r="E134" s="46">
        <f t="shared" ref="E134:X134" si="80">E97-E96</f>
        <v>0</v>
      </c>
      <c r="F134" s="46">
        <f t="shared" si="80"/>
        <v>0</v>
      </c>
      <c r="G134" s="46">
        <f t="shared" si="80"/>
        <v>0</v>
      </c>
      <c r="H134" s="46">
        <f t="shared" si="80"/>
        <v>0</v>
      </c>
      <c r="I134" s="46">
        <f t="shared" si="80"/>
        <v>0</v>
      </c>
      <c r="J134" s="46">
        <f t="shared" si="80"/>
        <v>0</v>
      </c>
      <c r="K134" s="46">
        <f t="shared" si="80"/>
        <v>0</v>
      </c>
      <c r="L134" s="46">
        <f t="shared" si="80"/>
        <v>0</v>
      </c>
      <c r="M134" s="46">
        <f t="shared" si="80"/>
        <v>0</v>
      </c>
      <c r="N134" s="46">
        <f t="shared" si="80"/>
        <v>0</v>
      </c>
      <c r="O134" s="46">
        <f t="shared" si="80"/>
        <v>0</v>
      </c>
      <c r="P134" s="46">
        <f t="shared" si="80"/>
        <v>0</v>
      </c>
      <c r="Q134" s="46">
        <f t="shared" si="80"/>
        <v>0</v>
      </c>
      <c r="R134" s="46">
        <f t="shared" si="80"/>
        <v>0</v>
      </c>
      <c r="S134" s="46">
        <f t="shared" si="80"/>
        <v>0</v>
      </c>
      <c r="T134" s="46">
        <f t="shared" si="80"/>
        <v>0</v>
      </c>
      <c r="U134" s="46">
        <f t="shared" si="80"/>
        <v>0</v>
      </c>
      <c r="V134" s="46">
        <f t="shared" si="80"/>
        <v>0</v>
      </c>
      <c r="W134" s="46">
        <f t="shared" si="80"/>
        <v>0</v>
      </c>
      <c r="X134" s="46">
        <f t="shared" si="80"/>
        <v>0</v>
      </c>
      <c r="Y134" s="46">
        <f t="shared" ref="Y134" si="81">Y97-Y96</f>
        <v>0</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4:79">
      <c r="D135" s="7" t="s">
        <v>167</v>
      </c>
      <c r="E135" s="46">
        <f t="shared" ref="E135:X135" si="82">E98-E97</f>
        <v>0</v>
      </c>
      <c r="F135" s="46">
        <f t="shared" si="82"/>
        <v>0</v>
      </c>
      <c r="G135" s="46">
        <f t="shared" si="82"/>
        <v>0</v>
      </c>
      <c r="H135" s="46">
        <f t="shared" si="82"/>
        <v>0</v>
      </c>
      <c r="I135" s="46">
        <f t="shared" si="82"/>
        <v>0</v>
      </c>
      <c r="J135" s="46">
        <f t="shared" si="82"/>
        <v>0</v>
      </c>
      <c r="K135" s="46">
        <f t="shared" si="82"/>
        <v>0</v>
      </c>
      <c r="L135" s="46">
        <f t="shared" si="82"/>
        <v>0</v>
      </c>
      <c r="M135" s="46">
        <f t="shared" si="82"/>
        <v>0</v>
      </c>
      <c r="N135" s="46">
        <f t="shared" si="82"/>
        <v>0</v>
      </c>
      <c r="O135" s="46">
        <f t="shared" si="82"/>
        <v>0</v>
      </c>
      <c r="P135" s="46">
        <f t="shared" si="82"/>
        <v>0</v>
      </c>
      <c r="Q135" s="46">
        <f t="shared" si="82"/>
        <v>0</v>
      </c>
      <c r="R135" s="46">
        <f t="shared" si="82"/>
        <v>0</v>
      </c>
      <c r="S135" s="46">
        <f t="shared" si="82"/>
        <v>0</v>
      </c>
      <c r="T135" s="46">
        <f t="shared" si="82"/>
        <v>0</v>
      </c>
      <c r="U135" s="46">
        <f t="shared" si="82"/>
        <v>0</v>
      </c>
      <c r="V135" s="46">
        <f t="shared" si="82"/>
        <v>0</v>
      </c>
      <c r="W135" s="46">
        <f t="shared" si="82"/>
        <v>0</v>
      </c>
      <c r="X135" s="46">
        <f t="shared" si="82"/>
        <v>0</v>
      </c>
      <c r="Y135" s="46">
        <f t="shared" ref="Y135" si="83">Y98-Y97</f>
        <v>0</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4:79">
      <c r="D136" s="7" t="s">
        <v>170</v>
      </c>
      <c r="E136" s="46">
        <f t="shared" ref="E136:X136" si="84">E99-E98</f>
        <v>0</v>
      </c>
      <c r="F136" s="46">
        <f t="shared" si="84"/>
        <v>0</v>
      </c>
      <c r="G136" s="46">
        <f t="shared" si="84"/>
        <v>0</v>
      </c>
      <c r="H136" s="46">
        <f t="shared" si="84"/>
        <v>0</v>
      </c>
      <c r="I136" s="46">
        <f t="shared" si="84"/>
        <v>0</v>
      </c>
      <c r="J136" s="46">
        <f t="shared" si="84"/>
        <v>0</v>
      </c>
      <c r="K136" s="46">
        <f t="shared" si="84"/>
        <v>0</v>
      </c>
      <c r="L136" s="46">
        <f t="shared" si="84"/>
        <v>0</v>
      </c>
      <c r="M136" s="46">
        <f t="shared" si="84"/>
        <v>0</v>
      </c>
      <c r="N136" s="46">
        <f t="shared" si="84"/>
        <v>0</v>
      </c>
      <c r="O136" s="46">
        <f t="shared" si="84"/>
        <v>0</v>
      </c>
      <c r="P136" s="46">
        <f t="shared" si="84"/>
        <v>0</v>
      </c>
      <c r="Q136" s="46">
        <f t="shared" si="84"/>
        <v>0</v>
      </c>
      <c r="R136" s="46">
        <f t="shared" si="84"/>
        <v>0</v>
      </c>
      <c r="S136" s="46">
        <f t="shared" si="84"/>
        <v>0</v>
      </c>
      <c r="T136" s="46">
        <f t="shared" si="84"/>
        <v>0</v>
      </c>
      <c r="U136" s="46">
        <f t="shared" si="84"/>
        <v>0</v>
      </c>
      <c r="V136" s="46">
        <f t="shared" si="84"/>
        <v>0</v>
      </c>
      <c r="W136" s="46">
        <f t="shared" si="84"/>
        <v>0</v>
      </c>
      <c r="X136" s="46">
        <f t="shared" si="84"/>
        <v>0</v>
      </c>
      <c r="Y136" s="46">
        <f t="shared" ref="Y136" si="85">Y99-Y98</f>
        <v>0</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4:79">
      <c r="D137" s="7" t="s">
        <v>173</v>
      </c>
      <c r="E137" s="46">
        <f t="shared" ref="E137:X137" si="86">E100-E99</f>
        <v>0</v>
      </c>
      <c r="F137" s="46">
        <f t="shared" si="86"/>
        <v>0</v>
      </c>
      <c r="G137" s="46">
        <f t="shared" si="86"/>
        <v>0</v>
      </c>
      <c r="H137" s="46">
        <f t="shared" si="86"/>
        <v>0</v>
      </c>
      <c r="I137" s="46">
        <f t="shared" si="86"/>
        <v>0</v>
      </c>
      <c r="J137" s="46">
        <f t="shared" si="86"/>
        <v>0</v>
      </c>
      <c r="K137" s="46">
        <f t="shared" si="86"/>
        <v>0</v>
      </c>
      <c r="L137" s="46">
        <f t="shared" si="86"/>
        <v>0</v>
      </c>
      <c r="M137" s="46">
        <f t="shared" si="86"/>
        <v>0</v>
      </c>
      <c r="N137" s="46">
        <f t="shared" si="86"/>
        <v>0</v>
      </c>
      <c r="O137" s="46">
        <f t="shared" si="86"/>
        <v>0</v>
      </c>
      <c r="P137" s="46">
        <f t="shared" si="86"/>
        <v>0</v>
      </c>
      <c r="Q137" s="46">
        <f t="shared" si="86"/>
        <v>0</v>
      </c>
      <c r="R137" s="46">
        <f t="shared" si="86"/>
        <v>0</v>
      </c>
      <c r="S137" s="46">
        <f t="shared" si="86"/>
        <v>0</v>
      </c>
      <c r="T137" s="46">
        <f t="shared" si="86"/>
        <v>0</v>
      </c>
      <c r="U137" s="46">
        <f t="shared" si="86"/>
        <v>0</v>
      </c>
      <c r="V137" s="46">
        <f t="shared" si="86"/>
        <v>0</v>
      </c>
      <c r="W137" s="46">
        <f t="shared" si="86"/>
        <v>0</v>
      </c>
      <c r="X137" s="46">
        <f t="shared" si="86"/>
        <v>0</v>
      </c>
      <c r="Y137" s="46">
        <f t="shared" ref="Y137" si="87">Y100-Y99</f>
        <v>0</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4:79">
      <c r="D138" s="7" t="s">
        <v>176</v>
      </c>
      <c r="E138" s="46">
        <f t="shared" ref="E138:X138" si="88">E101-E100</f>
        <v>0</v>
      </c>
      <c r="F138" s="46">
        <f t="shared" si="88"/>
        <v>0</v>
      </c>
      <c r="G138" s="46">
        <f t="shared" si="88"/>
        <v>0</v>
      </c>
      <c r="H138" s="46">
        <f t="shared" si="88"/>
        <v>0</v>
      </c>
      <c r="I138" s="46">
        <f t="shared" si="88"/>
        <v>0</v>
      </c>
      <c r="J138" s="46">
        <f t="shared" si="88"/>
        <v>0</v>
      </c>
      <c r="K138" s="46">
        <f t="shared" si="88"/>
        <v>0</v>
      </c>
      <c r="L138" s="46">
        <f t="shared" si="88"/>
        <v>0</v>
      </c>
      <c r="M138" s="46">
        <f t="shared" si="88"/>
        <v>0</v>
      </c>
      <c r="N138" s="46">
        <f t="shared" si="88"/>
        <v>0</v>
      </c>
      <c r="O138" s="46">
        <f t="shared" si="88"/>
        <v>0</v>
      </c>
      <c r="P138" s="46">
        <f t="shared" si="88"/>
        <v>0</v>
      </c>
      <c r="Q138" s="46">
        <f t="shared" si="88"/>
        <v>0</v>
      </c>
      <c r="R138" s="46">
        <f t="shared" si="88"/>
        <v>0</v>
      </c>
      <c r="S138" s="46">
        <f t="shared" si="88"/>
        <v>0</v>
      </c>
      <c r="T138" s="46">
        <f t="shared" si="88"/>
        <v>0</v>
      </c>
      <c r="U138" s="46">
        <f t="shared" si="88"/>
        <v>0</v>
      </c>
      <c r="V138" s="46">
        <f t="shared" si="88"/>
        <v>0</v>
      </c>
      <c r="W138" s="46">
        <f t="shared" si="88"/>
        <v>0</v>
      </c>
      <c r="X138" s="46">
        <f t="shared" si="88"/>
        <v>0</v>
      </c>
      <c r="Y138" s="46">
        <f t="shared" ref="Y138" si="89">Y101-Y100</f>
        <v>0</v>
      </c>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4:79">
      <c r="D139" s="7" t="s">
        <v>179</v>
      </c>
      <c r="E139" s="46">
        <f t="shared" ref="E139:X139" si="90">E102-E101</f>
        <v>0</v>
      </c>
      <c r="F139" s="46">
        <f t="shared" si="90"/>
        <v>0</v>
      </c>
      <c r="G139" s="46">
        <f t="shared" si="90"/>
        <v>0</v>
      </c>
      <c r="H139" s="46">
        <f t="shared" si="90"/>
        <v>0</v>
      </c>
      <c r="I139" s="46">
        <f t="shared" si="90"/>
        <v>0</v>
      </c>
      <c r="J139" s="46">
        <f t="shared" si="90"/>
        <v>0</v>
      </c>
      <c r="K139" s="46">
        <f t="shared" si="90"/>
        <v>0</v>
      </c>
      <c r="L139" s="46">
        <f t="shared" si="90"/>
        <v>0</v>
      </c>
      <c r="M139" s="46">
        <f t="shared" si="90"/>
        <v>0</v>
      </c>
      <c r="N139" s="46">
        <f t="shared" si="90"/>
        <v>0</v>
      </c>
      <c r="O139" s="46">
        <f t="shared" si="90"/>
        <v>0</v>
      </c>
      <c r="P139" s="46">
        <f t="shared" si="90"/>
        <v>0</v>
      </c>
      <c r="Q139" s="46">
        <f t="shared" si="90"/>
        <v>0</v>
      </c>
      <c r="R139" s="46">
        <f t="shared" si="90"/>
        <v>0</v>
      </c>
      <c r="S139" s="46">
        <f t="shared" si="90"/>
        <v>0</v>
      </c>
      <c r="T139" s="46">
        <f t="shared" si="90"/>
        <v>0</v>
      </c>
      <c r="U139" s="46">
        <f t="shared" si="90"/>
        <v>0</v>
      </c>
      <c r="V139" s="46">
        <f t="shared" si="90"/>
        <v>0</v>
      </c>
      <c r="W139" s="46">
        <f t="shared" si="90"/>
        <v>0</v>
      </c>
      <c r="X139" s="46">
        <f t="shared" si="90"/>
        <v>0</v>
      </c>
      <c r="Y139" s="46">
        <f t="shared" ref="Y139" si="91">Y102-Y101</f>
        <v>0</v>
      </c>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4:79">
      <c r="D140" s="7" t="s">
        <v>182</v>
      </c>
      <c r="E140" s="46">
        <f t="shared" ref="E140:X140" si="92">E103-E102</f>
        <v>0</v>
      </c>
      <c r="F140" s="46">
        <f t="shared" si="92"/>
        <v>0</v>
      </c>
      <c r="G140" s="46">
        <f t="shared" si="92"/>
        <v>0</v>
      </c>
      <c r="H140" s="46">
        <f t="shared" si="92"/>
        <v>0</v>
      </c>
      <c r="I140" s="46">
        <f t="shared" si="92"/>
        <v>0</v>
      </c>
      <c r="J140" s="46">
        <f t="shared" si="92"/>
        <v>0</v>
      </c>
      <c r="K140" s="46">
        <f t="shared" si="92"/>
        <v>0</v>
      </c>
      <c r="L140" s="46">
        <f t="shared" si="92"/>
        <v>0</v>
      </c>
      <c r="M140" s="46">
        <f t="shared" si="92"/>
        <v>0</v>
      </c>
      <c r="N140" s="46">
        <f t="shared" si="92"/>
        <v>0</v>
      </c>
      <c r="O140" s="46">
        <f t="shared" si="92"/>
        <v>0</v>
      </c>
      <c r="P140" s="46">
        <f t="shared" si="92"/>
        <v>0</v>
      </c>
      <c r="Q140" s="46">
        <f t="shared" si="92"/>
        <v>0</v>
      </c>
      <c r="R140" s="46">
        <f t="shared" si="92"/>
        <v>0</v>
      </c>
      <c r="S140" s="46">
        <f t="shared" si="92"/>
        <v>0</v>
      </c>
      <c r="T140" s="46">
        <f t="shared" si="92"/>
        <v>0</v>
      </c>
      <c r="U140" s="46">
        <f t="shared" si="92"/>
        <v>0</v>
      </c>
      <c r="V140" s="46">
        <f t="shared" si="92"/>
        <v>0</v>
      </c>
      <c r="W140" s="46">
        <f t="shared" si="92"/>
        <v>0</v>
      </c>
      <c r="X140" s="46">
        <f t="shared" si="92"/>
        <v>0</v>
      </c>
      <c r="Y140" s="46">
        <f t="shared" ref="Y140" si="93">Y103-Y102</f>
        <v>0</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4:79">
      <c r="D141" s="7" t="s">
        <v>185</v>
      </c>
      <c r="E141" s="46">
        <f t="shared" ref="E141:X141" si="94">E104-E103</f>
        <v>0</v>
      </c>
      <c r="F141" s="46">
        <f t="shared" si="94"/>
        <v>0</v>
      </c>
      <c r="G141" s="46">
        <f t="shared" si="94"/>
        <v>0</v>
      </c>
      <c r="H141" s="46">
        <f t="shared" si="94"/>
        <v>0</v>
      </c>
      <c r="I141" s="46">
        <f t="shared" si="94"/>
        <v>0</v>
      </c>
      <c r="J141" s="46">
        <f t="shared" si="94"/>
        <v>0</v>
      </c>
      <c r="K141" s="46">
        <f t="shared" si="94"/>
        <v>0</v>
      </c>
      <c r="L141" s="46">
        <f t="shared" si="94"/>
        <v>0</v>
      </c>
      <c r="M141" s="46">
        <f t="shared" si="94"/>
        <v>0</v>
      </c>
      <c r="N141" s="46">
        <f t="shared" si="94"/>
        <v>0</v>
      </c>
      <c r="O141" s="46">
        <f t="shared" si="94"/>
        <v>0</v>
      </c>
      <c r="P141" s="46">
        <f t="shared" si="94"/>
        <v>0</v>
      </c>
      <c r="Q141" s="46">
        <f t="shared" si="94"/>
        <v>0</v>
      </c>
      <c r="R141" s="46">
        <f t="shared" si="94"/>
        <v>0</v>
      </c>
      <c r="S141" s="46">
        <f t="shared" si="94"/>
        <v>0</v>
      </c>
      <c r="T141" s="46">
        <f t="shared" si="94"/>
        <v>0</v>
      </c>
      <c r="U141" s="46">
        <f t="shared" si="94"/>
        <v>0</v>
      </c>
      <c r="V141" s="46">
        <f t="shared" si="94"/>
        <v>0</v>
      </c>
      <c r="W141" s="46">
        <f t="shared" si="94"/>
        <v>0</v>
      </c>
      <c r="X141" s="46">
        <f t="shared" si="94"/>
        <v>0</v>
      </c>
      <c r="Y141" s="46">
        <f t="shared" ref="Y141" si="95">Y104-Y103</f>
        <v>0</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4:79">
      <c r="D142" s="7" t="s">
        <v>188</v>
      </c>
      <c r="E142" s="46">
        <f t="shared" ref="E142:X142" si="96">E105-E104</f>
        <v>0</v>
      </c>
      <c r="F142" s="46">
        <f t="shared" si="96"/>
        <v>0</v>
      </c>
      <c r="G142" s="46">
        <f t="shared" si="96"/>
        <v>0</v>
      </c>
      <c r="H142" s="46">
        <f t="shared" si="96"/>
        <v>0</v>
      </c>
      <c r="I142" s="46">
        <f t="shared" si="96"/>
        <v>0</v>
      </c>
      <c r="J142" s="46">
        <f t="shared" si="96"/>
        <v>0</v>
      </c>
      <c r="K142" s="46">
        <f t="shared" si="96"/>
        <v>0</v>
      </c>
      <c r="L142" s="46">
        <f t="shared" si="96"/>
        <v>0</v>
      </c>
      <c r="M142" s="46">
        <f t="shared" si="96"/>
        <v>0</v>
      </c>
      <c r="N142" s="46">
        <f t="shared" si="96"/>
        <v>0</v>
      </c>
      <c r="O142" s="46">
        <f t="shared" si="96"/>
        <v>0</v>
      </c>
      <c r="P142" s="46">
        <f t="shared" si="96"/>
        <v>0</v>
      </c>
      <c r="Q142" s="46">
        <f t="shared" si="96"/>
        <v>0</v>
      </c>
      <c r="R142" s="46">
        <f t="shared" si="96"/>
        <v>0</v>
      </c>
      <c r="S142" s="46">
        <f t="shared" si="96"/>
        <v>0</v>
      </c>
      <c r="T142" s="46">
        <f t="shared" si="96"/>
        <v>0</v>
      </c>
      <c r="U142" s="46">
        <f t="shared" si="96"/>
        <v>0</v>
      </c>
      <c r="V142" s="46">
        <f t="shared" si="96"/>
        <v>0</v>
      </c>
      <c r="W142" s="46">
        <f t="shared" si="96"/>
        <v>0</v>
      </c>
      <c r="X142" s="46">
        <f t="shared" si="96"/>
        <v>0</v>
      </c>
      <c r="Y142" s="46">
        <f t="shared" ref="Y142" si="97">Y105-Y104</f>
        <v>0</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4:79">
      <c r="D143" s="7" t="s">
        <v>191</v>
      </c>
      <c r="E143" s="46">
        <f t="shared" ref="E143:X143" si="98">E106-E105</f>
        <v>0</v>
      </c>
      <c r="F143" s="46">
        <f t="shared" si="98"/>
        <v>0</v>
      </c>
      <c r="G143" s="46">
        <f t="shared" si="98"/>
        <v>0</v>
      </c>
      <c r="H143" s="46">
        <f t="shared" si="98"/>
        <v>0</v>
      </c>
      <c r="I143" s="46">
        <f t="shared" si="98"/>
        <v>0</v>
      </c>
      <c r="J143" s="46">
        <f t="shared" si="98"/>
        <v>0</v>
      </c>
      <c r="K143" s="46">
        <f t="shared" si="98"/>
        <v>0</v>
      </c>
      <c r="L143" s="46">
        <f t="shared" si="98"/>
        <v>0</v>
      </c>
      <c r="M143" s="46">
        <f t="shared" si="98"/>
        <v>0</v>
      </c>
      <c r="N143" s="46">
        <f t="shared" si="98"/>
        <v>0</v>
      </c>
      <c r="O143" s="46">
        <f t="shared" si="98"/>
        <v>0</v>
      </c>
      <c r="P143" s="46">
        <f t="shared" si="98"/>
        <v>0</v>
      </c>
      <c r="Q143" s="46">
        <f t="shared" si="98"/>
        <v>0</v>
      </c>
      <c r="R143" s="46">
        <f t="shared" si="98"/>
        <v>0</v>
      </c>
      <c r="S143" s="46">
        <f t="shared" si="98"/>
        <v>0</v>
      </c>
      <c r="T143" s="46">
        <f t="shared" si="98"/>
        <v>0</v>
      </c>
      <c r="U143" s="46">
        <f t="shared" si="98"/>
        <v>0</v>
      </c>
      <c r="V143" s="46">
        <f t="shared" si="98"/>
        <v>0</v>
      </c>
      <c r="W143" s="46">
        <f t="shared" si="98"/>
        <v>0</v>
      </c>
      <c r="X143" s="46">
        <f t="shared" si="98"/>
        <v>0</v>
      </c>
      <c r="Y143" s="46">
        <f>Y106-Y105</f>
        <v>0</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4:79">
      <c r="E144" s="46"/>
      <c r="F144" s="46"/>
      <c r="G144" s="46"/>
      <c r="H144" s="46"/>
      <c r="I144" s="46"/>
      <c r="J144" s="46"/>
      <c r="K144" s="46"/>
      <c r="L144" s="46"/>
      <c r="M144" s="46"/>
      <c r="N144" s="46"/>
      <c r="O144" s="46"/>
      <c r="P144" s="46"/>
      <c r="Q144" s="46"/>
      <c r="R144" s="46"/>
      <c r="S144" s="46"/>
      <c r="T144" s="46"/>
      <c r="U144" s="46"/>
      <c r="V144" s="46"/>
      <c r="W144" s="46"/>
      <c r="X144" s="46"/>
      <c r="Y144" s="46"/>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ht="15">
      <c r="D145" s="59" t="s">
        <v>105</v>
      </c>
      <c r="E145" s="60">
        <f>SUM(E112:E143)</f>
        <v>0.30209681731031607</v>
      </c>
      <c r="F145" s="60">
        <f t="shared" ref="F145:Y145" si="99">SUM(F112:F143)</f>
        <v>0.34742868676559802</v>
      </c>
      <c r="G145" s="60">
        <f t="shared" si="99"/>
        <v>0.38241924488489859</v>
      </c>
      <c r="H145" s="60">
        <f t="shared" si="99"/>
        <v>0.40276141730978654</v>
      </c>
      <c r="I145" s="60">
        <f t="shared" si="99"/>
        <v>0.39103618864420475</v>
      </c>
      <c r="J145" s="60">
        <f t="shared" si="99"/>
        <v>0.32828220136516167</v>
      </c>
      <c r="K145" s="60">
        <f t="shared" si="99"/>
        <v>0.24803133123754187</v>
      </c>
      <c r="L145" s="60">
        <f t="shared" si="99"/>
        <v>0.17042967073645418</v>
      </c>
      <c r="M145" s="60">
        <f t="shared" si="99"/>
        <v>0.10732654390085172</v>
      </c>
      <c r="N145" s="60">
        <f t="shared" si="99"/>
        <v>6.2669026347020665E-2</v>
      </c>
      <c r="O145" s="60">
        <f t="shared" si="99"/>
        <v>3.3829791089743225E-2</v>
      </c>
      <c r="P145" s="60">
        <f t="shared" si="99"/>
        <v>1.7043507058042907E-2</v>
      </c>
      <c r="Q145" s="60">
        <f t="shared" si="99"/>
        <v>8.0493916724966603E-3</v>
      </c>
      <c r="R145" s="60">
        <f t="shared" si="99"/>
        <v>3.57838993504317E-3</v>
      </c>
      <c r="S145" s="60">
        <f t="shared" si="99"/>
        <v>1.5083675916865665E-3</v>
      </c>
      <c r="T145" s="60">
        <f t="shared" si="99"/>
        <v>6.0020591027664695E-4</v>
      </c>
      <c r="U145" s="60">
        <f t="shared" si="99"/>
        <v>2.2695244639393342E-4</v>
      </c>
      <c r="V145" s="60">
        <f t="shared" si="99"/>
        <v>8.1728419396361296E-5</v>
      </c>
      <c r="W145" s="60">
        <f t="shared" si="99"/>
        <v>2.808600939121704E-5</v>
      </c>
      <c r="X145" s="60">
        <f t="shared" si="99"/>
        <v>9.2736512840225223E-6</v>
      </c>
      <c r="Y145" s="60">
        <f t="shared" si="99"/>
        <v>3.2399980278402829</v>
      </c>
      <c r="Z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ht="15">
      <c r="D146" s="59" t="s">
        <v>106</v>
      </c>
      <c r="E146" s="60">
        <f>E145</f>
        <v>0.30209681731031607</v>
      </c>
      <c r="F146" s="60">
        <f>E146+F145</f>
        <v>0.64952550407591403</v>
      </c>
      <c r="G146" s="60">
        <f t="shared" ref="G146:X146" si="100">F146+G145</f>
        <v>1.0319447489608127</v>
      </c>
      <c r="H146" s="60">
        <f t="shared" si="100"/>
        <v>1.4347061662705993</v>
      </c>
      <c r="I146" s="60">
        <f t="shared" si="100"/>
        <v>1.8257423549148042</v>
      </c>
      <c r="J146" s="60">
        <f t="shared" si="100"/>
        <v>2.1540245562799658</v>
      </c>
      <c r="K146" s="60">
        <f t="shared" si="100"/>
        <v>2.4020558875175078</v>
      </c>
      <c r="L146" s="60">
        <f t="shared" si="100"/>
        <v>2.5724855582539621</v>
      </c>
      <c r="M146" s="60">
        <f t="shared" si="100"/>
        <v>2.6798121021548136</v>
      </c>
      <c r="N146" s="60">
        <f t="shared" si="100"/>
        <v>2.7424811285018342</v>
      </c>
      <c r="O146" s="60">
        <f t="shared" si="100"/>
        <v>2.7763109195915776</v>
      </c>
      <c r="P146" s="60">
        <f t="shared" si="100"/>
        <v>2.7933544266496204</v>
      </c>
      <c r="Q146" s="60">
        <f t="shared" si="100"/>
        <v>2.8014038183221173</v>
      </c>
      <c r="R146" s="60">
        <f t="shared" si="100"/>
        <v>2.8049822082571603</v>
      </c>
      <c r="S146" s="60">
        <f t="shared" si="100"/>
        <v>2.806490575848847</v>
      </c>
      <c r="T146" s="60">
        <f t="shared" si="100"/>
        <v>2.8070907817591237</v>
      </c>
      <c r="U146" s="60">
        <f t="shared" si="100"/>
        <v>2.8073177342055176</v>
      </c>
      <c r="V146" s="60">
        <f t="shared" si="100"/>
        <v>2.8073994626249141</v>
      </c>
      <c r="W146" s="60">
        <f t="shared" si="100"/>
        <v>2.8074275486343052</v>
      </c>
      <c r="X146" s="60">
        <f t="shared" si="100"/>
        <v>2.8074368222855894</v>
      </c>
      <c r="Y146" s="60"/>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ustomFormat="1"/>
    <row r="150" spans="4:79" customFormat="1"/>
    <row r="151" spans="4:79" customFormat="1"/>
    <row r="152" spans="4:79" customFormat="1"/>
    <row r="153" spans="4:79" customFormat="1"/>
    <row r="154" spans="4:79" customFormat="1"/>
    <row r="155" spans="4:79" customFormat="1"/>
    <row r="156" spans="4:79" customFormat="1"/>
  </sheetData>
  <mergeCells count="1">
    <mergeCell ref="B1:S6"/>
  </mergeCells>
  <dataValidations disablePrompts="1" count="1">
    <dataValidation type="list" allowBlank="1" showInputMessage="1" showErrorMessage="1" sqref="D8">
      <formula1>"ID, MT, OR, WA, Region"</formula1>
    </dataValidation>
  </dataValidation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4"/>
  <dimension ref="A2"/>
  <sheetViews>
    <sheetView workbookViewId="0">
      <selection activeCell="A3" sqref="A3"/>
    </sheetView>
  </sheetViews>
  <sheetFormatPr defaultRowHeight="12.75"/>
  <cols>
    <col min="1" max="1" width="11.42578125" bestFit="1" customWidth="1"/>
    <col min="2" max="2" width="10.140625" bestFit="1" customWidth="1"/>
    <col min="3" max="3" width="10.42578125" bestFit="1" customWidth="1"/>
    <col min="4" max="4" width="16.85546875" bestFit="1" customWidth="1"/>
    <col min="5" max="5" width="25.140625" bestFit="1" customWidth="1"/>
    <col min="6" max="6" width="17" customWidth="1"/>
    <col min="7" max="7" width="19.85546875" bestFit="1" customWidth="1"/>
  </cols>
  <sheetData>
    <row r="2" spans="1:1">
      <c r="A2" t="s">
        <v>328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dimension ref="A1:EA12"/>
  <sheetViews>
    <sheetView workbookViewId="0">
      <selection sqref="A1:EA12"/>
    </sheetView>
  </sheetViews>
  <sheetFormatPr defaultRowHeight="12.75"/>
  <cols>
    <col min="1" max="1" width="107.28515625" bestFit="1" customWidth="1"/>
  </cols>
  <sheetData>
    <row r="1" spans="1:131" ht="13.5" thickBot="1">
      <c r="A1" s="24" t="s">
        <v>161</v>
      </c>
      <c r="B1" s="25"/>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3"/>
      <c r="B2" s="34"/>
      <c r="C2" s="35"/>
      <c r="D2" s="35"/>
      <c r="E2" s="35"/>
      <c r="F2" s="35"/>
      <c r="G2" s="35"/>
      <c r="H2" s="35"/>
      <c r="I2" s="35"/>
      <c r="J2" s="35"/>
      <c r="K2" s="35"/>
      <c r="L2" s="35"/>
      <c r="M2" s="35"/>
      <c r="N2" s="35"/>
      <c r="O2" s="36" t="s">
        <v>193</v>
      </c>
      <c r="P2" s="37"/>
      <c r="Q2" s="37"/>
      <c r="R2" s="37"/>
      <c r="S2" s="37"/>
      <c r="T2" s="37"/>
      <c r="U2" s="37"/>
      <c r="V2" s="37"/>
      <c r="W2" s="37"/>
      <c r="X2" s="37"/>
      <c r="Y2" s="37"/>
      <c r="Z2" s="31"/>
      <c r="AA2" s="35"/>
      <c r="AB2" s="36" t="s">
        <v>194</v>
      </c>
      <c r="AC2" s="37"/>
      <c r="AD2" s="37"/>
      <c r="AE2" s="37"/>
      <c r="AF2" s="37"/>
      <c r="AG2" s="37"/>
      <c r="AH2" s="37"/>
      <c r="AI2" s="37"/>
      <c r="AJ2" s="37"/>
      <c r="AK2" s="37"/>
      <c r="AL2" s="37"/>
      <c r="AM2" s="31"/>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191.25">
      <c r="A3" s="27" t="s">
        <v>138</v>
      </c>
      <c r="B3" s="28" t="s">
        <v>139</v>
      </c>
      <c r="C3" s="29" t="s">
        <v>22</v>
      </c>
      <c r="D3" s="29" t="s">
        <v>141</v>
      </c>
      <c r="E3" s="29" t="s">
        <v>142</v>
      </c>
      <c r="F3" s="29" t="s">
        <v>143</v>
      </c>
      <c r="G3" s="29" t="s">
        <v>144</v>
      </c>
      <c r="H3" s="29" t="s">
        <v>145</v>
      </c>
      <c r="I3" s="29" t="s">
        <v>146</v>
      </c>
      <c r="J3" s="29" t="s">
        <v>147</v>
      </c>
      <c r="K3" s="29" t="s">
        <v>21</v>
      </c>
      <c r="L3" s="29" t="s">
        <v>140</v>
      </c>
      <c r="M3" s="29" t="s">
        <v>148</v>
      </c>
      <c r="N3" s="29" t="s">
        <v>195</v>
      </c>
      <c r="O3" s="29" t="s">
        <v>149</v>
      </c>
      <c r="P3" s="29" t="s">
        <v>150</v>
      </c>
      <c r="Q3" s="29" t="s">
        <v>151</v>
      </c>
      <c r="R3" s="29" t="s">
        <v>152</v>
      </c>
      <c r="S3" s="29" t="s">
        <v>153</v>
      </c>
      <c r="T3" s="29" t="s">
        <v>154</v>
      </c>
      <c r="U3" s="29" t="s">
        <v>155</v>
      </c>
      <c r="V3" s="29" t="s">
        <v>156</v>
      </c>
      <c r="W3" s="29" t="s">
        <v>157</v>
      </c>
      <c r="X3" s="29" t="s">
        <v>158</v>
      </c>
      <c r="Y3" s="29" t="s">
        <v>159</v>
      </c>
      <c r="Z3" s="29" t="s">
        <v>160</v>
      </c>
      <c r="AA3" s="29"/>
      <c r="AB3" s="29" t="s">
        <v>149</v>
      </c>
      <c r="AC3" s="29" t="s">
        <v>150</v>
      </c>
      <c r="AD3" s="29" t="s">
        <v>151</v>
      </c>
      <c r="AE3" s="29" t="s">
        <v>152</v>
      </c>
      <c r="AF3" s="29" t="s">
        <v>153</v>
      </c>
      <c r="AG3" s="29" t="s">
        <v>154</v>
      </c>
      <c r="AH3" s="29" t="s">
        <v>155</v>
      </c>
      <c r="AI3" s="29" t="s">
        <v>156</v>
      </c>
      <c r="AJ3" s="29" t="s">
        <v>157</v>
      </c>
      <c r="AK3" s="29" t="s">
        <v>158</v>
      </c>
      <c r="AL3" s="29" t="s">
        <v>159</v>
      </c>
      <c r="AM3" s="29" t="s">
        <v>160</v>
      </c>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314</v>
      </c>
      <c r="B4" s="7"/>
      <c r="C4" s="32">
        <v>797.38994023341627</v>
      </c>
      <c r="D4" s="32">
        <v>190.08733333333336</v>
      </c>
      <c r="E4" s="32">
        <v>38.017466666666671</v>
      </c>
      <c r="F4" s="32">
        <v>228.10480000000004</v>
      </c>
      <c r="G4" s="32">
        <v>267.37497348389007</v>
      </c>
      <c r="H4" s="32">
        <v>423.68508634252288</v>
      </c>
      <c r="I4" s="32">
        <v>2505.9233220512879</v>
      </c>
      <c r="J4" s="32">
        <v>1.9742311413603217</v>
      </c>
      <c r="K4" s="32">
        <v>20.967614982634366</v>
      </c>
      <c r="L4" s="30">
        <v>1.5846101107441561</v>
      </c>
      <c r="M4" s="32">
        <v>7.5753068337252643</v>
      </c>
      <c r="N4" s="32">
        <v>2.1209184506490418E-3</v>
      </c>
      <c r="O4" s="32">
        <v>0</v>
      </c>
      <c r="P4" s="32">
        <v>2.7934029203454488E-2</v>
      </c>
      <c r="Q4" s="32">
        <v>1.5380237767110789</v>
      </c>
      <c r="R4" s="32">
        <v>18.526324179533617</v>
      </c>
      <c r="S4" s="32">
        <v>73.381881459214426</v>
      </c>
      <c r="T4" s="32">
        <v>97.25520973288431</v>
      </c>
      <c r="U4" s="32">
        <v>94.155061241327232</v>
      </c>
      <c r="V4" s="32">
        <v>95.502411136506495</v>
      </c>
      <c r="W4" s="32">
        <v>44.896800908404124</v>
      </c>
      <c r="X4" s="32">
        <v>25.816902757479024</v>
      </c>
      <c r="Y4" s="32">
        <v>7.2967299632589322</v>
      </c>
      <c r="Z4" s="32">
        <v>5.0000369695510534E-2</v>
      </c>
      <c r="AA4" s="32"/>
      <c r="AB4" s="32">
        <v>0</v>
      </c>
      <c r="AC4" s="32">
        <v>1.91034744507655E-2</v>
      </c>
      <c r="AD4" s="32">
        <v>0.56711431090469422</v>
      </c>
      <c r="AE4" s="32">
        <v>12.209678326492483</v>
      </c>
      <c r="AF4" s="32">
        <v>47.582713062606473</v>
      </c>
      <c r="AG4" s="32">
        <v>71.489901493315926</v>
      </c>
      <c r="AH4" s="32">
        <v>81.090475032381391</v>
      </c>
      <c r="AI4" s="32">
        <v>69.451473136247188</v>
      </c>
      <c r="AJ4" s="32">
        <v>35.935489924771581</v>
      </c>
      <c r="AK4" s="32">
        <v>16.959446719743305</v>
      </c>
      <c r="AL4" s="32">
        <v>3.6003150965130035</v>
      </c>
      <c r="AM4" s="26">
        <v>3.6950101771177447E-2</v>
      </c>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319</v>
      </c>
      <c r="B5" s="7"/>
      <c r="C5" s="32">
        <v>797.38994023341627</v>
      </c>
      <c r="D5" s="32">
        <v>190.08733333333336</v>
      </c>
      <c r="E5" s="32">
        <v>38.017466666666671</v>
      </c>
      <c r="F5" s="32">
        <v>228.10480000000004</v>
      </c>
      <c r="G5" s="32">
        <v>267.37497348389007</v>
      </c>
      <c r="H5" s="32">
        <v>423.68508634252288</v>
      </c>
      <c r="I5" s="32">
        <v>2505.9233220512879</v>
      </c>
      <c r="J5" s="32">
        <v>1.9742311413603217</v>
      </c>
      <c r="K5" s="32">
        <v>20.967614982634366</v>
      </c>
      <c r="L5" s="30">
        <v>1.5846101107441561</v>
      </c>
      <c r="M5" s="32">
        <v>7.5753068337252643</v>
      </c>
      <c r="N5" s="32">
        <v>2.1209184506490418E-3</v>
      </c>
      <c r="O5" s="32">
        <v>0</v>
      </c>
      <c r="P5" s="32">
        <v>2.7934029203454488E-2</v>
      </c>
      <c r="Q5" s="32">
        <v>1.5380237767110789</v>
      </c>
      <c r="R5" s="32">
        <v>18.526324179533617</v>
      </c>
      <c r="S5" s="32">
        <v>73.381881459214426</v>
      </c>
      <c r="T5" s="32">
        <v>97.25520973288431</v>
      </c>
      <c r="U5" s="32">
        <v>94.155061241327232</v>
      </c>
      <c r="V5" s="32">
        <v>95.502411136506495</v>
      </c>
      <c r="W5" s="32">
        <v>44.896800908404124</v>
      </c>
      <c r="X5" s="32">
        <v>25.816902757479024</v>
      </c>
      <c r="Y5" s="32">
        <v>7.2967299632589322</v>
      </c>
      <c r="Z5" s="32">
        <v>5.0000369695510534E-2</v>
      </c>
      <c r="AA5" s="32"/>
      <c r="AB5" s="32">
        <v>0</v>
      </c>
      <c r="AC5" s="32">
        <v>1.91034744507655E-2</v>
      </c>
      <c r="AD5" s="32">
        <v>0.56711431090469422</v>
      </c>
      <c r="AE5" s="32">
        <v>12.209678326492483</v>
      </c>
      <c r="AF5" s="32">
        <v>47.582713062606473</v>
      </c>
      <c r="AG5" s="32">
        <v>71.489901493315926</v>
      </c>
      <c r="AH5" s="32">
        <v>81.090475032381391</v>
      </c>
      <c r="AI5" s="32">
        <v>69.451473136247188</v>
      </c>
      <c r="AJ5" s="32">
        <v>35.935489924771581</v>
      </c>
      <c r="AK5" s="32">
        <v>16.959446719743305</v>
      </c>
      <c r="AL5" s="32">
        <v>3.6003150965130035</v>
      </c>
      <c r="AM5" s="26">
        <v>3.6950101771177447E-2</v>
      </c>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315</v>
      </c>
      <c r="B6" s="7"/>
      <c r="C6" s="32">
        <v>857.35378710031875</v>
      </c>
      <c r="D6" s="32">
        <v>208.77266666666668</v>
      </c>
      <c r="E6" s="32">
        <v>41.754533333333342</v>
      </c>
      <c r="F6" s="32">
        <v>250.52720000000002</v>
      </c>
      <c r="G6" s="32">
        <v>293.65757957304368</v>
      </c>
      <c r="H6" s="32">
        <v>455.54627038228733</v>
      </c>
      <c r="I6" s="32">
        <v>2559.7580660633489</v>
      </c>
      <c r="J6" s="32">
        <v>2.096244071733532</v>
      </c>
      <c r="K6" s="32">
        <v>21.497662727169729</v>
      </c>
      <c r="L6" s="30">
        <v>1.5512838832378097</v>
      </c>
      <c r="M6" s="32">
        <v>8.144971079570043</v>
      </c>
      <c r="N6" s="32">
        <v>2.2804118462575679E-3</v>
      </c>
      <c r="O6" s="32">
        <v>0</v>
      </c>
      <c r="P6" s="32">
        <v>3.0034672521128153E-2</v>
      </c>
      <c r="Q6" s="32">
        <v>1.6536834026619174</v>
      </c>
      <c r="R6" s="32">
        <v>19.919506623975991</v>
      </c>
      <c r="S6" s="32">
        <v>78.900210297596146</v>
      </c>
      <c r="T6" s="32">
        <v>104.56881655080335</v>
      </c>
      <c r="U6" s="32">
        <v>101.23553641306827</v>
      </c>
      <c r="V6" s="32">
        <v>102.6842072288087</v>
      </c>
      <c r="W6" s="32">
        <v>48.273047282539828</v>
      </c>
      <c r="X6" s="32">
        <v>27.758337838882262</v>
      </c>
      <c r="Y6" s="32">
        <v>7.8454451853470353</v>
      </c>
      <c r="Z6" s="32">
        <v>5.3760405231991534E-2</v>
      </c>
      <c r="AA6" s="32"/>
      <c r="AB6" s="32">
        <v>0</v>
      </c>
      <c r="AC6" s="32">
        <v>2.0540058684893368E-2</v>
      </c>
      <c r="AD6" s="32">
        <v>0.60976139482095681</v>
      </c>
      <c r="AE6" s="32">
        <v>13.127848025560443</v>
      </c>
      <c r="AF6" s="32">
        <v>51.160940446266068</v>
      </c>
      <c r="AG6" s="32">
        <v>76.86595314556061</v>
      </c>
      <c r="AH6" s="32">
        <v>87.188491300034229</v>
      </c>
      <c r="AI6" s="32">
        <v>74.67423466068233</v>
      </c>
      <c r="AJ6" s="32">
        <v>38.637844326565698</v>
      </c>
      <c r="AK6" s="32">
        <v>18.234799736803428</v>
      </c>
      <c r="AL6" s="32">
        <v>3.871059348762671</v>
      </c>
      <c r="AM6" s="26">
        <v>3.9728755140788267E-2</v>
      </c>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317</v>
      </c>
      <c r="B7" s="7"/>
      <c r="C7" s="32">
        <v>857.35378710031875</v>
      </c>
      <c r="D7" s="32">
        <v>208.77266666666668</v>
      </c>
      <c r="E7" s="32">
        <v>41.754533333333342</v>
      </c>
      <c r="F7" s="32">
        <v>250.52720000000002</v>
      </c>
      <c r="G7" s="32">
        <v>293.65757957304368</v>
      </c>
      <c r="H7" s="32">
        <v>455.54627038228733</v>
      </c>
      <c r="I7" s="32">
        <v>2559.7580660633489</v>
      </c>
      <c r="J7" s="32">
        <v>2.096244071733532</v>
      </c>
      <c r="K7" s="32">
        <v>21.497662727169729</v>
      </c>
      <c r="L7" s="30">
        <v>1.5512838832378097</v>
      </c>
      <c r="M7" s="32">
        <v>8.144971079570043</v>
      </c>
      <c r="N7" s="32">
        <v>2.2804118462575679E-3</v>
      </c>
      <c r="O7" s="32">
        <v>0</v>
      </c>
      <c r="P7" s="32">
        <v>3.0034672521128153E-2</v>
      </c>
      <c r="Q7" s="32">
        <v>1.6536834026619174</v>
      </c>
      <c r="R7" s="32">
        <v>19.919506623975991</v>
      </c>
      <c r="S7" s="32">
        <v>78.900210297596146</v>
      </c>
      <c r="T7" s="32">
        <v>104.56881655080335</v>
      </c>
      <c r="U7" s="32">
        <v>101.23553641306827</v>
      </c>
      <c r="V7" s="32">
        <v>102.6842072288087</v>
      </c>
      <c r="W7" s="32">
        <v>48.273047282539828</v>
      </c>
      <c r="X7" s="32">
        <v>27.758337838882262</v>
      </c>
      <c r="Y7" s="32">
        <v>7.8454451853470353</v>
      </c>
      <c r="Z7" s="32">
        <v>5.3760405231991534E-2</v>
      </c>
      <c r="AA7" s="32"/>
      <c r="AB7" s="32">
        <v>0</v>
      </c>
      <c r="AC7" s="32">
        <v>2.0540058684893368E-2</v>
      </c>
      <c r="AD7" s="32">
        <v>0.60976139482095681</v>
      </c>
      <c r="AE7" s="32">
        <v>13.127848025560443</v>
      </c>
      <c r="AF7" s="32">
        <v>51.160940446266068</v>
      </c>
      <c r="AG7" s="32">
        <v>76.86595314556061</v>
      </c>
      <c r="AH7" s="32">
        <v>87.188491300034229</v>
      </c>
      <c r="AI7" s="32">
        <v>74.67423466068233</v>
      </c>
      <c r="AJ7" s="32">
        <v>38.637844326565698</v>
      </c>
      <c r="AK7" s="32">
        <v>18.234799736803428</v>
      </c>
      <c r="AL7" s="32">
        <v>3.871059348762671</v>
      </c>
      <c r="AM7" s="26">
        <v>3.9728755140788267E-2</v>
      </c>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t="s">
        <v>316</v>
      </c>
      <c r="B8" s="7"/>
      <c r="C8" s="32">
        <v>1111.4974068636257</v>
      </c>
      <c r="D8" s="32">
        <v>333.10200000000003</v>
      </c>
      <c r="E8" s="32">
        <v>66.620400000000004</v>
      </c>
      <c r="F8" s="32">
        <v>399.72240000000005</v>
      </c>
      <c r="G8" s="32">
        <v>422.95016346690943</v>
      </c>
      <c r="H8" s="32">
        <v>590.58291437518562</v>
      </c>
      <c r="I8" s="32">
        <v>3150.3161432293136</v>
      </c>
      <c r="J8" s="32">
        <v>3.4347053734989079</v>
      </c>
      <c r="K8" s="32">
        <v>24.294257144078045</v>
      </c>
      <c r="L8" s="30">
        <v>1.3963416151307182</v>
      </c>
      <c r="M8" s="32">
        <v>10.559368104665552</v>
      </c>
      <c r="N8" s="32">
        <v>2.9563896396480236E-3</v>
      </c>
      <c r="O8" s="32">
        <v>0</v>
      </c>
      <c r="P8" s="32">
        <v>3.8937788723298596E-2</v>
      </c>
      <c r="Q8" s="32">
        <v>2.1438813725296653</v>
      </c>
      <c r="R8" s="32">
        <v>25.824205003437484</v>
      </c>
      <c r="S8" s="32">
        <v>102.28843735953707</v>
      </c>
      <c r="T8" s="32">
        <v>135.56593577094247</v>
      </c>
      <c r="U8" s="32">
        <v>131.24457825764202</v>
      </c>
      <c r="V8" s="32">
        <v>133.12267558376499</v>
      </c>
      <c r="W8" s="32">
        <v>62.582527403789264</v>
      </c>
      <c r="X8" s="32">
        <v>35.986684833004595</v>
      </c>
      <c r="Y8" s="32">
        <v>10.171054365662467</v>
      </c>
      <c r="Z8" s="32">
        <v>6.9696491584173084E-2</v>
      </c>
      <c r="AA8" s="32"/>
      <c r="AB8" s="32">
        <v>0</v>
      </c>
      <c r="AC8" s="32">
        <v>2.6628706035463412E-2</v>
      </c>
      <c r="AD8" s="32">
        <v>0.79051171097205142</v>
      </c>
      <c r="AE8" s="32">
        <v>17.019309015314171</v>
      </c>
      <c r="AF8" s="32">
        <v>66.326472798417029</v>
      </c>
      <c r="AG8" s="32">
        <v>99.651169543845128</v>
      </c>
      <c r="AH8" s="32">
        <v>113.03359645275637</v>
      </c>
      <c r="AI8" s="32">
        <v>96.809764456271594</v>
      </c>
      <c r="AJ8" s="32">
        <v>50.091181052604533</v>
      </c>
      <c r="AK8" s="32">
        <v>23.640103918690674</v>
      </c>
      <c r="AL8" s="32">
        <v>5.0185495097853341</v>
      </c>
      <c r="AM8" s="26">
        <v>5.1505468315776078E-2</v>
      </c>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c r="A9" s="7" t="s">
        <v>313</v>
      </c>
      <c r="B9" s="7"/>
      <c r="C9" s="32">
        <v>1470.9620152427756</v>
      </c>
      <c r="D9" s="32">
        <v>446.65133333333335</v>
      </c>
      <c r="E9" s="32">
        <v>89.330266666666674</v>
      </c>
      <c r="F9" s="32">
        <v>535.98160000000007</v>
      </c>
      <c r="G9" s="32">
        <v>567.12734971884402</v>
      </c>
      <c r="H9" s="32">
        <v>781.58080129813698</v>
      </c>
      <c r="I9" s="32">
        <v>3191.9239024163917</v>
      </c>
      <c r="J9" s="32">
        <v>3.5290066415339405</v>
      </c>
      <c r="K9" s="32">
        <v>24.664060668826579</v>
      </c>
      <c r="L9" s="30">
        <v>1.3781398511033003</v>
      </c>
      <c r="M9" s="32">
        <v>13.974328047024326</v>
      </c>
      <c r="N9" s="32">
        <v>3.9125029310240079E-3</v>
      </c>
      <c r="O9" s="32">
        <v>0</v>
      </c>
      <c r="P9" s="32">
        <v>5.1530491943422192E-2</v>
      </c>
      <c r="Q9" s="32">
        <v>2.8372248506420572</v>
      </c>
      <c r="R9" s="32">
        <v>34.175900365874341</v>
      </c>
      <c r="S9" s="32">
        <v>135.36910210073026</v>
      </c>
      <c r="T9" s="32">
        <v>179.40873352335669</v>
      </c>
      <c r="U9" s="32">
        <v>173.68982431394559</v>
      </c>
      <c r="V9" s="32">
        <v>176.17530903986261</v>
      </c>
      <c r="W9" s="32">
        <v>82.82207413207118</v>
      </c>
      <c r="X9" s="32">
        <v>47.62498420327659</v>
      </c>
      <c r="Y9" s="32">
        <v>13.460431427434134</v>
      </c>
      <c r="Z9" s="32">
        <v>9.2236734951361976E-2</v>
      </c>
      <c r="AA9" s="32"/>
      <c r="AB9" s="32">
        <v>0</v>
      </c>
      <c r="AC9" s="32">
        <v>3.5240581625611146E-2</v>
      </c>
      <c r="AD9" s="32">
        <v>1.046167712370681</v>
      </c>
      <c r="AE9" s="32">
        <v>22.52345073646914</v>
      </c>
      <c r="AF9" s="32">
        <v>87.776832846426203</v>
      </c>
      <c r="AG9" s="32">
        <v>131.87892681381561</v>
      </c>
      <c r="AH9" s="32">
        <v>149.58930700293149</v>
      </c>
      <c r="AI9" s="32">
        <v>128.11859509560492</v>
      </c>
      <c r="AJ9" s="32">
        <v>66.290955041400537</v>
      </c>
      <c r="AK9" s="32">
        <v>31.285448518416921</v>
      </c>
      <c r="AL9" s="32">
        <v>6.6415770787445645</v>
      </c>
      <c r="AM9" s="26">
        <v>6.8162630881506439E-2</v>
      </c>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row>
    <row r="10" spans="1:131">
      <c r="A10" s="7" t="s">
        <v>318</v>
      </c>
      <c r="B10" s="7"/>
      <c r="C10" s="32">
        <v>818.2600452312563</v>
      </c>
      <c r="D10" s="32">
        <v>255.12666666666667</v>
      </c>
      <c r="E10" s="32">
        <v>51.025333333333336</v>
      </c>
      <c r="F10" s="32">
        <v>306.15199999999999</v>
      </c>
      <c r="G10" s="32">
        <v>323.94241214833403</v>
      </c>
      <c r="H10" s="32">
        <v>434.77420572042615</v>
      </c>
      <c r="I10" s="32">
        <v>3277.5540436439678</v>
      </c>
      <c r="J10" s="32">
        <v>3.7230817625581647</v>
      </c>
      <c r="K10" s="32">
        <v>25.425128524182412</v>
      </c>
      <c r="L10" s="30">
        <v>1.3421342479889358</v>
      </c>
      <c r="M10" s="32">
        <v>7.7735755113617184</v>
      </c>
      <c r="N10" s="32">
        <v>2.1764292973797451E-3</v>
      </c>
      <c r="O10" s="32">
        <v>0</v>
      </c>
      <c r="P10" s="32">
        <v>2.8665147183596265E-2</v>
      </c>
      <c r="Q10" s="32">
        <v>1.5782785079154114</v>
      </c>
      <c r="R10" s="32">
        <v>19.011214082631351</v>
      </c>
      <c r="S10" s="32">
        <v>75.302507107619974</v>
      </c>
      <c r="T10" s="32">
        <v>99.800672543862461</v>
      </c>
      <c r="U10" s="32">
        <v>96.619383795496091</v>
      </c>
      <c r="V10" s="32">
        <v>98.001997910052125</v>
      </c>
      <c r="W10" s="32">
        <v>46.071885897250652</v>
      </c>
      <c r="X10" s="32">
        <v>26.492609139114457</v>
      </c>
      <c r="Y10" s="32">
        <v>7.4877074421440089</v>
      </c>
      <c r="Z10" s="32">
        <v>5.1309030506017705E-2</v>
      </c>
      <c r="AA10" s="32"/>
      <c r="AB10" s="32">
        <v>0</v>
      </c>
      <c r="AC10" s="32">
        <v>1.9603470121007247E-2</v>
      </c>
      <c r="AD10" s="32">
        <v>0.58195740663135231</v>
      </c>
      <c r="AE10" s="32">
        <v>12.529242514359161</v>
      </c>
      <c r="AF10" s="32">
        <v>48.82809649120604</v>
      </c>
      <c r="AG10" s="32">
        <v>73.361008307146562</v>
      </c>
      <c r="AH10" s="32">
        <v>83.212857875278971</v>
      </c>
      <c r="AI10" s="32">
        <v>71.269228118438022</v>
      </c>
      <c r="AJ10" s="32">
        <v>36.87603031791884</v>
      </c>
      <c r="AK10" s="32">
        <v>17.403326703534809</v>
      </c>
      <c r="AL10" s="32">
        <v>3.6945462252221772</v>
      </c>
      <c r="AM10" s="26">
        <v>3.7917197623201386E-2</v>
      </c>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row>
    <row r="11" spans="1:131">
      <c r="A11" s="7" t="s">
        <v>320</v>
      </c>
      <c r="B11" s="7"/>
      <c r="C11" s="32">
        <v>842.07444999887502</v>
      </c>
      <c r="D11" s="32">
        <v>282.43600000000004</v>
      </c>
      <c r="E11" s="32">
        <v>56.487200000000009</v>
      </c>
      <c r="F11" s="32">
        <v>338.92320000000007</v>
      </c>
      <c r="G11" s="32">
        <v>358.61793795576148</v>
      </c>
      <c r="H11" s="32">
        <v>447.42774902599012</v>
      </c>
      <c r="I11" s="32">
        <v>3525.7775984106474</v>
      </c>
      <c r="J11" s="32">
        <v>4.2856642334240522</v>
      </c>
      <c r="K11" s="32">
        <v>27.631302258884162</v>
      </c>
      <c r="L11" s="30">
        <v>1.2476446425866854</v>
      </c>
      <c r="M11" s="32">
        <v>7.9998154149206036</v>
      </c>
      <c r="N11" s="32">
        <v>2.2397714690255044E-3</v>
      </c>
      <c r="O11" s="32">
        <v>0</v>
      </c>
      <c r="P11" s="32">
        <v>2.9499409374121034E-2</v>
      </c>
      <c r="Q11" s="32">
        <v>1.624212271200784</v>
      </c>
      <c r="R11" s="32">
        <v>19.56451098369131</v>
      </c>
      <c r="S11" s="32">
        <v>77.494089593809349</v>
      </c>
      <c r="T11" s="32">
        <v>102.70524258353538</v>
      </c>
      <c r="U11" s="32">
        <v>99.431366523375161</v>
      </c>
      <c r="V11" s="32">
        <v>100.85421984104681</v>
      </c>
      <c r="W11" s="32">
        <v>47.412748799648128</v>
      </c>
      <c r="X11" s="32">
        <v>27.263642407897461</v>
      </c>
      <c r="Y11" s="32">
        <v>7.7056275237219047</v>
      </c>
      <c r="Z11" s="32">
        <v>5.2802313757259758E-2</v>
      </c>
      <c r="AA11" s="32"/>
      <c r="AB11" s="32">
        <v>0</v>
      </c>
      <c r="AC11" s="32">
        <v>2.0174003871289096E-2</v>
      </c>
      <c r="AD11" s="32">
        <v>0.59889452744007499</v>
      </c>
      <c r="AE11" s="32">
        <v>12.89388998114862</v>
      </c>
      <c r="AF11" s="32">
        <v>50.249175353177471</v>
      </c>
      <c r="AG11" s="32">
        <v>75.49608597123229</v>
      </c>
      <c r="AH11" s="32">
        <v>85.63466093270695</v>
      </c>
      <c r="AI11" s="32">
        <v>73.343427214165061</v>
      </c>
      <c r="AJ11" s="32">
        <v>37.949259687154026</v>
      </c>
      <c r="AK11" s="32">
        <v>17.909828113247357</v>
      </c>
      <c r="AL11" s="32">
        <v>3.8020712348482464</v>
      </c>
      <c r="AM11" s="26">
        <v>3.9020728825922529E-2</v>
      </c>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7"/>
      <c r="B12" s="7"/>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7"/>
  <dimension ref="A1:EA109"/>
  <sheetViews>
    <sheetView workbookViewId="0">
      <selection activeCell="A19" sqref="A19:EA109"/>
    </sheetView>
  </sheetViews>
  <sheetFormatPr defaultRowHeight="12.75"/>
  <cols>
    <col min="1" max="1" width="107.28515625" bestFit="1" customWidth="1"/>
    <col min="2" max="2" width="18.7109375" customWidth="1"/>
    <col min="3" max="3" width="18" customWidth="1"/>
    <col min="15" max="15" width="11.140625" customWidth="1"/>
    <col min="16" max="16" width="14.42578125" customWidth="1"/>
  </cols>
  <sheetData>
    <row r="1" spans="1:20">
      <c r="A1" s="1" t="s">
        <v>0</v>
      </c>
      <c r="B1" s="2"/>
      <c r="C1" s="2"/>
      <c r="D1" s="2"/>
      <c r="E1" s="2"/>
      <c r="F1" s="2"/>
      <c r="G1" s="2"/>
      <c r="H1" s="3"/>
      <c r="I1" s="4"/>
      <c r="J1" s="4"/>
      <c r="K1" s="4"/>
      <c r="L1" s="4"/>
      <c r="M1" s="4"/>
      <c r="N1" s="5"/>
      <c r="O1" s="6"/>
      <c r="P1" s="5"/>
    </row>
    <row r="2" spans="1:20">
      <c r="A2" s="8" t="s">
        <v>1</v>
      </c>
      <c r="B2" s="3"/>
      <c r="C2" s="3"/>
      <c r="D2" s="3"/>
      <c r="E2" s="3"/>
      <c r="F2" s="3"/>
      <c r="G2" s="3"/>
      <c r="H2" s="3"/>
      <c r="I2" s="4"/>
      <c r="J2" s="4"/>
      <c r="K2" s="4"/>
      <c r="L2" s="4"/>
      <c r="M2" s="4"/>
      <c r="N2" s="5"/>
      <c r="O2" s="5"/>
      <c r="P2" s="5"/>
    </row>
    <row r="3" spans="1:20">
      <c r="A3" s="8" t="s">
        <v>2</v>
      </c>
      <c r="B3" s="7">
        <v>2012</v>
      </c>
      <c r="C3" s="8"/>
      <c r="D3" s="7"/>
      <c r="E3" s="7"/>
      <c r="F3" s="7"/>
      <c r="G3" s="7"/>
      <c r="H3" s="7"/>
      <c r="I3" s="7"/>
      <c r="J3" s="9"/>
      <c r="K3" s="10"/>
      <c r="L3" s="7"/>
      <c r="M3" s="7"/>
      <c r="N3" s="7"/>
      <c r="O3" s="7"/>
      <c r="P3" s="7"/>
    </row>
    <row r="4" spans="1:20">
      <c r="A4" s="7"/>
      <c r="B4" s="7"/>
      <c r="C4" s="7"/>
      <c r="D4" s="7"/>
      <c r="E4" s="7"/>
      <c r="F4" s="7"/>
      <c r="G4" s="7"/>
      <c r="H4" s="7"/>
      <c r="I4" s="7"/>
      <c r="J4" s="7"/>
      <c r="K4" s="7"/>
      <c r="L4" s="7"/>
      <c r="M4" s="7"/>
      <c r="N4" s="7"/>
      <c r="O4" s="7"/>
      <c r="P4" s="7"/>
    </row>
    <row r="5" spans="1:20">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20">
      <c r="A6" s="12" t="s">
        <v>3</v>
      </c>
      <c r="B6" s="13"/>
      <c r="C6" s="13"/>
      <c r="D6" s="13"/>
      <c r="E6" s="13"/>
      <c r="F6" s="13"/>
      <c r="G6" s="14"/>
      <c r="H6" s="15"/>
      <c r="I6" s="289" t="s">
        <v>4</v>
      </c>
      <c r="J6" s="290"/>
      <c r="K6" s="290"/>
      <c r="L6" s="290"/>
      <c r="M6" s="290"/>
      <c r="N6" s="291"/>
      <c r="O6" s="292" t="s">
        <v>5</v>
      </c>
      <c r="P6" s="293"/>
      <c r="Q6" s="91" t="s">
        <v>120</v>
      </c>
      <c r="R6" s="294" t="s">
        <v>121</v>
      </c>
      <c r="S6" s="294"/>
      <c r="T6" s="294"/>
    </row>
    <row r="7" spans="1:20"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92" t="s">
        <v>122</v>
      </c>
      <c r="R7" s="93" t="s">
        <v>123</v>
      </c>
      <c r="S7" s="93" t="s">
        <v>124</v>
      </c>
      <c r="T7" s="93" t="s">
        <v>125</v>
      </c>
    </row>
    <row r="8" spans="1:20">
      <c r="A8" t="str">
        <f>CONCATENATE(Composite!A47," ",Composite!C47)</f>
        <v>Idaho Wells Green Motors Program Rewind vs. Standard Practice:  Motor size 150HP</v>
      </c>
      <c r="B8" t="str">
        <f>Composite!D47</f>
        <v>Green Motors Program Rewind vs. Standard Practice:  Motor size 150HP</v>
      </c>
      <c r="C8">
        <f>Composite!E47</f>
        <v>1375.738818122496</v>
      </c>
      <c r="D8">
        <f>Composite!F47</f>
        <v>20</v>
      </c>
      <c r="E8">
        <f>Composite!G47</f>
        <v>446.65133333333335</v>
      </c>
      <c r="F8">
        <f>Composite!H47</f>
        <v>0</v>
      </c>
      <c r="G8" t="str">
        <f>Composite!I47</f>
        <v>A-Irr-Irr-Irrigation-All-All-E</v>
      </c>
      <c r="H8">
        <f>Composite!J47</f>
        <v>0</v>
      </c>
      <c r="Q8" t="s">
        <v>126</v>
      </c>
    </row>
    <row r="9" spans="1:20">
      <c r="A9" t="str">
        <f>CONCATENATE(Composite!A48," ",Composite!C48)</f>
        <v>Montana Wells Green Motors Program Rewind vs. Standard Practice:  Motor size 50HP</v>
      </c>
      <c r="B9" t="str">
        <f>Composite!D48</f>
        <v>Green Motors Program Rewind vs. Standard Practice:  Motor size 50HP</v>
      </c>
      <c r="C9">
        <f>Composite!E48</f>
        <v>745.77064709480817</v>
      </c>
      <c r="D9">
        <f>Composite!F48</f>
        <v>17</v>
      </c>
      <c r="E9">
        <f>Composite!G48</f>
        <v>190.08733333333336</v>
      </c>
      <c r="F9">
        <f>Composite!H48</f>
        <v>0</v>
      </c>
      <c r="G9" t="str">
        <f>Composite!I48</f>
        <v>A-Irr-Irr-Irrigation-All-All-E</v>
      </c>
      <c r="H9">
        <f>Composite!J48</f>
        <v>0</v>
      </c>
      <c r="Q9" t="s">
        <v>126</v>
      </c>
    </row>
    <row r="10" spans="1:20">
      <c r="A10" t="str">
        <f>CONCATENATE(Composite!A49," ",Composite!C49)</f>
        <v>Oregon Wells Green Motors Program Rewind vs. Standard Practice:  Motor size 60HP</v>
      </c>
      <c r="B10" t="str">
        <f>Composite!D49</f>
        <v>Green Motors Program Rewind vs. Standard Practice:  Motor size 60HP</v>
      </c>
      <c r="C10">
        <f>Composite!E49</f>
        <v>801.85271513185091</v>
      </c>
      <c r="D10">
        <f>Composite!F49</f>
        <v>17</v>
      </c>
      <c r="E10">
        <f>Composite!G49</f>
        <v>208.77266666666668</v>
      </c>
      <c r="F10">
        <f>Composite!H49</f>
        <v>0</v>
      </c>
      <c r="G10" t="str">
        <f>Composite!I49</f>
        <v>A-Irr-Irr-Irrigation-All-All-E</v>
      </c>
      <c r="H10">
        <f>Composite!J49</f>
        <v>0</v>
      </c>
      <c r="Q10" t="s">
        <v>126</v>
      </c>
    </row>
    <row r="11" spans="1:20">
      <c r="A11" t="str">
        <f>CONCATENATE(Composite!A50," ",Composite!C50)</f>
        <v>Washington Wells Green Motors Program Rewind vs. Standard Practice:  Motor size 100HP</v>
      </c>
      <c r="B11" t="str">
        <f>Composite!D50</f>
        <v>Green Motors Program Rewind vs. Standard Practice:  Motor size 100HP</v>
      </c>
      <c r="C11">
        <f>Composite!E50</f>
        <v>1039.5442662823673</v>
      </c>
      <c r="D11">
        <f>Composite!F50</f>
        <v>20</v>
      </c>
      <c r="E11">
        <f>Composite!G50</f>
        <v>333.10200000000003</v>
      </c>
      <c r="F11">
        <f>Composite!H50</f>
        <v>0</v>
      </c>
      <c r="G11" t="str">
        <f>Composite!I50</f>
        <v>A-Irr-Irr-Irrigation-All-All-E</v>
      </c>
      <c r="H11">
        <f>Composite!J50</f>
        <v>0</v>
      </c>
      <c r="Q11" t="s">
        <v>126</v>
      </c>
    </row>
    <row r="12" spans="1:20">
      <c r="A12" t="str">
        <f>CONCATENATE(Composite!A51," ",Composite!C51)</f>
        <v>Idaho River Green Motors Program Rewind vs. Standard Practice:  Motor size 60HP</v>
      </c>
      <c r="B12" t="str">
        <f>Composite!D51</f>
        <v>Green Motors Program Rewind vs. Standard Practice:  Motor size 60HP</v>
      </c>
      <c r="C12">
        <f>Composite!E51</f>
        <v>801.85271513185091</v>
      </c>
      <c r="D12">
        <f>Composite!F51</f>
        <v>17</v>
      </c>
      <c r="E12">
        <f>Composite!G51</f>
        <v>208.77266666666668</v>
      </c>
      <c r="F12">
        <f>Composite!H51</f>
        <v>0</v>
      </c>
      <c r="G12" t="str">
        <f>Composite!I51</f>
        <v>A-Irr-Irr-Irrigation-All-All-E</v>
      </c>
      <c r="H12">
        <f>Composite!J51</f>
        <v>0</v>
      </c>
      <c r="Q12" t="s">
        <v>126</v>
      </c>
    </row>
    <row r="13" spans="1:20">
      <c r="A13" t="str">
        <f>CONCATENATE(Composite!A52," ",Composite!C52)</f>
        <v>Montana River Green Motors Program Rewind vs. Standard Practice:  Motor size 40HP</v>
      </c>
      <c r="B13" t="str">
        <f>Composite!D52</f>
        <v>Green Motors Program Rewind vs. Standard Practice:  Motor size 40HP</v>
      </c>
      <c r="C13">
        <f>Composite!E52</f>
        <v>765.28971916213288</v>
      </c>
      <c r="D13">
        <f>Composite!F52</f>
        <v>20</v>
      </c>
      <c r="E13">
        <f>Composite!G52</f>
        <v>255.12666666666667</v>
      </c>
      <c r="F13">
        <f>Composite!H52</f>
        <v>0</v>
      </c>
      <c r="G13" t="str">
        <f>Composite!I52</f>
        <v>A-Irr-Irr-Irrigation-All-All-E</v>
      </c>
      <c r="H13">
        <f>Composite!J52</f>
        <v>0</v>
      </c>
      <c r="Q13" t="s">
        <v>126</v>
      </c>
    </row>
    <row r="14" spans="1:20">
      <c r="A14" t="str">
        <f>CONCATENATE(Composite!A53," ",Composite!C53)</f>
        <v>Oregon River Green Motors Program Rewind vs. Standard Practice:  Motor size 50HP</v>
      </c>
      <c r="B14" t="str">
        <f>Composite!D53</f>
        <v>Green Motors Program Rewind vs. Standard Practice:  Motor size 50HP</v>
      </c>
      <c r="C14">
        <f>Composite!E53</f>
        <v>745.77064709480817</v>
      </c>
      <c r="D14">
        <f>Composite!F53</f>
        <v>17</v>
      </c>
      <c r="E14">
        <f>Composite!G53</f>
        <v>190.08733333333336</v>
      </c>
      <c r="F14">
        <f>Composite!H53</f>
        <v>0</v>
      </c>
      <c r="G14" t="str">
        <f>Composite!I53</f>
        <v>A-Irr-Irr-Irrigation-All-All-E</v>
      </c>
      <c r="H14">
        <f>Composite!J53</f>
        <v>0</v>
      </c>
      <c r="Q14" t="s">
        <v>126</v>
      </c>
    </row>
    <row r="15" spans="1:20">
      <c r="A15" t="str">
        <f>CONCATENATE(Composite!A54," ",Composite!C54)</f>
        <v>Washington River Green Motors Program Rewind vs. Standard Practice:  Motor size 75HP</v>
      </c>
      <c r="B15" t="str">
        <f>Composite!D54</f>
        <v>Green Motors Program Rewind vs. Standard Practice:  Motor size 75HP</v>
      </c>
      <c r="C15">
        <f>Composite!E54</f>
        <v>787.56249081075168</v>
      </c>
      <c r="D15">
        <f>Composite!F54</f>
        <v>20</v>
      </c>
      <c r="E15">
        <f>Composite!G54</f>
        <v>282.43600000000004</v>
      </c>
      <c r="F15">
        <f>Composite!H54</f>
        <v>0</v>
      </c>
      <c r="G15" t="str">
        <f>Composite!I54</f>
        <v>A-Irr-Irr-Irrigation-All-All-E</v>
      </c>
      <c r="H15">
        <f>Composite!J54</f>
        <v>0</v>
      </c>
      <c r="Q15" t="s">
        <v>126</v>
      </c>
    </row>
    <row r="16" spans="1:20">
      <c r="A16" t="str">
        <f>CONCATENATE(Composite!A55," ",Composite!C55)</f>
        <v xml:space="preserve"> </v>
      </c>
      <c r="B16" t="str">
        <f>CONCATENATE(Composite!B55," ",Composite!D55)</f>
        <v xml:space="preserve"> </v>
      </c>
      <c r="C16" t="str">
        <f>CONCATENATE(Composite!C55," ",Composite!E55)</f>
        <v xml:space="preserve"> </v>
      </c>
      <c r="D16" t="str">
        <f>CONCATENATE(Composite!D55," ",Composite!F55)</f>
        <v xml:space="preserve"> </v>
      </c>
      <c r="E16" t="str">
        <f>CONCATENATE(Composite!E55," ",Composite!G55)</f>
        <v xml:space="preserve"> </v>
      </c>
      <c r="F16" t="str">
        <f>CONCATENATE(Composite!F55," ",Composite!H55)</f>
        <v xml:space="preserve"> </v>
      </c>
      <c r="G16" t="str">
        <f>CONCATENATE(Composite!G55," ",Composite!I55)</f>
        <v xml:space="preserve"> </v>
      </c>
      <c r="H16" t="str">
        <f>CONCATENATE(Composite!H55," ",Composite!J55)</f>
        <v xml:space="preserve"> </v>
      </c>
      <c r="Q16" t="s">
        <v>126</v>
      </c>
    </row>
    <row r="19" spans="1:13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260" t="s">
        <v>340</v>
      </c>
      <c r="B20" s="261"/>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row r="21" spans="1:131">
      <c r="A21" s="7" t="s">
        <v>341</v>
      </c>
      <c r="B21" s="7" t="s">
        <v>342</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7" t="s">
        <v>343</v>
      </c>
      <c r="B22" s="7" t="s">
        <v>538</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ht="13.5" thickBot="1">
      <c r="A24" s="24" t="s">
        <v>344</v>
      </c>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5"/>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c r="B25" s="263" t="s">
        <v>345</v>
      </c>
      <c r="C25" s="264"/>
      <c r="D25" s="264" t="s">
        <v>345</v>
      </c>
      <c r="E25" s="265"/>
      <c r="F25" s="7"/>
      <c r="G25" s="263" t="s">
        <v>346</v>
      </c>
      <c r="H25" s="264"/>
      <c r="I25" s="264"/>
      <c r="J25" s="264"/>
      <c r="K25" s="264"/>
      <c r="L25" s="264"/>
      <c r="M25" s="264"/>
      <c r="N25" s="264"/>
      <c r="O25" s="265"/>
      <c r="P25" s="7"/>
      <c r="Q25" s="263" t="s">
        <v>347</v>
      </c>
      <c r="R25" s="264"/>
      <c r="S25" s="264"/>
      <c r="T25" s="264"/>
      <c r="U25" s="265"/>
      <c r="V25" s="7"/>
      <c r="W25" s="263" t="s">
        <v>348</v>
      </c>
      <c r="X25" s="265"/>
      <c r="Y25" s="7"/>
      <c r="Z25" s="263" t="s">
        <v>349</v>
      </c>
      <c r="AA25" s="264"/>
      <c r="AB25" s="265"/>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c r="A26" s="7"/>
      <c r="B26" s="266" t="s">
        <v>350</v>
      </c>
      <c r="C26" s="267" t="s">
        <v>351</v>
      </c>
      <c r="D26" s="267" t="s">
        <v>350</v>
      </c>
      <c r="E26" s="268" t="s">
        <v>351</v>
      </c>
      <c r="F26" s="7"/>
      <c r="G26" s="266" t="s">
        <v>352</v>
      </c>
      <c r="H26" s="267" t="s">
        <v>353</v>
      </c>
      <c r="I26" s="267"/>
      <c r="J26" s="267"/>
      <c r="K26" s="267" t="s">
        <v>354</v>
      </c>
      <c r="L26" s="267"/>
      <c r="M26" s="267"/>
      <c r="N26" s="267"/>
      <c r="O26" s="268"/>
      <c r="P26" s="7"/>
      <c r="Q26" s="266"/>
      <c r="R26" s="267" t="s">
        <v>355</v>
      </c>
      <c r="S26" s="267" t="s">
        <v>356</v>
      </c>
      <c r="T26" s="267" t="s">
        <v>357</v>
      </c>
      <c r="U26" s="268" t="s">
        <v>358</v>
      </c>
      <c r="V26" s="7"/>
      <c r="W26" s="266" t="s">
        <v>359</v>
      </c>
      <c r="X26" s="268">
        <v>20</v>
      </c>
      <c r="Y26" s="7"/>
      <c r="Z26" s="266"/>
      <c r="AA26" s="267" t="s">
        <v>351</v>
      </c>
      <c r="AB26" s="268" t="s">
        <v>360</v>
      </c>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c r="B27" s="266" t="s">
        <v>361</v>
      </c>
      <c r="C27" s="267" t="s">
        <v>362</v>
      </c>
      <c r="D27" s="267" t="s">
        <v>361</v>
      </c>
      <c r="E27" s="268" t="s">
        <v>362</v>
      </c>
      <c r="F27" s="7"/>
      <c r="G27" s="266" t="s">
        <v>363</v>
      </c>
      <c r="H27" s="267" t="s">
        <v>364</v>
      </c>
      <c r="I27" s="267"/>
      <c r="J27" s="267"/>
      <c r="K27" s="267" t="s">
        <v>365</v>
      </c>
      <c r="L27" s="267"/>
      <c r="M27" s="267"/>
      <c r="N27" s="267"/>
      <c r="O27" s="268"/>
      <c r="P27" s="7"/>
      <c r="Q27" s="266" t="s">
        <v>366</v>
      </c>
      <c r="R27" s="267">
        <v>6.7943795888335753E-2</v>
      </c>
      <c r="S27" s="267">
        <v>4.387844424080023E-2</v>
      </c>
      <c r="T27" s="267">
        <v>5.3289007766645871E-2</v>
      </c>
      <c r="U27" s="268">
        <v>5.447903102274565E-2</v>
      </c>
      <c r="V27" s="7"/>
      <c r="W27" s="266" t="s">
        <v>367</v>
      </c>
      <c r="X27" s="268">
        <v>2016</v>
      </c>
      <c r="Y27" s="7"/>
      <c r="Z27" s="266" t="s">
        <v>368</v>
      </c>
      <c r="AA27" s="267">
        <v>4.03890184699085E-3</v>
      </c>
      <c r="AB27" s="268">
        <v>0.01</v>
      </c>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c r="B28" s="266" t="s">
        <v>369</v>
      </c>
      <c r="C28" s="267" t="s">
        <v>370</v>
      </c>
      <c r="D28" s="267" t="s">
        <v>369</v>
      </c>
      <c r="E28" s="268" t="s">
        <v>370</v>
      </c>
      <c r="F28" s="7"/>
      <c r="G28" s="266" t="s">
        <v>371</v>
      </c>
      <c r="H28" s="267" t="s">
        <v>372</v>
      </c>
      <c r="I28" s="267"/>
      <c r="J28" s="267"/>
      <c r="K28" s="267" t="s">
        <v>373</v>
      </c>
      <c r="L28" s="267"/>
      <c r="M28" s="267"/>
      <c r="N28" s="267"/>
      <c r="O28" s="268"/>
      <c r="P28" s="7"/>
      <c r="Q28" s="266" t="s">
        <v>374</v>
      </c>
      <c r="R28" s="267">
        <v>12</v>
      </c>
      <c r="S28" s="267">
        <v>12</v>
      </c>
      <c r="T28" s="267">
        <v>1</v>
      </c>
      <c r="U28" s="268">
        <v>1</v>
      </c>
      <c r="V28" s="7"/>
      <c r="W28" s="266" t="s">
        <v>375</v>
      </c>
      <c r="X28" s="268">
        <v>2016</v>
      </c>
      <c r="Y28" s="7"/>
      <c r="Z28" s="266" t="s">
        <v>376</v>
      </c>
      <c r="AA28" s="267">
        <v>26</v>
      </c>
      <c r="AB28" s="268">
        <v>0</v>
      </c>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ht="13.5" thickBot="1">
      <c r="A29" s="7"/>
      <c r="B29" s="269" t="s">
        <v>377</v>
      </c>
      <c r="C29" s="270" t="s">
        <v>370</v>
      </c>
      <c r="D29" s="270" t="s">
        <v>377</v>
      </c>
      <c r="E29" s="271" t="s">
        <v>370</v>
      </c>
      <c r="F29" s="7"/>
      <c r="G29" s="266" t="s">
        <v>378</v>
      </c>
      <c r="H29" s="267" t="s">
        <v>379</v>
      </c>
      <c r="I29" s="267"/>
      <c r="J29" s="267"/>
      <c r="K29" s="267" t="s">
        <v>365</v>
      </c>
      <c r="L29" s="267"/>
      <c r="M29" s="267"/>
      <c r="N29" s="267"/>
      <c r="O29" s="268"/>
      <c r="P29" s="7"/>
      <c r="Q29" s="266"/>
      <c r="R29" s="267" t="s">
        <v>355</v>
      </c>
      <c r="S29" s="267" t="s">
        <v>356</v>
      </c>
      <c r="T29" s="267" t="s">
        <v>357</v>
      </c>
      <c r="U29" s="268" t="s">
        <v>358</v>
      </c>
      <c r="V29" s="7"/>
      <c r="W29" s="266" t="s">
        <v>380</v>
      </c>
      <c r="X29" s="268">
        <v>2012</v>
      </c>
      <c r="Y29" s="7"/>
      <c r="Z29" s="266" t="s">
        <v>381</v>
      </c>
      <c r="AA29" s="267">
        <v>0.9</v>
      </c>
      <c r="AB29" s="268" t="s">
        <v>382</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7"/>
      <c r="C30" s="7"/>
      <c r="D30" s="7"/>
      <c r="E30" s="7"/>
      <c r="F30" s="7"/>
      <c r="G30" s="266" t="s">
        <v>383</v>
      </c>
      <c r="H30" s="267" t="s">
        <v>372</v>
      </c>
      <c r="I30" s="267"/>
      <c r="J30" s="267"/>
      <c r="K30" s="267"/>
      <c r="L30" s="267"/>
      <c r="M30" s="267"/>
      <c r="N30" s="267"/>
      <c r="O30" s="268"/>
      <c r="P30" s="7"/>
      <c r="Q30" s="266" t="s">
        <v>384</v>
      </c>
      <c r="R30" s="267">
        <v>0.35</v>
      </c>
      <c r="S30" s="267">
        <v>0.19500000000000001</v>
      </c>
      <c r="T30" s="267">
        <v>4.8749999999999988E-2</v>
      </c>
      <c r="U30" s="268">
        <v>0.40625</v>
      </c>
      <c r="V30" s="7"/>
      <c r="W30" s="266" t="s">
        <v>385</v>
      </c>
      <c r="X30" s="268">
        <v>0.04</v>
      </c>
      <c r="Y30" s="7"/>
      <c r="Z30" s="266" t="s">
        <v>386</v>
      </c>
      <c r="AA30" s="267">
        <v>4.7399348199455904E-2</v>
      </c>
      <c r="AB30" s="268">
        <v>0</v>
      </c>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c r="A31" s="7"/>
      <c r="B31" s="7" t="s">
        <v>387</v>
      </c>
      <c r="C31" s="7" t="s">
        <v>351</v>
      </c>
      <c r="D31" s="7"/>
      <c r="E31" s="7"/>
      <c r="F31" s="7"/>
      <c r="G31" s="266" t="s">
        <v>388</v>
      </c>
      <c r="H31" s="267" t="s">
        <v>389</v>
      </c>
      <c r="I31" s="267"/>
      <c r="J31" s="267"/>
      <c r="K31" s="267" t="s">
        <v>390</v>
      </c>
      <c r="L31" s="267"/>
      <c r="M31" s="267"/>
      <c r="N31" s="267"/>
      <c r="O31" s="268"/>
      <c r="P31" s="7"/>
      <c r="Q31" s="266" t="s">
        <v>391</v>
      </c>
      <c r="R31" s="267">
        <v>1</v>
      </c>
      <c r="S31" s="267">
        <v>0</v>
      </c>
      <c r="T31" s="267">
        <v>0</v>
      </c>
      <c r="U31" s="268">
        <v>0</v>
      </c>
      <c r="V31" s="7"/>
      <c r="W31" s="266" t="s">
        <v>392</v>
      </c>
      <c r="X31" s="268">
        <v>0</v>
      </c>
      <c r="Y31" s="7"/>
      <c r="Z31" s="266" t="s">
        <v>393</v>
      </c>
      <c r="AA31" s="267">
        <v>31</v>
      </c>
      <c r="AB31" s="268">
        <v>0</v>
      </c>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t="s">
        <v>394</v>
      </c>
      <c r="C32" s="7" t="s">
        <v>395</v>
      </c>
      <c r="D32" s="7"/>
      <c r="E32" s="7"/>
      <c r="F32" s="7"/>
      <c r="G32" s="266" t="s">
        <v>396</v>
      </c>
      <c r="H32" s="267" t="s">
        <v>390</v>
      </c>
      <c r="I32" s="267"/>
      <c r="J32" s="267"/>
      <c r="K32" s="267" t="s">
        <v>397</v>
      </c>
      <c r="L32" s="267"/>
      <c r="M32" s="267"/>
      <c r="N32" s="267"/>
      <c r="O32" s="268"/>
      <c r="P32" s="7"/>
      <c r="Q32" s="266" t="s">
        <v>398</v>
      </c>
      <c r="R32" s="267">
        <v>1</v>
      </c>
      <c r="S32" s="267">
        <v>0</v>
      </c>
      <c r="T32" s="267">
        <v>0</v>
      </c>
      <c r="U32" s="268">
        <v>0</v>
      </c>
      <c r="V32" s="7"/>
      <c r="W32" s="266" t="s">
        <v>399</v>
      </c>
      <c r="X32" s="268">
        <v>0.2</v>
      </c>
      <c r="Y32" s="7"/>
      <c r="Z32" s="266" t="s">
        <v>400</v>
      </c>
      <c r="AA32" s="267">
        <v>0.7</v>
      </c>
      <c r="AB32" s="268" t="s">
        <v>382</v>
      </c>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7" t="s">
        <v>401</v>
      </c>
      <c r="C33" s="7" t="s">
        <v>402</v>
      </c>
      <c r="D33" s="7"/>
      <c r="E33" s="7"/>
      <c r="F33" s="7"/>
      <c r="G33" s="266" t="s">
        <v>403</v>
      </c>
      <c r="H33" s="267" t="s">
        <v>397</v>
      </c>
      <c r="I33" s="267"/>
      <c r="J33" s="267"/>
      <c r="K33" s="267" t="s">
        <v>404</v>
      </c>
      <c r="L33" s="267"/>
      <c r="M33" s="267"/>
      <c r="N33" s="267"/>
      <c r="O33" s="268"/>
      <c r="P33" s="7"/>
      <c r="Q33" s="266" t="s">
        <v>405</v>
      </c>
      <c r="R33" s="267"/>
      <c r="S33" s="267">
        <v>0.3</v>
      </c>
      <c r="T33" s="267">
        <v>7.4999999999999983E-2</v>
      </c>
      <c r="U33" s="268">
        <v>0.625</v>
      </c>
      <c r="V33" s="7"/>
      <c r="W33" s="266" t="s">
        <v>406</v>
      </c>
      <c r="X33" s="268">
        <v>0.1</v>
      </c>
      <c r="Y33" s="7"/>
      <c r="Z33" s="266" t="s">
        <v>407</v>
      </c>
      <c r="AA33" s="267">
        <v>0</v>
      </c>
      <c r="AB33" s="268">
        <v>0</v>
      </c>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ht="13.5" thickBot="1">
      <c r="A34" s="7"/>
      <c r="B34" s="7" t="s">
        <v>408</v>
      </c>
      <c r="C34" s="7" t="s">
        <v>409</v>
      </c>
      <c r="D34" s="7"/>
      <c r="E34" s="7"/>
      <c r="F34" s="7"/>
      <c r="G34" s="269" t="s">
        <v>410</v>
      </c>
      <c r="H34" s="270" t="s">
        <v>404</v>
      </c>
      <c r="I34" s="270"/>
      <c r="J34" s="270"/>
      <c r="K34" s="270"/>
      <c r="L34" s="270"/>
      <c r="M34" s="270"/>
      <c r="N34" s="270"/>
      <c r="O34" s="271"/>
      <c r="P34" s="7"/>
      <c r="Q34" s="269" t="s">
        <v>411</v>
      </c>
      <c r="R34" s="270"/>
      <c r="S34" s="270">
        <v>20</v>
      </c>
      <c r="T34" s="270"/>
      <c r="U34" s="271"/>
      <c r="V34" s="7"/>
      <c r="W34" s="269" t="s">
        <v>412</v>
      </c>
      <c r="X34" s="271">
        <v>2018</v>
      </c>
      <c r="Y34" s="7"/>
      <c r="Z34" s="269" t="s">
        <v>413</v>
      </c>
      <c r="AA34" s="270">
        <v>0</v>
      </c>
      <c r="AB34" s="271">
        <v>0</v>
      </c>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ht="13.5" thickBot="1">
      <c r="A42" s="24" t="s">
        <v>414</v>
      </c>
      <c r="B42" s="25"/>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ht="26.25" thickBot="1">
      <c r="A43" s="272" t="s">
        <v>415</v>
      </c>
      <c r="B43" s="273"/>
      <c r="C43" s="274" t="s">
        <v>416</v>
      </c>
      <c r="D43" s="275"/>
      <c r="E43" s="275"/>
      <c r="F43" s="275"/>
      <c r="G43" s="275"/>
      <c r="H43" s="275"/>
      <c r="I43" s="275"/>
      <c r="J43" s="275"/>
      <c r="K43" s="276"/>
      <c r="L43" s="274" t="s">
        <v>417</v>
      </c>
      <c r="M43" s="275"/>
      <c r="N43" s="275"/>
      <c r="O43" s="275"/>
      <c r="P43" s="275"/>
      <c r="Q43" s="276"/>
      <c r="R43" s="274" t="s">
        <v>418</v>
      </c>
      <c r="S43" s="275"/>
      <c r="T43" s="275"/>
      <c r="U43" s="276"/>
      <c r="V43" s="274" t="s">
        <v>419</v>
      </c>
      <c r="W43" s="275"/>
      <c r="X43" s="275"/>
      <c r="Y43" s="276"/>
      <c r="Z43" s="274" t="s">
        <v>420</v>
      </c>
      <c r="AA43" s="275"/>
      <c r="AB43" s="275"/>
      <c r="AC43" s="276"/>
      <c r="AD43" s="274" t="s">
        <v>421</v>
      </c>
      <c r="AE43" s="275"/>
      <c r="AF43" s="275"/>
      <c r="AG43" s="276"/>
      <c r="AH43" s="274" t="s">
        <v>422</v>
      </c>
      <c r="AI43" s="275"/>
      <c r="AJ43" s="275"/>
      <c r="AK43" s="275"/>
      <c r="AL43" s="276"/>
      <c r="AM43" s="274" t="s">
        <v>423</v>
      </c>
      <c r="AN43" s="275"/>
      <c r="AO43" s="275"/>
      <c r="AP43" s="275"/>
      <c r="AQ43" s="275"/>
      <c r="AR43" s="275"/>
      <c r="AS43" s="276"/>
      <c r="AT43" s="274" t="s">
        <v>424</v>
      </c>
      <c r="AU43" s="275"/>
      <c r="AV43" s="275"/>
      <c r="AW43" s="275"/>
      <c r="AX43" s="275"/>
      <c r="AY43" s="275"/>
      <c r="AZ43" s="276"/>
      <c r="BA43" s="274" t="s">
        <v>425</v>
      </c>
      <c r="BB43" s="275"/>
      <c r="BC43" s="275"/>
      <c r="BD43" s="275"/>
      <c r="BE43" s="275"/>
      <c r="BF43" s="276"/>
      <c r="BG43" s="274" t="s">
        <v>426</v>
      </c>
      <c r="BH43" s="276"/>
      <c r="BI43" s="274" t="s">
        <v>427</v>
      </c>
      <c r="BJ43" s="275"/>
      <c r="BK43" s="275"/>
      <c r="BL43" s="275"/>
      <c r="BM43" s="276"/>
      <c r="BN43" s="274" t="s">
        <v>428</v>
      </c>
      <c r="BO43" s="275"/>
      <c r="BP43" s="275"/>
      <c r="BQ43" s="275"/>
      <c r="BR43" s="275"/>
      <c r="BS43" s="275"/>
      <c r="BT43" s="275"/>
      <c r="BU43" s="275"/>
      <c r="BV43" s="275"/>
      <c r="BW43" s="275"/>
      <c r="BX43" s="275"/>
      <c r="BY43" s="275"/>
      <c r="BZ43" s="275"/>
      <c r="CA43" s="275"/>
      <c r="CB43" s="275"/>
      <c r="CC43" s="276"/>
      <c r="CD43" s="274" t="s">
        <v>429</v>
      </c>
      <c r="CE43" s="276"/>
      <c r="CF43" s="274" t="s">
        <v>430</v>
      </c>
      <c r="CG43" s="275"/>
      <c r="CH43" s="275"/>
      <c r="CI43" s="275"/>
      <c r="CJ43" s="275"/>
      <c r="CK43" s="276"/>
      <c r="CL43" s="277"/>
      <c r="CM43" s="274" t="s">
        <v>5</v>
      </c>
      <c r="CN43" s="275"/>
      <c r="CO43" s="275"/>
      <c r="CP43" s="276"/>
      <c r="CQ43" s="274" t="s">
        <v>431</v>
      </c>
      <c r="CR43" s="275"/>
      <c r="CS43" s="275"/>
      <c r="CT43" s="275"/>
      <c r="CU43" s="276"/>
      <c r="CV43" s="274" t="s">
        <v>432</v>
      </c>
      <c r="CW43" s="276"/>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ht="204">
      <c r="A44" s="27" t="s">
        <v>138</v>
      </c>
      <c r="B44" s="28" t="s">
        <v>139</v>
      </c>
      <c r="C44" s="29" t="s">
        <v>117</v>
      </c>
      <c r="D44" s="29" t="s">
        <v>433</v>
      </c>
      <c r="E44" s="29" t="s">
        <v>434</v>
      </c>
      <c r="F44" s="29" t="s">
        <v>435</v>
      </c>
      <c r="G44" s="29" t="s">
        <v>436</v>
      </c>
      <c r="H44" s="29" t="s">
        <v>437</v>
      </c>
      <c r="I44" s="29" t="s">
        <v>438</v>
      </c>
      <c r="J44" s="29" t="s">
        <v>439</v>
      </c>
      <c r="K44" s="29" t="s">
        <v>440</v>
      </c>
      <c r="L44" s="29" t="s">
        <v>441</v>
      </c>
      <c r="M44" s="29" t="s">
        <v>442</v>
      </c>
      <c r="N44" s="29" t="s">
        <v>443</v>
      </c>
      <c r="O44" s="29" t="s">
        <v>444</v>
      </c>
      <c r="P44" s="29" t="s">
        <v>445</v>
      </c>
      <c r="Q44" s="29" t="s">
        <v>446</v>
      </c>
      <c r="R44" s="29" t="s">
        <v>447</v>
      </c>
      <c r="S44" s="29" t="s">
        <v>448</v>
      </c>
      <c r="T44" s="29" t="s">
        <v>449</v>
      </c>
      <c r="U44" s="29" t="s">
        <v>355</v>
      </c>
      <c r="V44" s="29" t="s">
        <v>447</v>
      </c>
      <c r="W44" s="29" t="s">
        <v>448</v>
      </c>
      <c r="X44" s="29" t="s">
        <v>449</v>
      </c>
      <c r="Y44" s="29" t="s">
        <v>355</v>
      </c>
      <c r="Z44" s="29" t="s">
        <v>447</v>
      </c>
      <c r="AA44" s="29" t="s">
        <v>448</v>
      </c>
      <c r="AB44" s="29" t="s">
        <v>449</v>
      </c>
      <c r="AC44" s="29" t="s">
        <v>355</v>
      </c>
      <c r="AD44" s="29" t="s">
        <v>447</v>
      </c>
      <c r="AE44" s="29" t="s">
        <v>448</v>
      </c>
      <c r="AF44" s="29" t="s">
        <v>449</v>
      </c>
      <c r="AG44" s="29" t="s">
        <v>355</v>
      </c>
      <c r="AH44" s="29" t="s">
        <v>447</v>
      </c>
      <c r="AI44" s="29" t="s">
        <v>448</v>
      </c>
      <c r="AJ44" s="29" t="s">
        <v>449</v>
      </c>
      <c r="AK44" s="29" t="s">
        <v>355</v>
      </c>
      <c r="AL44" s="29" t="s">
        <v>450</v>
      </c>
      <c r="AM44" s="29" t="s">
        <v>451</v>
      </c>
      <c r="AN44" s="29" t="s">
        <v>452</v>
      </c>
      <c r="AO44" s="29" t="s">
        <v>453</v>
      </c>
      <c r="AP44" s="29" t="s">
        <v>454</v>
      </c>
      <c r="AQ44" s="29" t="s">
        <v>455</v>
      </c>
      <c r="AR44" s="29" t="s">
        <v>456</v>
      </c>
      <c r="AS44" s="29" t="s">
        <v>457</v>
      </c>
      <c r="AT44" s="29" t="s">
        <v>458</v>
      </c>
      <c r="AU44" s="29" t="s">
        <v>459</v>
      </c>
      <c r="AV44" s="29" t="s">
        <v>460</v>
      </c>
      <c r="AW44" s="29" t="s">
        <v>461</v>
      </c>
      <c r="AX44" s="29" t="s">
        <v>462</v>
      </c>
      <c r="AY44" s="29" t="s">
        <v>463</v>
      </c>
      <c r="AZ44" s="29" t="s">
        <v>464</v>
      </c>
      <c r="BA44" s="29" t="s">
        <v>465</v>
      </c>
      <c r="BB44" s="29" t="s">
        <v>466</v>
      </c>
      <c r="BC44" s="29" t="s">
        <v>467</v>
      </c>
      <c r="BD44" s="29" t="s">
        <v>468</v>
      </c>
      <c r="BE44" s="29" t="s">
        <v>469</v>
      </c>
      <c r="BF44" s="29" t="s">
        <v>470</v>
      </c>
      <c r="BG44" s="29" t="s">
        <v>471</v>
      </c>
      <c r="BH44" s="29" t="s">
        <v>472</v>
      </c>
      <c r="BI44" s="29" t="s">
        <v>473</v>
      </c>
      <c r="BJ44" s="29" t="s">
        <v>474</v>
      </c>
      <c r="BK44" s="29" t="s">
        <v>475</v>
      </c>
      <c r="BL44" s="29" t="s">
        <v>476</v>
      </c>
      <c r="BM44" s="29" t="s">
        <v>477</v>
      </c>
      <c r="BN44" s="29" t="s">
        <v>478</v>
      </c>
      <c r="BO44" s="29" t="s">
        <v>479</v>
      </c>
      <c r="BP44" s="29" t="s">
        <v>480</v>
      </c>
      <c r="BQ44" s="29" t="s">
        <v>481</v>
      </c>
      <c r="BR44" s="29" t="s">
        <v>482</v>
      </c>
      <c r="BS44" s="29" t="s">
        <v>483</v>
      </c>
      <c r="BT44" s="29" t="s">
        <v>484</v>
      </c>
      <c r="BU44" s="29" t="s">
        <v>485</v>
      </c>
      <c r="BV44" s="29" t="s">
        <v>486</v>
      </c>
      <c r="BW44" s="29" t="s">
        <v>487</v>
      </c>
      <c r="BX44" s="29" t="s">
        <v>488</v>
      </c>
      <c r="BY44" s="29" t="s">
        <v>489</v>
      </c>
      <c r="BZ44" s="29" t="s">
        <v>490</v>
      </c>
      <c r="CA44" s="29" t="s">
        <v>491</v>
      </c>
      <c r="CB44" s="29" t="s">
        <v>492</v>
      </c>
      <c r="CC44" s="29" t="s">
        <v>493</v>
      </c>
      <c r="CD44" s="29" t="s">
        <v>140</v>
      </c>
      <c r="CE44" s="29" t="s">
        <v>21</v>
      </c>
      <c r="CF44" s="29" t="s">
        <v>494</v>
      </c>
      <c r="CG44" s="29" t="s">
        <v>495</v>
      </c>
      <c r="CH44" s="29" t="s">
        <v>496</v>
      </c>
      <c r="CI44" s="29" t="s">
        <v>497</v>
      </c>
      <c r="CJ44" s="29" t="s">
        <v>498</v>
      </c>
      <c r="CK44" s="29" t="s">
        <v>499</v>
      </c>
      <c r="CL44" s="29"/>
      <c r="CM44" s="29" t="s">
        <v>500</v>
      </c>
      <c r="CN44" s="29" t="s">
        <v>501</v>
      </c>
      <c r="CO44" s="29" t="s">
        <v>502</v>
      </c>
      <c r="CP44" s="29" t="s">
        <v>503</v>
      </c>
      <c r="CQ44" s="29" t="s">
        <v>504</v>
      </c>
      <c r="CR44" s="29" t="s">
        <v>505</v>
      </c>
      <c r="CS44" s="29" t="s">
        <v>506</v>
      </c>
      <c r="CT44" s="29" t="s">
        <v>507</v>
      </c>
      <c r="CU44" s="29" t="s">
        <v>508</v>
      </c>
      <c r="CV44" s="29" t="s">
        <v>509</v>
      </c>
      <c r="CW44" s="278" t="s">
        <v>510</v>
      </c>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t="s">
        <v>313</v>
      </c>
      <c r="B45" s="7" t="s">
        <v>511</v>
      </c>
      <c r="C45" s="26">
        <v>20</v>
      </c>
      <c r="D45" s="26">
        <v>1375.738818122496</v>
      </c>
      <c r="E45" s="26">
        <v>0</v>
      </c>
      <c r="F45" s="26">
        <v>446.65133333333335</v>
      </c>
      <c r="G45" s="26">
        <v>0</v>
      </c>
      <c r="H45" s="26">
        <v>0</v>
      </c>
      <c r="I45" s="26" t="s">
        <v>137</v>
      </c>
      <c r="J45" s="26"/>
      <c r="K45" s="26"/>
      <c r="L45" s="26">
        <v>1470.9620152427756</v>
      </c>
      <c r="M45" s="26">
        <v>3.9125029310240079E-3</v>
      </c>
      <c r="N45" s="26">
        <v>3.8842642394046902E-3</v>
      </c>
      <c r="O45" s="26">
        <v>0</v>
      </c>
      <c r="P45" s="26">
        <v>0</v>
      </c>
      <c r="Q45" s="26">
        <v>0</v>
      </c>
      <c r="R45" s="26">
        <v>89.06824245947324</v>
      </c>
      <c r="S45" s="26">
        <v>22.052481548639815</v>
      </c>
      <c r="T45" s="26">
        <v>183.97830671029342</v>
      </c>
      <c r="U45" s="26">
        <v>182.69805233377087</v>
      </c>
      <c r="V45" s="26" t="s">
        <v>512</v>
      </c>
      <c r="W45" s="26" t="s">
        <v>512</v>
      </c>
      <c r="X45" s="26" t="s">
        <v>512</v>
      </c>
      <c r="Y45" s="26" t="s">
        <v>512</v>
      </c>
      <c r="Z45" s="26">
        <v>0</v>
      </c>
      <c r="AA45" s="26">
        <v>0</v>
      </c>
      <c r="AB45" s="26">
        <v>0</v>
      </c>
      <c r="AC45" s="26">
        <v>0</v>
      </c>
      <c r="AD45" s="26">
        <v>0</v>
      </c>
      <c r="AE45" s="26">
        <v>0</v>
      </c>
      <c r="AF45" s="26">
        <v>0</v>
      </c>
      <c r="AG45" s="26">
        <v>0</v>
      </c>
      <c r="AH45" s="26">
        <v>89.06824245947324</v>
      </c>
      <c r="AI45" s="26">
        <v>22.052481548639815</v>
      </c>
      <c r="AJ45" s="26">
        <v>183.97830671029342</v>
      </c>
      <c r="AK45" s="26">
        <v>182.69805233377087</v>
      </c>
      <c r="AL45" s="26">
        <v>477.79708305217736</v>
      </c>
      <c r="AM45" s="26">
        <v>707.50908321967825</v>
      </c>
      <c r="AN45" s="26">
        <v>1.3824769831147299</v>
      </c>
      <c r="AO45" s="26">
        <v>70.889156020279302</v>
      </c>
      <c r="AP45" s="26">
        <v>0</v>
      </c>
      <c r="AQ45" s="26">
        <v>779.78071622307232</v>
      </c>
      <c r="AR45" s="26">
        <v>89.06824245947324</v>
      </c>
      <c r="AS45" s="30">
        <v>8.7548681178690462</v>
      </c>
      <c r="AT45" s="26">
        <v>707.50908321967825</v>
      </c>
      <c r="AU45" s="26">
        <v>1.6364409773315205</v>
      </c>
      <c r="AV45" s="26">
        <v>70.914552419700982</v>
      </c>
      <c r="AW45" s="26">
        <v>0</v>
      </c>
      <c r="AX45" s="26">
        <v>780.06007661671072</v>
      </c>
      <c r="AY45" s="26">
        <v>22.052481548639815</v>
      </c>
      <c r="AZ45" s="30">
        <v>35.372893290770008</v>
      </c>
      <c r="BA45" s="26">
        <v>707.50908321967825</v>
      </c>
      <c r="BB45" s="26">
        <v>3.0189179604462506</v>
      </c>
      <c r="BC45" s="26">
        <v>71.052800118012456</v>
      </c>
      <c r="BD45" s="26">
        <v>0</v>
      </c>
      <c r="BE45" s="26">
        <v>781.58080129813698</v>
      </c>
      <c r="BF45" s="26">
        <v>111.12072400811306</v>
      </c>
      <c r="BG45" s="26">
        <v>1.8532978254980816</v>
      </c>
      <c r="BH45" s="30">
        <v>7.0336186906150182</v>
      </c>
      <c r="BI45" s="26">
        <v>4.4554496383654509</v>
      </c>
      <c r="BJ45" s="26">
        <v>1.1031285475926422</v>
      </c>
      <c r="BK45" s="26">
        <v>9.2031240031758514</v>
      </c>
      <c r="BL45" s="26">
        <v>9.1390819973903596</v>
      </c>
      <c r="BM45" s="26">
        <v>23.900784186524305</v>
      </c>
      <c r="BN45" s="26">
        <v>707.50908321967825</v>
      </c>
      <c r="BO45" s="26">
        <v>0</v>
      </c>
      <c r="BP45" s="26">
        <v>3.0189179604462506</v>
      </c>
      <c r="BQ45" s="26">
        <v>0</v>
      </c>
      <c r="BR45" s="26">
        <v>0</v>
      </c>
      <c r="BS45" s="26">
        <v>0</v>
      </c>
      <c r="BT45" s="26">
        <v>0</v>
      </c>
      <c r="BU45" s="26">
        <v>0</v>
      </c>
      <c r="BV45" s="26">
        <v>0</v>
      </c>
      <c r="BW45" s="26">
        <v>71.052800118012456</v>
      </c>
      <c r="BX45" s="26">
        <v>477.79708305217736</v>
      </c>
      <c r="BY45" s="26"/>
      <c r="BZ45" s="26">
        <v>0</v>
      </c>
      <c r="CA45" s="26">
        <v>0</v>
      </c>
      <c r="CB45" s="26">
        <v>781.58080129813698</v>
      </c>
      <c r="CC45" s="26">
        <v>477.79708305217736</v>
      </c>
      <c r="CD45" s="30">
        <v>1.6358006966166121</v>
      </c>
      <c r="CE45" s="26">
        <v>20.195503826064297</v>
      </c>
      <c r="CF45" s="26">
        <v>13.974328047024326</v>
      </c>
      <c r="CG45" s="26">
        <v>0</v>
      </c>
      <c r="CH45" s="26">
        <v>13.974328047024326</v>
      </c>
      <c r="CI45" s="26">
        <v>0.69870695724031839</v>
      </c>
      <c r="CJ45" s="26">
        <v>0</v>
      </c>
      <c r="CK45" s="26">
        <v>0.69870695724031839</v>
      </c>
      <c r="CL45" s="26"/>
      <c r="CM45" s="26">
        <v>0</v>
      </c>
      <c r="CN45" s="26"/>
      <c r="CO45" s="26">
        <v>0</v>
      </c>
      <c r="CP45" s="26">
        <v>0</v>
      </c>
      <c r="CQ45" s="26">
        <v>0</v>
      </c>
      <c r="CR45" s="26">
        <v>0</v>
      </c>
      <c r="CS45" s="26">
        <v>0</v>
      </c>
      <c r="CT45" s="26">
        <v>0</v>
      </c>
      <c r="CU45" s="26">
        <v>183.97830671029342</v>
      </c>
      <c r="CV45" s="26">
        <v>9999</v>
      </c>
      <c r="CW45" s="94">
        <v>0</v>
      </c>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c r="A46" s="7" t="s">
        <v>314</v>
      </c>
      <c r="B46" s="7" t="s">
        <v>513</v>
      </c>
      <c r="C46" s="26">
        <v>17</v>
      </c>
      <c r="D46" s="26">
        <v>745.77064709480817</v>
      </c>
      <c r="E46" s="26">
        <v>0</v>
      </c>
      <c r="F46" s="26">
        <v>190.08733333333336</v>
      </c>
      <c r="G46" s="26">
        <v>0</v>
      </c>
      <c r="H46" s="26">
        <v>0</v>
      </c>
      <c r="I46" s="26" t="s">
        <v>137</v>
      </c>
      <c r="J46" s="26"/>
      <c r="K46" s="26"/>
      <c r="L46" s="26">
        <v>797.38994023341627</v>
      </c>
      <c r="M46" s="26">
        <v>2.1209184506490418E-3</v>
      </c>
      <c r="N46" s="26">
        <v>2.1056106123845154E-3</v>
      </c>
      <c r="O46" s="26">
        <v>0</v>
      </c>
      <c r="P46" s="26">
        <v>0</v>
      </c>
      <c r="Q46" s="26">
        <v>0</v>
      </c>
      <c r="R46" s="26">
        <v>37.905953548721925</v>
      </c>
      <c r="S46" s="26">
        <v>9.385167127297235</v>
      </c>
      <c r="T46" s="26">
        <v>78.298088696496563</v>
      </c>
      <c r="U46" s="26">
        <v>103.76829744470768</v>
      </c>
      <c r="V46" s="26" t="s">
        <v>512</v>
      </c>
      <c r="W46" s="26" t="s">
        <v>512</v>
      </c>
      <c r="X46" s="26" t="s">
        <v>512</v>
      </c>
      <c r="Y46" s="26" t="s">
        <v>512</v>
      </c>
      <c r="Z46" s="26">
        <v>0</v>
      </c>
      <c r="AA46" s="26">
        <v>0</v>
      </c>
      <c r="AB46" s="26">
        <v>0</v>
      </c>
      <c r="AC46" s="26">
        <v>0</v>
      </c>
      <c r="AD46" s="26">
        <v>0</v>
      </c>
      <c r="AE46" s="26">
        <v>0</v>
      </c>
      <c r="AF46" s="26">
        <v>0</v>
      </c>
      <c r="AG46" s="26">
        <v>0</v>
      </c>
      <c r="AH46" s="26">
        <v>37.905953548721925</v>
      </c>
      <c r="AI46" s="26">
        <v>9.385167127297235</v>
      </c>
      <c r="AJ46" s="26">
        <v>78.298088696496563</v>
      </c>
      <c r="AK46" s="26">
        <v>103.76829744470768</v>
      </c>
      <c r="AL46" s="26">
        <v>229.3575068172234</v>
      </c>
      <c r="AM46" s="26">
        <v>383.53174299339474</v>
      </c>
      <c r="AN46" s="26">
        <v>0.74942332127997657</v>
      </c>
      <c r="AO46" s="26">
        <v>38.428116631467475</v>
      </c>
      <c r="AP46" s="26">
        <v>0</v>
      </c>
      <c r="AQ46" s="26">
        <v>422.70928294614214</v>
      </c>
      <c r="AR46" s="26">
        <v>37.905953548721925</v>
      </c>
      <c r="AS46" s="30">
        <v>11.15152748770238</v>
      </c>
      <c r="AT46" s="26">
        <v>383.53174299339474</v>
      </c>
      <c r="AU46" s="26">
        <v>0.88709399670971745</v>
      </c>
      <c r="AV46" s="26">
        <v>38.441883699010447</v>
      </c>
      <c r="AW46" s="26">
        <v>0</v>
      </c>
      <c r="AX46" s="26">
        <v>422.86072068911494</v>
      </c>
      <c r="AY46" s="26">
        <v>9.385167127297235</v>
      </c>
      <c r="AZ46" s="30">
        <v>45.056280293528609</v>
      </c>
      <c r="BA46" s="26">
        <v>383.53174299339474</v>
      </c>
      <c r="BB46" s="26">
        <v>1.6365173179896941</v>
      </c>
      <c r="BC46" s="26">
        <v>38.516826031138443</v>
      </c>
      <c r="BD46" s="26">
        <v>0</v>
      </c>
      <c r="BE46" s="26">
        <v>423.68508634252288</v>
      </c>
      <c r="BF46" s="26">
        <v>47.291120676019162</v>
      </c>
      <c r="BG46" s="26">
        <v>0.65866161920088917</v>
      </c>
      <c r="BH46" s="30">
        <v>8.9590832335121462</v>
      </c>
      <c r="BI46" s="26">
        <v>3.4978951567588044</v>
      </c>
      <c r="BJ46" s="26">
        <v>0.86604682290209289</v>
      </c>
      <c r="BK46" s="26">
        <v>7.2252108071340411</v>
      </c>
      <c r="BL46" s="26">
        <v>9.5755571638742829</v>
      </c>
      <c r="BM46" s="26">
        <v>21.16470995066922</v>
      </c>
      <c r="BN46" s="26">
        <v>383.53174299339474</v>
      </c>
      <c r="BO46" s="26">
        <v>0</v>
      </c>
      <c r="BP46" s="26">
        <v>1.6365173179896941</v>
      </c>
      <c r="BQ46" s="26">
        <v>0</v>
      </c>
      <c r="BR46" s="26">
        <v>0</v>
      </c>
      <c r="BS46" s="26">
        <v>0</v>
      </c>
      <c r="BT46" s="26">
        <v>0</v>
      </c>
      <c r="BU46" s="26">
        <v>0</v>
      </c>
      <c r="BV46" s="26">
        <v>0</v>
      </c>
      <c r="BW46" s="26">
        <v>38.516826031138443</v>
      </c>
      <c r="BX46" s="26">
        <v>229.3575068172234</v>
      </c>
      <c r="BY46" s="26"/>
      <c r="BZ46" s="26">
        <v>0</v>
      </c>
      <c r="CA46" s="26">
        <v>0</v>
      </c>
      <c r="CB46" s="26">
        <v>423.68508634252288</v>
      </c>
      <c r="CC46" s="26">
        <v>229.3575068172234</v>
      </c>
      <c r="CD46" s="30">
        <v>1.8472693229969599</v>
      </c>
      <c r="CE46" s="26">
        <v>17.459429590209215</v>
      </c>
      <c r="CF46" s="26">
        <v>7.5753068337252643</v>
      </c>
      <c r="CG46" s="26">
        <v>0</v>
      </c>
      <c r="CH46" s="26">
        <v>7.5753068337252643</v>
      </c>
      <c r="CI46" s="26">
        <v>0.37876022161087264</v>
      </c>
      <c r="CJ46" s="26">
        <v>0</v>
      </c>
      <c r="CK46" s="26">
        <v>0.37876022161087264</v>
      </c>
      <c r="CL46" s="26"/>
      <c r="CM46" s="26">
        <v>0</v>
      </c>
      <c r="CN46" s="26"/>
      <c r="CO46" s="26">
        <v>0</v>
      </c>
      <c r="CP46" s="26">
        <v>0</v>
      </c>
      <c r="CQ46" s="26">
        <v>0</v>
      </c>
      <c r="CR46" s="26">
        <v>0</v>
      </c>
      <c r="CS46" s="26">
        <v>0</v>
      </c>
      <c r="CT46" s="26">
        <v>0</v>
      </c>
      <c r="CU46" s="26">
        <v>78.298088696496563</v>
      </c>
      <c r="CV46" s="26">
        <v>9999</v>
      </c>
      <c r="CW46" s="94">
        <v>0</v>
      </c>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c r="A47" s="7" t="s">
        <v>315</v>
      </c>
      <c r="B47" s="7" t="s">
        <v>514</v>
      </c>
      <c r="C47" s="26">
        <v>17</v>
      </c>
      <c r="D47" s="26">
        <v>801.85271513185091</v>
      </c>
      <c r="E47" s="26">
        <v>0</v>
      </c>
      <c r="F47" s="26">
        <v>208.77266666666668</v>
      </c>
      <c r="G47" s="26">
        <v>0</v>
      </c>
      <c r="H47" s="26">
        <v>0</v>
      </c>
      <c r="I47" s="26" t="s">
        <v>137</v>
      </c>
      <c r="J47" s="26"/>
      <c r="K47" s="26"/>
      <c r="L47" s="26">
        <v>857.35378710031875</v>
      </c>
      <c r="M47" s="26">
        <v>2.2804118462575679E-3</v>
      </c>
      <c r="N47" s="26">
        <v>2.2639528561873286E-3</v>
      </c>
      <c r="O47" s="26">
        <v>0</v>
      </c>
      <c r="P47" s="26">
        <v>0</v>
      </c>
      <c r="Q47" s="26">
        <v>0</v>
      </c>
      <c r="R47" s="26">
        <v>41.632058623454505</v>
      </c>
      <c r="S47" s="26">
        <v>10.307716636974845</v>
      </c>
      <c r="T47" s="26">
        <v>85.994687207305276</v>
      </c>
      <c r="U47" s="26">
        <v>113.96858377197572</v>
      </c>
      <c r="V47" s="26" t="s">
        <v>512</v>
      </c>
      <c r="W47" s="26" t="s">
        <v>512</v>
      </c>
      <c r="X47" s="26" t="s">
        <v>512</v>
      </c>
      <c r="Y47" s="26" t="s">
        <v>512</v>
      </c>
      <c r="Z47" s="26">
        <v>0</v>
      </c>
      <c r="AA47" s="26">
        <v>0</v>
      </c>
      <c r="AB47" s="26">
        <v>0</v>
      </c>
      <c r="AC47" s="26">
        <v>0</v>
      </c>
      <c r="AD47" s="26">
        <v>0</v>
      </c>
      <c r="AE47" s="26">
        <v>0</v>
      </c>
      <c r="AF47" s="26">
        <v>0</v>
      </c>
      <c r="AG47" s="26">
        <v>0</v>
      </c>
      <c r="AH47" s="26">
        <v>41.632058623454505</v>
      </c>
      <c r="AI47" s="26">
        <v>10.307716636974845</v>
      </c>
      <c r="AJ47" s="26">
        <v>85.994687207305276</v>
      </c>
      <c r="AK47" s="26">
        <v>113.96858377197572</v>
      </c>
      <c r="AL47" s="26">
        <v>251.90304623971033</v>
      </c>
      <c r="AM47" s="26">
        <v>412.3733894013244</v>
      </c>
      <c r="AN47" s="26">
        <v>0.80578007098083615</v>
      </c>
      <c r="AO47" s="26">
        <v>41.317916947230529</v>
      </c>
      <c r="AP47" s="26">
        <v>0</v>
      </c>
      <c r="AQ47" s="26">
        <v>454.49708641953578</v>
      </c>
      <c r="AR47" s="26">
        <v>41.632058623454505</v>
      </c>
      <c r="AS47" s="30">
        <v>10.916997656308137</v>
      </c>
      <c r="AT47" s="26">
        <v>412.3733894013244</v>
      </c>
      <c r="AU47" s="26">
        <v>0.95380360250143204</v>
      </c>
      <c r="AV47" s="26">
        <v>41.332719300382585</v>
      </c>
      <c r="AW47" s="26">
        <v>0</v>
      </c>
      <c r="AX47" s="26">
        <v>454.65991230420838</v>
      </c>
      <c r="AY47" s="26">
        <v>10.307716636974845</v>
      </c>
      <c r="AZ47" s="30">
        <v>44.108693352443957</v>
      </c>
      <c r="BA47" s="26">
        <v>412.3733894013244</v>
      </c>
      <c r="BB47" s="26">
        <v>1.7595836734822683</v>
      </c>
      <c r="BC47" s="26">
        <v>41.413297307480669</v>
      </c>
      <c r="BD47" s="26">
        <v>0</v>
      </c>
      <c r="BE47" s="26">
        <v>455.54627038228733</v>
      </c>
      <c r="BF47" s="26">
        <v>51.93977526042935</v>
      </c>
      <c r="BG47" s="26">
        <v>0.7524121730551161</v>
      </c>
      <c r="BH47" s="30">
        <v>8.770663101604681</v>
      </c>
      <c r="BI47" s="26">
        <v>3.5730404290375239</v>
      </c>
      <c r="BJ47" s="26">
        <v>0.88465210447759957</v>
      </c>
      <c r="BK47" s="26">
        <v>7.3804299915410239</v>
      </c>
      <c r="BL47" s="26">
        <v>9.7812688327644768</v>
      </c>
      <c r="BM47" s="26">
        <v>21.619391357820621</v>
      </c>
      <c r="BN47" s="26">
        <v>412.3733894013244</v>
      </c>
      <c r="BO47" s="26">
        <v>0</v>
      </c>
      <c r="BP47" s="26">
        <v>1.7595836734822683</v>
      </c>
      <c r="BQ47" s="26">
        <v>0</v>
      </c>
      <c r="BR47" s="26">
        <v>0</v>
      </c>
      <c r="BS47" s="26">
        <v>0</v>
      </c>
      <c r="BT47" s="26">
        <v>0</v>
      </c>
      <c r="BU47" s="26">
        <v>0</v>
      </c>
      <c r="BV47" s="26">
        <v>0</v>
      </c>
      <c r="BW47" s="26">
        <v>41.413297307480669</v>
      </c>
      <c r="BX47" s="26">
        <v>251.90304623971033</v>
      </c>
      <c r="BY47" s="26"/>
      <c r="BZ47" s="26">
        <v>0</v>
      </c>
      <c r="CA47" s="26">
        <v>0</v>
      </c>
      <c r="CB47" s="26">
        <v>455.54627038228733</v>
      </c>
      <c r="CC47" s="26">
        <v>251.90304623971033</v>
      </c>
      <c r="CD47" s="30">
        <v>1.8084190611525619</v>
      </c>
      <c r="CE47" s="26">
        <v>17.914110997360613</v>
      </c>
      <c r="CF47" s="26">
        <v>8.144971079570043</v>
      </c>
      <c r="CG47" s="26">
        <v>0</v>
      </c>
      <c r="CH47" s="26">
        <v>8.144971079570043</v>
      </c>
      <c r="CI47" s="26">
        <v>0.40724304887265145</v>
      </c>
      <c r="CJ47" s="26">
        <v>0</v>
      </c>
      <c r="CK47" s="26">
        <v>0.40724304887265145</v>
      </c>
      <c r="CL47" s="26"/>
      <c r="CM47" s="26">
        <v>0</v>
      </c>
      <c r="CN47" s="26"/>
      <c r="CO47" s="26">
        <v>0</v>
      </c>
      <c r="CP47" s="26">
        <v>0</v>
      </c>
      <c r="CQ47" s="26">
        <v>0</v>
      </c>
      <c r="CR47" s="26">
        <v>0</v>
      </c>
      <c r="CS47" s="26">
        <v>0</v>
      </c>
      <c r="CT47" s="26">
        <v>0</v>
      </c>
      <c r="CU47" s="26">
        <v>85.994687207305276</v>
      </c>
      <c r="CV47" s="26">
        <v>9999</v>
      </c>
      <c r="CW47" s="94">
        <v>0</v>
      </c>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c r="A48" s="7" t="s">
        <v>316</v>
      </c>
      <c r="B48" s="7" t="s">
        <v>515</v>
      </c>
      <c r="C48" s="26">
        <v>20</v>
      </c>
      <c r="D48" s="26">
        <v>1039.5442662823673</v>
      </c>
      <c r="E48" s="26">
        <v>0</v>
      </c>
      <c r="F48" s="26">
        <v>333.10200000000003</v>
      </c>
      <c r="G48" s="26">
        <v>0</v>
      </c>
      <c r="H48" s="26">
        <v>0</v>
      </c>
      <c r="I48" s="26" t="s">
        <v>137</v>
      </c>
      <c r="J48" s="26"/>
      <c r="K48" s="26"/>
      <c r="L48" s="26">
        <v>1111.4974068636257</v>
      </c>
      <c r="M48" s="26">
        <v>2.9563896396480236E-3</v>
      </c>
      <c r="N48" s="26">
        <v>2.9350517450029922E-3</v>
      </c>
      <c r="O48" s="26">
        <v>0</v>
      </c>
      <c r="P48" s="26">
        <v>0</v>
      </c>
      <c r="Q48" s="26">
        <v>0</v>
      </c>
      <c r="R48" s="26">
        <v>66.424988543790576</v>
      </c>
      <c r="S48" s="26">
        <v>16.446219143675872</v>
      </c>
      <c r="T48" s="26">
        <v>137.20666960614804</v>
      </c>
      <c r="U48" s="26">
        <v>136.25188617329493</v>
      </c>
      <c r="V48" s="26" t="s">
        <v>512</v>
      </c>
      <c r="W48" s="26" t="s">
        <v>512</v>
      </c>
      <c r="X48" s="26" t="s">
        <v>512</v>
      </c>
      <c r="Y48" s="26" t="s">
        <v>512</v>
      </c>
      <c r="Z48" s="26">
        <v>0</v>
      </c>
      <c r="AA48" s="26">
        <v>0</v>
      </c>
      <c r="AB48" s="26">
        <v>0</v>
      </c>
      <c r="AC48" s="26">
        <v>0</v>
      </c>
      <c r="AD48" s="26">
        <v>0</v>
      </c>
      <c r="AE48" s="26">
        <v>0</v>
      </c>
      <c r="AF48" s="26">
        <v>0</v>
      </c>
      <c r="AG48" s="26">
        <v>0</v>
      </c>
      <c r="AH48" s="26">
        <v>66.424988543790576</v>
      </c>
      <c r="AI48" s="26">
        <v>16.446219143675872</v>
      </c>
      <c r="AJ48" s="26">
        <v>137.20666960614804</v>
      </c>
      <c r="AK48" s="26">
        <v>136.25188617329493</v>
      </c>
      <c r="AL48" s="26">
        <v>356.32976346690941</v>
      </c>
      <c r="AM48" s="26">
        <v>534.61238508007511</v>
      </c>
      <c r="AN48" s="26">
        <v>1.0446358001481495</v>
      </c>
      <c r="AO48" s="26">
        <v>53.565702088022327</v>
      </c>
      <c r="AP48" s="26">
        <v>0</v>
      </c>
      <c r="AQ48" s="26">
        <v>589.22272296824565</v>
      </c>
      <c r="AR48" s="26">
        <v>66.424988543790576</v>
      </c>
      <c r="AS48" s="30">
        <v>8.8704979238318042</v>
      </c>
      <c r="AT48" s="26">
        <v>534.61238508007511</v>
      </c>
      <c r="AU48" s="26">
        <v>1.2365376426726835</v>
      </c>
      <c r="AV48" s="26">
        <v>53.584892272274786</v>
      </c>
      <c r="AW48" s="26">
        <v>0</v>
      </c>
      <c r="AX48" s="26">
        <v>589.43381499502266</v>
      </c>
      <c r="AY48" s="26">
        <v>16.446219143675872</v>
      </c>
      <c r="AZ48" s="30">
        <v>35.840080315461435</v>
      </c>
      <c r="BA48" s="26">
        <v>534.61238508007511</v>
      </c>
      <c r="BB48" s="26">
        <v>2.2811734428208332</v>
      </c>
      <c r="BC48" s="26">
        <v>53.689355852289594</v>
      </c>
      <c r="BD48" s="26">
        <v>0</v>
      </c>
      <c r="BE48" s="26">
        <v>590.58291437518562</v>
      </c>
      <c r="BF48" s="26">
        <v>82.871207687466452</v>
      </c>
      <c r="BG48" s="26">
        <v>1.7808399632010437</v>
      </c>
      <c r="BH48" s="30">
        <v>7.1265151173186796</v>
      </c>
      <c r="BI48" s="26">
        <v>4.3973714130409283</v>
      </c>
      <c r="BJ48" s="26">
        <v>1.088748910620132</v>
      </c>
      <c r="BK48" s="26">
        <v>9.0831583088173247</v>
      </c>
      <c r="BL48" s="26">
        <v>9.0199511112653763</v>
      </c>
      <c r="BM48" s="26">
        <v>23.589229743743761</v>
      </c>
      <c r="BN48" s="26">
        <v>534.61238508007511</v>
      </c>
      <c r="BO48" s="26">
        <v>0</v>
      </c>
      <c r="BP48" s="26">
        <v>2.2811734428208332</v>
      </c>
      <c r="BQ48" s="26">
        <v>0</v>
      </c>
      <c r="BR48" s="26">
        <v>0</v>
      </c>
      <c r="BS48" s="26">
        <v>0</v>
      </c>
      <c r="BT48" s="26">
        <v>0</v>
      </c>
      <c r="BU48" s="26">
        <v>0</v>
      </c>
      <c r="BV48" s="26">
        <v>0</v>
      </c>
      <c r="BW48" s="26">
        <v>53.689355852289594</v>
      </c>
      <c r="BX48" s="26">
        <v>356.32976346690941</v>
      </c>
      <c r="BY48" s="26"/>
      <c r="BZ48" s="26">
        <v>0</v>
      </c>
      <c r="CA48" s="26">
        <v>0</v>
      </c>
      <c r="CB48" s="26">
        <v>590.58291437518562</v>
      </c>
      <c r="CC48" s="26">
        <v>356.32976346690941</v>
      </c>
      <c r="CD48" s="30">
        <v>1.657405512885342</v>
      </c>
      <c r="CE48" s="26">
        <v>19.883949383283746</v>
      </c>
      <c r="CF48" s="26">
        <v>10.559368104665552</v>
      </c>
      <c r="CG48" s="26">
        <v>0</v>
      </c>
      <c r="CH48" s="26">
        <v>10.559368104665552</v>
      </c>
      <c r="CI48" s="26">
        <v>0.52796126826022205</v>
      </c>
      <c r="CJ48" s="26">
        <v>0</v>
      </c>
      <c r="CK48" s="26">
        <v>0.52796126826022205</v>
      </c>
      <c r="CL48" s="26"/>
      <c r="CM48" s="26">
        <v>0</v>
      </c>
      <c r="CN48" s="26"/>
      <c r="CO48" s="26">
        <v>0</v>
      </c>
      <c r="CP48" s="26">
        <v>0</v>
      </c>
      <c r="CQ48" s="26">
        <v>0</v>
      </c>
      <c r="CR48" s="26">
        <v>0</v>
      </c>
      <c r="CS48" s="26">
        <v>0</v>
      </c>
      <c r="CT48" s="26">
        <v>0</v>
      </c>
      <c r="CU48" s="26">
        <v>137.20666960614804</v>
      </c>
      <c r="CV48" s="26">
        <v>9999</v>
      </c>
      <c r="CW48" s="94">
        <v>0</v>
      </c>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t="s">
        <v>317</v>
      </c>
      <c r="B49" s="7" t="s">
        <v>514</v>
      </c>
      <c r="C49" s="26">
        <v>17</v>
      </c>
      <c r="D49" s="26">
        <v>801.85271513185091</v>
      </c>
      <c r="E49" s="26">
        <v>0</v>
      </c>
      <c r="F49" s="26">
        <v>208.77266666666668</v>
      </c>
      <c r="G49" s="26">
        <v>0</v>
      </c>
      <c r="H49" s="26">
        <v>0</v>
      </c>
      <c r="I49" s="26" t="s">
        <v>137</v>
      </c>
      <c r="J49" s="26"/>
      <c r="K49" s="26"/>
      <c r="L49" s="26">
        <v>857.35378710031875</v>
      </c>
      <c r="M49" s="26">
        <v>2.2804118462575679E-3</v>
      </c>
      <c r="N49" s="26">
        <v>2.2639528561873286E-3</v>
      </c>
      <c r="O49" s="26">
        <v>0</v>
      </c>
      <c r="P49" s="26">
        <v>0</v>
      </c>
      <c r="Q49" s="26">
        <v>0</v>
      </c>
      <c r="R49" s="26">
        <v>41.632058623454505</v>
      </c>
      <c r="S49" s="26">
        <v>10.307716636974845</v>
      </c>
      <c r="T49" s="26">
        <v>85.994687207305276</v>
      </c>
      <c r="U49" s="26">
        <v>113.96858377197572</v>
      </c>
      <c r="V49" s="26" t="s">
        <v>512</v>
      </c>
      <c r="W49" s="26" t="s">
        <v>512</v>
      </c>
      <c r="X49" s="26" t="s">
        <v>512</v>
      </c>
      <c r="Y49" s="26" t="s">
        <v>512</v>
      </c>
      <c r="Z49" s="26">
        <v>0</v>
      </c>
      <c r="AA49" s="26">
        <v>0</v>
      </c>
      <c r="AB49" s="26">
        <v>0</v>
      </c>
      <c r="AC49" s="26">
        <v>0</v>
      </c>
      <c r="AD49" s="26">
        <v>0</v>
      </c>
      <c r="AE49" s="26">
        <v>0</v>
      </c>
      <c r="AF49" s="26">
        <v>0</v>
      </c>
      <c r="AG49" s="26">
        <v>0</v>
      </c>
      <c r="AH49" s="26">
        <v>41.632058623454505</v>
      </c>
      <c r="AI49" s="26">
        <v>10.307716636974845</v>
      </c>
      <c r="AJ49" s="26">
        <v>85.994687207305276</v>
      </c>
      <c r="AK49" s="26">
        <v>113.96858377197572</v>
      </c>
      <c r="AL49" s="26">
        <v>251.90304623971033</v>
      </c>
      <c r="AM49" s="26">
        <v>412.3733894013244</v>
      </c>
      <c r="AN49" s="26">
        <v>0.80578007098083615</v>
      </c>
      <c r="AO49" s="26">
        <v>41.317916947230529</v>
      </c>
      <c r="AP49" s="26">
        <v>0</v>
      </c>
      <c r="AQ49" s="26">
        <v>454.49708641953578</v>
      </c>
      <c r="AR49" s="26">
        <v>41.632058623454505</v>
      </c>
      <c r="AS49" s="30">
        <v>10.916997656308137</v>
      </c>
      <c r="AT49" s="26">
        <v>412.3733894013244</v>
      </c>
      <c r="AU49" s="26">
        <v>0.95380360250143204</v>
      </c>
      <c r="AV49" s="26">
        <v>41.332719300382585</v>
      </c>
      <c r="AW49" s="26">
        <v>0</v>
      </c>
      <c r="AX49" s="26">
        <v>454.65991230420838</v>
      </c>
      <c r="AY49" s="26">
        <v>10.307716636974845</v>
      </c>
      <c r="AZ49" s="30">
        <v>44.108693352443957</v>
      </c>
      <c r="BA49" s="26">
        <v>412.3733894013244</v>
      </c>
      <c r="BB49" s="26">
        <v>1.7595836734822683</v>
      </c>
      <c r="BC49" s="26">
        <v>41.413297307480669</v>
      </c>
      <c r="BD49" s="26">
        <v>0</v>
      </c>
      <c r="BE49" s="26">
        <v>455.54627038228733</v>
      </c>
      <c r="BF49" s="26">
        <v>51.93977526042935</v>
      </c>
      <c r="BG49" s="26">
        <v>0.7524121730551161</v>
      </c>
      <c r="BH49" s="30">
        <v>8.770663101604681</v>
      </c>
      <c r="BI49" s="26">
        <v>3.5730404290375239</v>
      </c>
      <c r="BJ49" s="26">
        <v>0.88465210447759957</v>
      </c>
      <c r="BK49" s="26">
        <v>7.3804299915410239</v>
      </c>
      <c r="BL49" s="26">
        <v>9.7812688327644768</v>
      </c>
      <c r="BM49" s="26">
        <v>21.619391357820621</v>
      </c>
      <c r="BN49" s="26">
        <v>412.3733894013244</v>
      </c>
      <c r="BO49" s="26">
        <v>0</v>
      </c>
      <c r="BP49" s="26">
        <v>1.7595836734822683</v>
      </c>
      <c r="BQ49" s="26">
        <v>0</v>
      </c>
      <c r="BR49" s="26">
        <v>0</v>
      </c>
      <c r="BS49" s="26">
        <v>0</v>
      </c>
      <c r="BT49" s="26">
        <v>0</v>
      </c>
      <c r="BU49" s="26">
        <v>0</v>
      </c>
      <c r="BV49" s="26">
        <v>0</v>
      </c>
      <c r="BW49" s="26">
        <v>41.413297307480669</v>
      </c>
      <c r="BX49" s="26">
        <v>251.90304623971033</v>
      </c>
      <c r="BY49" s="26"/>
      <c r="BZ49" s="26">
        <v>0</v>
      </c>
      <c r="CA49" s="26">
        <v>0</v>
      </c>
      <c r="CB49" s="26">
        <v>455.54627038228733</v>
      </c>
      <c r="CC49" s="26">
        <v>251.90304623971033</v>
      </c>
      <c r="CD49" s="30">
        <v>1.8084190611525619</v>
      </c>
      <c r="CE49" s="26">
        <v>17.914110997360613</v>
      </c>
      <c r="CF49" s="26">
        <v>8.144971079570043</v>
      </c>
      <c r="CG49" s="26">
        <v>0</v>
      </c>
      <c r="CH49" s="26">
        <v>8.144971079570043</v>
      </c>
      <c r="CI49" s="26">
        <v>0.40724304887265145</v>
      </c>
      <c r="CJ49" s="26">
        <v>0</v>
      </c>
      <c r="CK49" s="26">
        <v>0.40724304887265145</v>
      </c>
      <c r="CL49" s="26"/>
      <c r="CM49" s="26">
        <v>0</v>
      </c>
      <c r="CN49" s="26"/>
      <c r="CO49" s="26">
        <v>0</v>
      </c>
      <c r="CP49" s="26">
        <v>0</v>
      </c>
      <c r="CQ49" s="26">
        <v>0</v>
      </c>
      <c r="CR49" s="26">
        <v>0</v>
      </c>
      <c r="CS49" s="26">
        <v>0</v>
      </c>
      <c r="CT49" s="26">
        <v>0</v>
      </c>
      <c r="CU49" s="26">
        <v>85.994687207305276</v>
      </c>
      <c r="CV49" s="26">
        <v>9999</v>
      </c>
      <c r="CW49" s="94">
        <v>0</v>
      </c>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t="s">
        <v>318</v>
      </c>
      <c r="B50" s="7" t="s">
        <v>516</v>
      </c>
      <c r="C50" s="26">
        <v>20</v>
      </c>
      <c r="D50" s="26">
        <v>765.28971916213288</v>
      </c>
      <c r="E50" s="26">
        <v>0</v>
      </c>
      <c r="F50" s="26">
        <v>255.12666666666667</v>
      </c>
      <c r="G50" s="26">
        <v>0</v>
      </c>
      <c r="H50" s="26">
        <v>0</v>
      </c>
      <c r="I50" s="26" t="s">
        <v>137</v>
      </c>
      <c r="J50" s="26"/>
      <c r="K50" s="26"/>
      <c r="L50" s="26">
        <v>818.2600452312563</v>
      </c>
      <c r="M50" s="26">
        <v>2.1764292973797451E-3</v>
      </c>
      <c r="N50" s="26">
        <v>2.1607208067169993E-3</v>
      </c>
      <c r="O50" s="26">
        <v>0</v>
      </c>
      <c r="P50" s="26">
        <v>0</v>
      </c>
      <c r="Q50" s="26">
        <v>0</v>
      </c>
      <c r="R50" s="26">
        <v>50.875665443464193</v>
      </c>
      <c r="S50" s="26">
        <v>12.596349074444301</v>
      </c>
      <c r="T50" s="26">
        <v>105.08817197450388</v>
      </c>
      <c r="U50" s="26">
        <v>104.35689232258837</v>
      </c>
      <c r="V50" s="26" t="s">
        <v>512</v>
      </c>
      <c r="W50" s="26" t="s">
        <v>512</v>
      </c>
      <c r="X50" s="26" t="s">
        <v>512</v>
      </c>
      <c r="Y50" s="26" t="s">
        <v>512</v>
      </c>
      <c r="Z50" s="26">
        <v>0</v>
      </c>
      <c r="AA50" s="26">
        <v>0</v>
      </c>
      <c r="AB50" s="26">
        <v>0</v>
      </c>
      <c r="AC50" s="26">
        <v>0</v>
      </c>
      <c r="AD50" s="26">
        <v>0</v>
      </c>
      <c r="AE50" s="26">
        <v>0</v>
      </c>
      <c r="AF50" s="26">
        <v>0</v>
      </c>
      <c r="AG50" s="26">
        <v>0</v>
      </c>
      <c r="AH50" s="26">
        <v>50.875665443464193</v>
      </c>
      <c r="AI50" s="26">
        <v>12.596349074444301</v>
      </c>
      <c r="AJ50" s="26">
        <v>105.08817197450388</v>
      </c>
      <c r="AK50" s="26">
        <v>104.35689232258837</v>
      </c>
      <c r="AL50" s="26">
        <v>272.91707881500071</v>
      </c>
      <c r="AM50" s="26">
        <v>393.56992800477553</v>
      </c>
      <c r="AN50" s="26">
        <v>0.76903799487162583</v>
      </c>
      <c r="AO50" s="26">
        <v>39.433896599964719</v>
      </c>
      <c r="AP50" s="26">
        <v>0</v>
      </c>
      <c r="AQ50" s="26">
        <v>433.77286259961187</v>
      </c>
      <c r="AR50" s="26">
        <v>50.875665443464193</v>
      </c>
      <c r="AS50" s="30">
        <v>8.5261363918992643</v>
      </c>
      <c r="AT50" s="26">
        <v>393.56992800477553</v>
      </c>
      <c r="AU50" s="26">
        <v>0.91031192801302196</v>
      </c>
      <c r="AV50" s="26">
        <v>39.448023993278859</v>
      </c>
      <c r="AW50" s="26">
        <v>0</v>
      </c>
      <c r="AX50" s="26">
        <v>433.92826392606742</v>
      </c>
      <c r="AY50" s="26">
        <v>12.596349074444301</v>
      </c>
      <c r="AZ50" s="30">
        <v>34.448732832152835</v>
      </c>
      <c r="BA50" s="26">
        <v>393.56992800477553</v>
      </c>
      <c r="BB50" s="26">
        <v>1.6793499228846478</v>
      </c>
      <c r="BC50" s="26">
        <v>39.524927792766022</v>
      </c>
      <c r="BD50" s="26">
        <v>0</v>
      </c>
      <c r="BE50" s="26">
        <v>434.77420572042615</v>
      </c>
      <c r="BF50" s="26">
        <v>63.472014517908491</v>
      </c>
      <c r="BG50" s="26">
        <v>2.002418496804752</v>
      </c>
      <c r="BH50" s="30">
        <v>6.8498567285548431</v>
      </c>
      <c r="BI50" s="26">
        <v>4.5749765423360484</v>
      </c>
      <c r="BJ50" s="26">
        <v>1.1327223149287049</v>
      </c>
      <c r="BK50" s="26">
        <v>9.4500173603546518</v>
      </c>
      <c r="BL50" s="26">
        <v>9.3842572916805835</v>
      </c>
      <c r="BM50" s="26">
        <v>24.541973509299986</v>
      </c>
      <c r="BN50" s="26">
        <v>393.56992800477553</v>
      </c>
      <c r="BO50" s="26">
        <v>0</v>
      </c>
      <c r="BP50" s="26">
        <v>1.6793499228846478</v>
      </c>
      <c r="BQ50" s="26">
        <v>0</v>
      </c>
      <c r="BR50" s="26">
        <v>0</v>
      </c>
      <c r="BS50" s="26">
        <v>0</v>
      </c>
      <c r="BT50" s="26">
        <v>0</v>
      </c>
      <c r="BU50" s="26">
        <v>0</v>
      </c>
      <c r="BV50" s="26">
        <v>0</v>
      </c>
      <c r="BW50" s="26">
        <v>39.524927792766022</v>
      </c>
      <c r="BX50" s="26">
        <v>272.91707881500071</v>
      </c>
      <c r="BY50" s="26"/>
      <c r="BZ50" s="26">
        <v>0</v>
      </c>
      <c r="CA50" s="26">
        <v>0</v>
      </c>
      <c r="CB50" s="26">
        <v>434.77420572042615</v>
      </c>
      <c r="CC50" s="26">
        <v>272.91707881500071</v>
      </c>
      <c r="CD50" s="30">
        <v>1.5930633861691805</v>
      </c>
      <c r="CE50" s="26">
        <v>20.836693148839981</v>
      </c>
      <c r="CF50" s="26">
        <v>7.7735755113617184</v>
      </c>
      <c r="CG50" s="26">
        <v>0</v>
      </c>
      <c r="CH50" s="26">
        <v>7.7735755113617184</v>
      </c>
      <c r="CI50" s="26">
        <v>0.3886735214848468</v>
      </c>
      <c r="CJ50" s="26">
        <v>0</v>
      </c>
      <c r="CK50" s="26">
        <v>0.3886735214848468</v>
      </c>
      <c r="CL50" s="26"/>
      <c r="CM50" s="26">
        <v>0</v>
      </c>
      <c r="CN50" s="26"/>
      <c r="CO50" s="26">
        <v>0</v>
      </c>
      <c r="CP50" s="26">
        <v>0</v>
      </c>
      <c r="CQ50" s="26">
        <v>0</v>
      </c>
      <c r="CR50" s="26">
        <v>0</v>
      </c>
      <c r="CS50" s="26">
        <v>0</v>
      </c>
      <c r="CT50" s="26">
        <v>0</v>
      </c>
      <c r="CU50" s="26">
        <v>105.08817197450388</v>
      </c>
      <c r="CV50" s="26">
        <v>9999</v>
      </c>
      <c r="CW50" s="94">
        <v>0</v>
      </c>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t="s">
        <v>319</v>
      </c>
      <c r="B51" s="7" t="s">
        <v>513</v>
      </c>
      <c r="C51" s="26">
        <v>17</v>
      </c>
      <c r="D51" s="26">
        <v>745.77064709480817</v>
      </c>
      <c r="E51" s="26">
        <v>0</v>
      </c>
      <c r="F51" s="26">
        <v>190.08733333333336</v>
      </c>
      <c r="G51" s="26">
        <v>0</v>
      </c>
      <c r="H51" s="26">
        <v>0</v>
      </c>
      <c r="I51" s="26" t="s">
        <v>137</v>
      </c>
      <c r="J51" s="26"/>
      <c r="K51" s="26"/>
      <c r="L51" s="26">
        <v>797.38994023341627</v>
      </c>
      <c r="M51" s="26">
        <v>2.1209184506490418E-3</v>
      </c>
      <c r="N51" s="26">
        <v>2.1056106123845154E-3</v>
      </c>
      <c r="O51" s="26">
        <v>0</v>
      </c>
      <c r="P51" s="26">
        <v>0</v>
      </c>
      <c r="Q51" s="26">
        <v>0</v>
      </c>
      <c r="R51" s="26">
        <v>37.905953548721925</v>
      </c>
      <c r="S51" s="26">
        <v>9.385167127297235</v>
      </c>
      <c r="T51" s="26">
        <v>78.298088696496563</v>
      </c>
      <c r="U51" s="26">
        <v>103.76829744470768</v>
      </c>
      <c r="V51" s="26" t="s">
        <v>512</v>
      </c>
      <c r="W51" s="26" t="s">
        <v>512</v>
      </c>
      <c r="X51" s="26" t="s">
        <v>512</v>
      </c>
      <c r="Y51" s="26" t="s">
        <v>512</v>
      </c>
      <c r="Z51" s="26">
        <v>0</v>
      </c>
      <c r="AA51" s="26">
        <v>0</v>
      </c>
      <c r="AB51" s="26">
        <v>0</v>
      </c>
      <c r="AC51" s="26">
        <v>0</v>
      </c>
      <c r="AD51" s="26">
        <v>0</v>
      </c>
      <c r="AE51" s="26">
        <v>0</v>
      </c>
      <c r="AF51" s="26">
        <v>0</v>
      </c>
      <c r="AG51" s="26">
        <v>0</v>
      </c>
      <c r="AH51" s="26">
        <v>37.905953548721925</v>
      </c>
      <c r="AI51" s="26">
        <v>9.385167127297235</v>
      </c>
      <c r="AJ51" s="26">
        <v>78.298088696496563</v>
      </c>
      <c r="AK51" s="26">
        <v>103.76829744470768</v>
      </c>
      <c r="AL51" s="26">
        <v>229.3575068172234</v>
      </c>
      <c r="AM51" s="26">
        <v>383.53174299339474</v>
      </c>
      <c r="AN51" s="26">
        <v>0.74942332127997657</v>
      </c>
      <c r="AO51" s="26">
        <v>38.428116631467475</v>
      </c>
      <c r="AP51" s="26">
        <v>0</v>
      </c>
      <c r="AQ51" s="26">
        <v>422.70928294614214</v>
      </c>
      <c r="AR51" s="26">
        <v>37.905953548721925</v>
      </c>
      <c r="AS51" s="30">
        <v>11.15152748770238</v>
      </c>
      <c r="AT51" s="26">
        <v>383.53174299339474</v>
      </c>
      <c r="AU51" s="26">
        <v>0.88709399670971745</v>
      </c>
      <c r="AV51" s="26">
        <v>38.441883699010447</v>
      </c>
      <c r="AW51" s="26">
        <v>0</v>
      </c>
      <c r="AX51" s="26">
        <v>422.86072068911494</v>
      </c>
      <c r="AY51" s="26">
        <v>9.385167127297235</v>
      </c>
      <c r="AZ51" s="30">
        <v>45.056280293528609</v>
      </c>
      <c r="BA51" s="26">
        <v>383.53174299339474</v>
      </c>
      <c r="BB51" s="26">
        <v>1.6365173179896941</v>
      </c>
      <c r="BC51" s="26">
        <v>38.516826031138443</v>
      </c>
      <c r="BD51" s="26">
        <v>0</v>
      </c>
      <c r="BE51" s="26">
        <v>423.68508634252288</v>
      </c>
      <c r="BF51" s="26">
        <v>47.291120676019162</v>
      </c>
      <c r="BG51" s="26">
        <v>0.65866161920088917</v>
      </c>
      <c r="BH51" s="30">
        <v>8.9590832335121462</v>
      </c>
      <c r="BI51" s="26">
        <v>3.4978951567588044</v>
      </c>
      <c r="BJ51" s="26">
        <v>0.86604682290209289</v>
      </c>
      <c r="BK51" s="26">
        <v>7.2252108071340411</v>
      </c>
      <c r="BL51" s="26">
        <v>9.5755571638742829</v>
      </c>
      <c r="BM51" s="26">
        <v>21.16470995066922</v>
      </c>
      <c r="BN51" s="26">
        <v>383.53174299339474</v>
      </c>
      <c r="BO51" s="26">
        <v>0</v>
      </c>
      <c r="BP51" s="26">
        <v>1.6365173179896941</v>
      </c>
      <c r="BQ51" s="26">
        <v>0</v>
      </c>
      <c r="BR51" s="26">
        <v>0</v>
      </c>
      <c r="BS51" s="26">
        <v>0</v>
      </c>
      <c r="BT51" s="26">
        <v>0</v>
      </c>
      <c r="BU51" s="26">
        <v>0</v>
      </c>
      <c r="BV51" s="26">
        <v>0</v>
      </c>
      <c r="BW51" s="26">
        <v>38.516826031138443</v>
      </c>
      <c r="BX51" s="26">
        <v>229.3575068172234</v>
      </c>
      <c r="BY51" s="26"/>
      <c r="BZ51" s="26">
        <v>0</v>
      </c>
      <c r="CA51" s="26">
        <v>0</v>
      </c>
      <c r="CB51" s="26">
        <v>423.68508634252288</v>
      </c>
      <c r="CC51" s="26">
        <v>229.3575068172234</v>
      </c>
      <c r="CD51" s="30">
        <v>1.8472693229969599</v>
      </c>
      <c r="CE51" s="26">
        <v>17.459429590209215</v>
      </c>
      <c r="CF51" s="26">
        <v>7.5753068337252643</v>
      </c>
      <c r="CG51" s="26">
        <v>0</v>
      </c>
      <c r="CH51" s="26">
        <v>7.5753068337252643</v>
      </c>
      <c r="CI51" s="26">
        <v>0.37876022161087264</v>
      </c>
      <c r="CJ51" s="26">
        <v>0</v>
      </c>
      <c r="CK51" s="26">
        <v>0.37876022161087264</v>
      </c>
      <c r="CL51" s="26"/>
      <c r="CM51" s="26">
        <v>0</v>
      </c>
      <c r="CN51" s="26"/>
      <c r="CO51" s="26">
        <v>0</v>
      </c>
      <c r="CP51" s="26">
        <v>0</v>
      </c>
      <c r="CQ51" s="26">
        <v>0</v>
      </c>
      <c r="CR51" s="26">
        <v>0</v>
      </c>
      <c r="CS51" s="26">
        <v>0</v>
      </c>
      <c r="CT51" s="26">
        <v>0</v>
      </c>
      <c r="CU51" s="26">
        <v>78.298088696496563</v>
      </c>
      <c r="CV51" s="26">
        <v>9999</v>
      </c>
      <c r="CW51" s="94">
        <v>0</v>
      </c>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t="s">
        <v>320</v>
      </c>
      <c r="B52" s="7" t="s">
        <v>517</v>
      </c>
      <c r="C52" s="26">
        <v>20</v>
      </c>
      <c r="D52" s="26">
        <v>787.56249081075168</v>
      </c>
      <c r="E52" s="26">
        <v>0</v>
      </c>
      <c r="F52" s="26">
        <v>282.43600000000004</v>
      </c>
      <c r="G52" s="26">
        <v>0</v>
      </c>
      <c r="H52" s="26">
        <v>0</v>
      </c>
      <c r="I52" s="26" t="s">
        <v>137</v>
      </c>
      <c r="J52" s="26"/>
      <c r="K52" s="26"/>
      <c r="L52" s="26">
        <v>842.07444999887502</v>
      </c>
      <c r="M52" s="26">
        <v>2.2397714690255044E-3</v>
      </c>
      <c r="N52" s="26">
        <v>2.2236058029732101E-3</v>
      </c>
      <c r="O52" s="26">
        <v>0</v>
      </c>
      <c r="P52" s="26">
        <v>0</v>
      </c>
      <c r="Q52" s="26">
        <v>0</v>
      </c>
      <c r="R52" s="26">
        <v>56.321511321919523</v>
      </c>
      <c r="S52" s="26">
        <v>13.94469066551158</v>
      </c>
      <c r="T52" s="26">
        <v>116.33704672107051</v>
      </c>
      <c r="U52" s="26">
        <v>115.52748924725981</v>
      </c>
      <c r="V52" s="26" t="s">
        <v>512</v>
      </c>
      <c r="W52" s="26" t="s">
        <v>512</v>
      </c>
      <c r="X52" s="26" t="s">
        <v>512</v>
      </c>
      <c r="Y52" s="26" t="s">
        <v>512</v>
      </c>
      <c r="Z52" s="26">
        <v>0</v>
      </c>
      <c r="AA52" s="26">
        <v>0</v>
      </c>
      <c r="AB52" s="26">
        <v>0</v>
      </c>
      <c r="AC52" s="26">
        <v>0</v>
      </c>
      <c r="AD52" s="26">
        <v>0</v>
      </c>
      <c r="AE52" s="26">
        <v>0</v>
      </c>
      <c r="AF52" s="26">
        <v>0</v>
      </c>
      <c r="AG52" s="26">
        <v>0</v>
      </c>
      <c r="AH52" s="26">
        <v>56.321511321919523</v>
      </c>
      <c r="AI52" s="26">
        <v>13.94469066551158</v>
      </c>
      <c r="AJ52" s="26">
        <v>116.33704672107051</v>
      </c>
      <c r="AK52" s="26">
        <v>115.52748924725981</v>
      </c>
      <c r="AL52" s="26">
        <v>302.13073795576145</v>
      </c>
      <c r="AM52" s="26">
        <v>405.02427387500512</v>
      </c>
      <c r="AN52" s="26">
        <v>0.79141985525731162</v>
      </c>
      <c r="AO52" s="26">
        <v>40.581569373026248</v>
      </c>
      <c r="AP52" s="26">
        <v>0</v>
      </c>
      <c r="AQ52" s="26">
        <v>446.39726310328865</v>
      </c>
      <c r="AR52" s="26">
        <v>56.321511321919523</v>
      </c>
      <c r="AS52" s="30">
        <v>7.9258750808690968</v>
      </c>
      <c r="AT52" s="26">
        <v>405.02427387500512</v>
      </c>
      <c r="AU52" s="26">
        <v>0.93680538427406512</v>
      </c>
      <c r="AV52" s="26">
        <v>40.596107925927917</v>
      </c>
      <c r="AW52" s="26">
        <v>0</v>
      </c>
      <c r="AX52" s="26">
        <v>446.55718718520711</v>
      </c>
      <c r="AY52" s="26">
        <v>13.94469066551158</v>
      </c>
      <c r="AZ52" s="30">
        <v>32.023455944393625</v>
      </c>
      <c r="BA52" s="26">
        <v>405.02427387500512</v>
      </c>
      <c r="BB52" s="26">
        <v>1.7282252395313766</v>
      </c>
      <c r="BC52" s="26">
        <v>40.675249911453655</v>
      </c>
      <c r="BD52" s="26">
        <v>0</v>
      </c>
      <c r="BE52" s="26">
        <v>447.42774902599012</v>
      </c>
      <c r="BF52" s="26">
        <v>70.266201987431103</v>
      </c>
      <c r="BG52" s="26">
        <v>2.4346875855892569</v>
      </c>
      <c r="BH52" s="30">
        <v>6.3676096952845684</v>
      </c>
      <c r="BI52" s="26">
        <v>4.9214595980510527</v>
      </c>
      <c r="BJ52" s="26">
        <v>1.2185083479982144</v>
      </c>
      <c r="BK52" s="26">
        <v>10.1657086565342</v>
      </c>
      <c r="BL52" s="26">
        <v>10.094968289201248</v>
      </c>
      <c r="BM52" s="26">
        <v>26.400644891784715</v>
      </c>
      <c r="BN52" s="26">
        <v>405.02427387500512</v>
      </c>
      <c r="BO52" s="26">
        <v>0</v>
      </c>
      <c r="BP52" s="26">
        <v>1.7282252395313766</v>
      </c>
      <c r="BQ52" s="26">
        <v>0</v>
      </c>
      <c r="BR52" s="26">
        <v>0</v>
      </c>
      <c r="BS52" s="26">
        <v>0</v>
      </c>
      <c r="BT52" s="26">
        <v>0</v>
      </c>
      <c r="BU52" s="26">
        <v>0</v>
      </c>
      <c r="BV52" s="26">
        <v>0</v>
      </c>
      <c r="BW52" s="26">
        <v>40.675249911453655</v>
      </c>
      <c r="BX52" s="26">
        <v>302.13073795576145</v>
      </c>
      <c r="BY52" s="26"/>
      <c r="BZ52" s="26">
        <v>0</v>
      </c>
      <c r="CA52" s="26">
        <v>0</v>
      </c>
      <c r="CB52" s="26">
        <v>447.42774902599012</v>
      </c>
      <c r="CC52" s="26">
        <v>302.13073795576145</v>
      </c>
      <c r="CD52" s="30">
        <v>1.4809077423016235</v>
      </c>
      <c r="CE52" s="26">
        <v>22.695364531324703</v>
      </c>
      <c r="CF52" s="26">
        <v>7.9998154149206036</v>
      </c>
      <c r="CG52" s="26">
        <v>0</v>
      </c>
      <c r="CH52" s="26">
        <v>7.9998154149206036</v>
      </c>
      <c r="CI52" s="26">
        <v>0.39998536374946564</v>
      </c>
      <c r="CJ52" s="26">
        <v>0</v>
      </c>
      <c r="CK52" s="26">
        <v>0.39998536374946564</v>
      </c>
      <c r="CL52" s="26"/>
      <c r="CM52" s="26">
        <v>0</v>
      </c>
      <c r="CN52" s="26"/>
      <c r="CO52" s="26">
        <v>0</v>
      </c>
      <c r="CP52" s="26">
        <v>0</v>
      </c>
      <c r="CQ52" s="26">
        <v>0</v>
      </c>
      <c r="CR52" s="26">
        <v>0</v>
      </c>
      <c r="CS52" s="26">
        <v>0</v>
      </c>
      <c r="CT52" s="26">
        <v>0</v>
      </c>
      <c r="CU52" s="26">
        <v>116.33704672107051</v>
      </c>
      <c r="CV52" s="26">
        <v>9999</v>
      </c>
      <c r="CW52" s="94">
        <v>0</v>
      </c>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c r="B53" s="7"/>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c r="B54" s="7"/>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ht="13.5" thickBot="1">
      <c r="A55" s="24" t="s">
        <v>518</v>
      </c>
      <c r="B55" s="25"/>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ht="26.25" thickBot="1">
      <c r="A56" s="272" t="s">
        <v>415</v>
      </c>
      <c r="B56" s="273"/>
      <c r="C56" s="274" t="s">
        <v>416</v>
      </c>
      <c r="D56" s="275"/>
      <c r="E56" s="275"/>
      <c r="F56" s="275"/>
      <c r="G56" s="275"/>
      <c r="H56" s="275"/>
      <c r="I56" s="275"/>
      <c r="J56" s="275"/>
      <c r="K56" s="276"/>
      <c r="L56" s="274" t="s">
        <v>417</v>
      </c>
      <c r="M56" s="275"/>
      <c r="N56" s="275"/>
      <c r="O56" s="275"/>
      <c r="P56" s="275"/>
      <c r="Q56" s="276"/>
      <c r="R56" s="274" t="s">
        <v>418</v>
      </c>
      <c r="S56" s="275"/>
      <c r="T56" s="275"/>
      <c r="U56" s="276"/>
      <c r="V56" s="274" t="s">
        <v>419</v>
      </c>
      <c r="W56" s="275"/>
      <c r="X56" s="275"/>
      <c r="Y56" s="276"/>
      <c r="Z56" s="274" t="s">
        <v>420</v>
      </c>
      <c r="AA56" s="275"/>
      <c r="AB56" s="275"/>
      <c r="AC56" s="276"/>
      <c r="AD56" s="274" t="s">
        <v>421</v>
      </c>
      <c r="AE56" s="275"/>
      <c r="AF56" s="275"/>
      <c r="AG56" s="276"/>
      <c r="AH56" s="274" t="s">
        <v>422</v>
      </c>
      <c r="AI56" s="275"/>
      <c r="AJ56" s="275"/>
      <c r="AK56" s="275"/>
      <c r="AL56" s="276"/>
      <c r="AM56" s="274" t="s">
        <v>423</v>
      </c>
      <c r="AN56" s="275"/>
      <c r="AO56" s="275"/>
      <c r="AP56" s="275"/>
      <c r="AQ56" s="275"/>
      <c r="AR56" s="275"/>
      <c r="AS56" s="276"/>
      <c r="AT56" s="274" t="s">
        <v>424</v>
      </c>
      <c r="AU56" s="275"/>
      <c r="AV56" s="275"/>
      <c r="AW56" s="275"/>
      <c r="AX56" s="275"/>
      <c r="AY56" s="275"/>
      <c r="AZ56" s="276"/>
      <c r="BA56" s="274" t="s">
        <v>425</v>
      </c>
      <c r="BB56" s="275"/>
      <c r="BC56" s="275"/>
      <c r="BD56" s="275"/>
      <c r="BE56" s="275"/>
      <c r="BF56" s="276"/>
      <c r="BG56" s="274" t="s">
        <v>426</v>
      </c>
      <c r="BH56" s="276"/>
      <c r="BI56" s="274" t="s">
        <v>427</v>
      </c>
      <c r="BJ56" s="275"/>
      <c r="BK56" s="275"/>
      <c r="BL56" s="275"/>
      <c r="BM56" s="276"/>
      <c r="BN56" s="274" t="s">
        <v>428</v>
      </c>
      <c r="BO56" s="275"/>
      <c r="BP56" s="275"/>
      <c r="BQ56" s="275"/>
      <c r="BR56" s="275"/>
      <c r="BS56" s="275"/>
      <c r="BT56" s="275"/>
      <c r="BU56" s="275"/>
      <c r="BV56" s="275"/>
      <c r="BW56" s="275"/>
      <c r="BX56" s="275"/>
      <c r="BY56" s="275"/>
      <c r="BZ56" s="275"/>
      <c r="CA56" s="275"/>
      <c r="CB56" s="275"/>
      <c r="CC56" s="276"/>
      <c r="CD56" s="274" t="s">
        <v>429</v>
      </c>
      <c r="CE56" s="276"/>
      <c r="CF56" s="274" t="s">
        <v>430</v>
      </c>
      <c r="CG56" s="275"/>
      <c r="CH56" s="275"/>
      <c r="CI56" s="275"/>
      <c r="CJ56" s="275"/>
      <c r="CK56" s="276"/>
      <c r="CL56" s="277"/>
      <c r="CM56" s="274" t="s">
        <v>5</v>
      </c>
      <c r="CN56" s="275"/>
      <c r="CO56" s="275"/>
      <c r="CP56" s="276"/>
      <c r="CQ56" s="274" t="s">
        <v>431</v>
      </c>
      <c r="CR56" s="275"/>
      <c r="CS56" s="275"/>
      <c r="CT56" s="275"/>
      <c r="CU56" s="276"/>
      <c r="CV56" s="274" t="s">
        <v>432</v>
      </c>
      <c r="CW56" s="276"/>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ht="204">
      <c r="A57" s="27" t="s">
        <v>138</v>
      </c>
      <c r="B57" s="28" t="s">
        <v>139</v>
      </c>
      <c r="C57" s="29" t="s">
        <v>117</v>
      </c>
      <c r="D57" s="29" t="s">
        <v>433</v>
      </c>
      <c r="E57" s="29" t="s">
        <v>434</v>
      </c>
      <c r="F57" s="29" t="s">
        <v>435</v>
      </c>
      <c r="G57" s="29" t="s">
        <v>436</v>
      </c>
      <c r="H57" s="29" t="s">
        <v>437</v>
      </c>
      <c r="I57" s="29" t="s">
        <v>438</v>
      </c>
      <c r="J57" s="29" t="s">
        <v>439</v>
      </c>
      <c r="K57" s="29" t="s">
        <v>440</v>
      </c>
      <c r="L57" s="29" t="s">
        <v>441</v>
      </c>
      <c r="M57" s="29" t="s">
        <v>442</v>
      </c>
      <c r="N57" s="29" t="s">
        <v>443</v>
      </c>
      <c r="O57" s="29" t="s">
        <v>444</v>
      </c>
      <c r="P57" s="29" t="s">
        <v>445</v>
      </c>
      <c r="Q57" s="29" t="s">
        <v>446</v>
      </c>
      <c r="R57" s="29" t="s">
        <v>447</v>
      </c>
      <c r="S57" s="29" t="s">
        <v>448</v>
      </c>
      <c r="T57" s="29" t="s">
        <v>449</v>
      </c>
      <c r="U57" s="29" t="s">
        <v>355</v>
      </c>
      <c r="V57" s="29" t="s">
        <v>447</v>
      </c>
      <c r="W57" s="29" t="s">
        <v>448</v>
      </c>
      <c r="X57" s="29" t="s">
        <v>449</v>
      </c>
      <c r="Y57" s="29" t="s">
        <v>355</v>
      </c>
      <c r="Z57" s="29" t="s">
        <v>447</v>
      </c>
      <c r="AA57" s="29" t="s">
        <v>448</v>
      </c>
      <c r="AB57" s="29" t="s">
        <v>449</v>
      </c>
      <c r="AC57" s="29" t="s">
        <v>355</v>
      </c>
      <c r="AD57" s="29" t="s">
        <v>447</v>
      </c>
      <c r="AE57" s="29" t="s">
        <v>448</v>
      </c>
      <c r="AF57" s="29" t="s">
        <v>449</v>
      </c>
      <c r="AG57" s="29" t="s">
        <v>355</v>
      </c>
      <c r="AH57" s="29" t="s">
        <v>447</v>
      </c>
      <c r="AI57" s="29" t="s">
        <v>448</v>
      </c>
      <c r="AJ57" s="29" t="s">
        <v>449</v>
      </c>
      <c r="AK57" s="29" t="s">
        <v>355</v>
      </c>
      <c r="AL57" s="29" t="s">
        <v>450</v>
      </c>
      <c r="AM57" s="29" t="s">
        <v>451</v>
      </c>
      <c r="AN57" s="29" t="s">
        <v>452</v>
      </c>
      <c r="AO57" s="29" t="s">
        <v>453</v>
      </c>
      <c r="AP57" s="29" t="s">
        <v>454</v>
      </c>
      <c r="AQ57" s="29" t="s">
        <v>455</v>
      </c>
      <c r="AR57" s="29" t="s">
        <v>456</v>
      </c>
      <c r="AS57" s="29" t="s">
        <v>457</v>
      </c>
      <c r="AT57" s="29" t="s">
        <v>458</v>
      </c>
      <c r="AU57" s="29" t="s">
        <v>459</v>
      </c>
      <c r="AV57" s="29" t="s">
        <v>460</v>
      </c>
      <c r="AW57" s="29" t="s">
        <v>461</v>
      </c>
      <c r="AX57" s="29" t="s">
        <v>462</v>
      </c>
      <c r="AY57" s="29" t="s">
        <v>463</v>
      </c>
      <c r="AZ57" s="29" t="s">
        <v>464</v>
      </c>
      <c r="BA57" s="29" t="s">
        <v>465</v>
      </c>
      <c r="BB57" s="29" t="s">
        <v>466</v>
      </c>
      <c r="BC57" s="29" t="s">
        <v>467</v>
      </c>
      <c r="BD57" s="29" t="s">
        <v>468</v>
      </c>
      <c r="BE57" s="29" t="s">
        <v>469</v>
      </c>
      <c r="BF57" s="29" t="s">
        <v>470</v>
      </c>
      <c r="BG57" s="29" t="s">
        <v>471</v>
      </c>
      <c r="BH57" s="29" t="s">
        <v>472</v>
      </c>
      <c r="BI57" s="29" t="s">
        <v>473</v>
      </c>
      <c r="BJ57" s="29" t="s">
        <v>474</v>
      </c>
      <c r="BK57" s="29" t="s">
        <v>475</v>
      </c>
      <c r="BL57" s="29" t="s">
        <v>476</v>
      </c>
      <c r="BM57" s="29" t="s">
        <v>477</v>
      </c>
      <c r="BN57" s="29" t="s">
        <v>478</v>
      </c>
      <c r="BO57" s="29" t="s">
        <v>479</v>
      </c>
      <c r="BP57" s="29" t="s">
        <v>480</v>
      </c>
      <c r="BQ57" s="29" t="s">
        <v>481</v>
      </c>
      <c r="BR57" s="29" t="s">
        <v>482</v>
      </c>
      <c r="BS57" s="29" t="s">
        <v>483</v>
      </c>
      <c r="BT57" s="29" t="s">
        <v>484</v>
      </c>
      <c r="BU57" s="29" t="s">
        <v>485</v>
      </c>
      <c r="BV57" s="29" t="s">
        <v>486</v>
      </c>
      <c r="BW57" s="29" t="s">
        <v>487</v>
      </c>
      <c r="BX57" s="29" t="s">
        <v>488</v>
      </c>
      <c r="BY57" s="29" t="s">
        <v>489</v>
      </c>
      <c r="BZ57" s="29" t="s">
        <v>490</v>
      </c>
      <c r="CA57" s="29" t="s">
        <v>491</v>
      </c>
      <c r="CB57" s="29" t="s">
        <v>492</v>
      </c>
      <c r="CC57" s="29" t="s">
        <v>493</v>
      </c>
      <c r="CD57" s="29" t="s">
        <v>140</v>
      </c>
      <c r="CE57" s="29" t="s">
        <v>21</v>
      </c>
      <c r="CF57" s="29" t="s">
        <v>494</v>
      </c>
      <c r="CG57" s="29" t="s">
        <v>495</v>
      </c>
      <c r="CH57" s="29" t="s">
        <v>496</v>
      </c>
      <c r="CI57" s="29" t="s">
        <v>497</v>
      </c>
      <c r="CJ57" s="29" t="s">
        <v>498</v>
      </c>
      <c r="CK57" s="29" t="s">
        <v>499</v>
      </c>
      <c r="CL57" s="29"/>
      <c r="CM57" s="29" t="s">
        <v>500</v>
      </c>
      <c r="CN57" s="29" t="s">
        <v>501</v>
      </c>
      <c r="CO57" s="29" t="s">
        <v>502</v>
      </c>
      <c r="CP57" s="29" t="s">
        <v>503</v>
      </c>
      <c r="CQ57" s="29" t="s">
        <v>504</v>
      </c>
      <c r="CR57" s="29" t="s">
        <v>505</v>
      </c>
      <c r="CS57" s="29" t="s">
        <v>506</v>
      </c>
      <c r="CT57" s="29" t="s">
        <v>507</v>
      </c>
      <c r="CU57" s="29" t="s">
        <v>508</v>
      </c>
      <c r="CV57" s="29" t="s">
        <v>509</v>
      </c>
      <c r="CW57" s="29" t="s">
        <v>510</v>
      </c>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t="s">
        <v>314</v>
      </c>
      <c r="B58" s="7"/>
      <c r="C58" s="26">
        <v>17</v>
      </c>
      <c r="D58" s="26">
        <v>745.77064709480817</v>
      </c>
      <c r="E58" s="26">
        <v>0</v>
      </c>
      <c r="F58" s="26">
        <v>190.08733333333336</v>
      </c>
      <c r="G58" s="26">
        <v>0</v>
      </c>
      <c r="H58" s="26">
        <v>0</v>
      </c>
      <c r="I58" s="26"/>
      <c r="J58" s="26"/>
      <c r="K58" s="26"/>
      <c r="L58" s="26">
        <v>797.38994023341627</v>
      </c>
      <c r="M58" s="26">
        <v>2.1209184506490418E-3</v>
      </c>
      <c r="N58" s="26">
        <v>2.1056106123845154E-3</v>
      </c>
      <c r="O58" s="26">
        <v>0</v>
      </c>
      <c r="P58" s="26">
        <v>0</v>
      </c>
      <c r="Q58" s="26">
        <v>0</v>
      </c>
      <c r="R58" s="26">
        <v>37.905953548721925</v>
      </c>
      <c r="S58" s="26">
        <v>9.385167127297235</v>
      </c>
      <c r="T58" s="26">
        <v>78.298088696496563</v>
      </c>
      <c r="U58" s="26">
        <v>103.76829744470768</v>
      </c>
      <c r="V58" s="26">
        <v>11.405240000000003</v>
      </c>
      <c r="W58" s="26">
        <v>2.8513099999999998</v>
      </c>
      <c r="X58" s="26">
        <v>23.76091666666667</v>
      </c>
      <c r="Y58" s="26">
        <v>0</v>
      </c>
      <c r="Z58" s="26">
        <v>0</v>
      </c>
      <c r="AA58" s="26">
        <v>0</v>
      </c>
      <c r="AB58" s="26">
        <v>0</v>
      </c>
      <c r="AC58" s="26">
        <v>0</v>
      </c>
      <c r="AD58" s="26">
        <v>0</v>
      </c>
      <c r="AE58" s="26">
        <v>0</v>
      </c>
      <c r="AF58" s="26">
        <v>0</v>
      </c>
      <c r="AG58" s="26">
        <v>0</v>
      </c>
      <c r="AH58" s="26">
        <v>49.311193548721931</v>
      </c>
      <c r="AI58" s="26">
        <v>12.236477127297235</v>
      </c>
      <c r="AJ58" s="26">
        <v>102.05900536316324</v>
      </c>
      <c r="AK58" s="26">
        <v>103.76829744470768</v>
      </c>
      <c r="AL58" s="26">
        <v>267.37497348389007</v>
      </c>
      <c r="AM58" s="26">
        <v>383.53174299339474</v>
      </c>
      <c r="AN58" s="26">
        <v>0.74942332127997657</v>
      </c>
      <c r="AO58" s="26">
        <v>38.428116631467475</v>
      </c>
      <c r="AP58" s="26">
        <v>0</v>
      </c>
      <c r="AQ58" s="26">
        <v>422.70928294614214</v>
      </c>
      <c r="AR58" s="26">
        <v>49.311193548721931</v>
      </c>
      <c r="AS58" s="30">
        <v>8.5722784732128652</v>
      </c>
      <c r="AT58" s="26">
        <v>383.53174299339474</v>
      </c>
      <c r="AU58" s="26">
        <v>0.88709399670971745</v>
      </c>
      <c r="AV58" s="26">
        <v>38.441883699010447</v>
      </c>
      <c r="AW58" s="26">
        <v>0</v>
      </c>
      <c r="AX58" s="26">
        <v>422.86072068911494</v>
      </c>
      <c r="AY58" s="26">
        <v>12.236477127297235</v>
      </c>
      <c r="AZ58" s="30">
        <v>34.557390684431041</v>
      </c>
      <c r="BA58" s="26">
        <v>383.53174299339474</v>
      </c>
      <c r="BB58" s="26">
        <v>1.6365173179896941</v>
      </c>
      <c r="BC58" s="26">
        <v>38.516826031138443</v>
      </c>
      <c r="BD58" s="26">
        <v>0</v>
      </c>
      <c r="BE58" s="26">
        <v>423.68508634252288</v>
      </c>
      <c r="BF58" s="26">
        <v>61.547670676019166</v>
      </c>
      <c r="BG58" s="26">
        <v>1.9742311413603217</v>
      </c>
      <c r="BH58" s="30">
        <v>6.8838524949670177</v>
      </c>
      <c r="BI58" s="26">
        <v>4.5503507744863505</v>
      </c>
      <c r="BJ58" s="26">
        <v>1.1291607273339794</v>
      </c>
      <c r="BK58" s="26">
        <v>9.417826677399761</v>
      </c>
      <c r="BL58" s="26">
        <v>9.5755571638742829</v>
      </c>
      <c r="BM58" s="26">
        <v>24.672895343094371</v>
      </c>
      <c r="BN58" s="26">
        <v>383.53174299339474</v>
      </c>
      <c r="BO58" s="26">
        <v>0</v>
      </c>
      <c r="BP58" s="26">
        <v>1.6365173179896941</v>
      </c>
      <c r="BQ58" s="26">
        <v>0</v>
      </c>
      <c r="BR58" s="26">
        <v>0</v>
      </c>
      <c r="BS58" s="26">
        <v>0</v>
      </c>
      <c r="BT58" s="26">
        <v>0</v>
      </c>
      <c r="BU58" s="26">
        <v>0</v>
      </c>
      <c r="BV58" s="26">
        <v>0</v>
      </c>
      <c r="BW58" s="26">
        <v>38.516826031138443</v>
      </c>
      <c r="BX58" s="26">
        <v>229.3575068172234</v>
      </c>
      <c r="BY58" s="26">
        <v>38.017466666666671</v>
      </c>
      <c r="BZ58" s="26">
        <v>0</v>
      </c>
      <c r="CA58" s="26">
        <v>0</v>
      </c>
      <c r="CB58" s="26">
        <v>423.68508634252288</v>
      </c>
      <c r="CC58" s="26">
        <v>267.37497348389007</v>
      </c>
      <c r="CD58" s="30">
        <v>1.5846101107441561</v>
      </c>
      <c r="CE58" s="26">
        <v>20.967614982634366</v>
      </c>
      <c r="CF58" s="26">
        <v>7.5753068337252643</v>
      </c>
      <c r="CG58" s="26">
        <v>0</v>
      </c>
      <c r="CH58" s="26">
        <v>7.5753068337252643</v>
      </c>
      <c r="CI58" s="26">
        <v>0.37876022161087264</v>
      </c>
      <c r="CJ58" s="26">
        <v>0</v>
      </c>
      <c r="CK58" s="26">
        <v>0.37876022161087264</v>
      </c>
      <c r="CL58" s="26"/>
      <c r="CM58" s="26">
        <v>0</v>
      </c>
      <c r="CN58" s="26"/>
      <c r="CO58" s="26">
        <v>0</v>
      </c>
      <c r="CP58" s="26">
        <v>0</v>
      </c>
      <c r="CQ58" s="26">
        <v>0</v>
      </c>
      <c r="CR58" s="26">
        <v>0</v>
      </c>
      <c r="CS58" s="26">
        <v>0</v>
      </c>
      <c r="CT58" s="26">
        <v>0</v>
      </c>
      <c r="CU58" s="26">
        <v>102.05900536316324</v>
      </c>
      <c r="CV58" s="26">
        <v>9999</v>
      </c>
      <c r="CW58" s="94">
        <v>0</v>
      </c>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t="s">
        <v>319</v>
      </c>
      <c r="B59" s="7"/>
      <c r="C59" s="26">
        <v>17</v>
      </c>
      <c r="D59" s="26">
        <v>745.77064709480817</v>
      </c>
      <c r="E59" s="26">
        <v>0</v>
      </c>
      <c r="F59" s="26">
        <v>190.08733333333336</v>
      </c>
      <c r="G59" s="26">
        <v>0</v>
      </c>
      <c r="H59" s="26">
        <v>0</v>
      </c>
      <c r="I59" s="26"/>
      <c r="J59" s="26"/>
      <c r="K59" s="26"/>
      <c r="L59" s="26">
        <v>797.38994023341627</v>
      </c>
      <c r="M59" s="26">
        <v>2.1209184506490418E-3</v>
      </c>
      <c r="N59" s="26">
        <v>2.1056106123845154E-3</v>
      </c>
      <c r="O59" s="26">
        <v>0</v>
      </c>
      <c r="P59" s="26">
        <v>0</v>
      </c>
      <c r="Q59" s="26">
        <v>0</v>
      </c>
      <c r="R59" s="26">
        <v>37.905953548721925</v>
      </c>
      <c r="S59" s="26">
        <v>9.385167127297235</v>
      </c>
      <c r="T59" s="26">
        <v>78.298088696496563</v>
      </c>
      <c r="U59" s="26">
        <v>103.76829744470768</v>
      </c>
      <c r="V59" s="26">
        <v>11.405240000000003</v>
      </c>
      <c r="W59" s="26">
        <v>2.8513099999999998</v>
      </c>
      <c r="X59" s="26">
        <v>23.76091666666667</v>
      </c>
      <c r="Y59" s="26">
        <v>0</v>
      </c>
      <c r="Z59" s="26">
        <v>0</v>
      </c>
      <c r="AA59" s="26">
        <v>0</v>
      </c>
      <c r="AB59" s="26">
        <v>0</v>
      </c>
      <c r="AC59" s="26">
        <v>0</v>
      </c>
      <c r="AD59" s="26">
        <v>0</v>
      </c>
      <c r="AE59" s="26">
        <v>0</v>
      </c>
      <c r="AF59" s="26">
        <v>0</v>
      </c>
      <c r="AG59" s="26">
        <v>0</v>
      </c>
      <c r="AH59" s="26">
        <v>49.311193548721931</v>
      </c>
      <c r="AI59" s="26">
        <v>12.236477127297235</v>
      </c>
      <c r="AJ59" s="26">
        <v>102.05900536316324</v>
      </c>
      <c r="AK59" s="26">
        <v>103.76829744470768</v>
      </c>
      <c r="AL59" s="26">
        <v>267.37497348389007</v>
      </c>
      <c r="AM59" s="26">
        <v>383.53174299339474</v>
      </c>
      <c r="AN59" s="26">
        <v>0.74942332127997657</v>
      </c>
      <c r="AO59" s="26">
        <v>38.428116631467475</v>
      </c>
      <c r="AP59" s="26">
        <v>0</v>
      </c>
      <c r="AQ59" s="26">
        <v>422.70928294614214</v>
      </c>
      <c r="AR59" s="26">
        <v>49.311193548721931</v>
      </c>
      <c r="AS59" s="30">
        <v>8.5722784732128652</v>
      </c>
      <c r="AT59" s="26">
        <v>383.53174299339474</v>
      </c>
      <c r="AU59" s="26">
        <v>0.88709399670971745</v>
      </c>
      <c r="AV59" s="26">
        <v>38.441883699010447</v>
      </c>
      <c r="AW59" s="26">
        <v>0</v>
      </c>
      <c r="AX59" s="26">
        <v>422.86072068911494</v>
      </c>
      <c r="AY59" s="26">
        <v>12.236477127297235</v>
      </c>
      <c r="AZ59" s="30">
        <v>34.557390684431041</v>
      </c>
      <c r="BA59" s="26">
        <v>383.53174299339474</v>
      </c>
      <c r="BB59" s="26">
        <v>1.6365173179896941</v>
      </c>
      <c r="BC59" s="26">
        <v>38.516826031138443</v>
      </c>
      <c r="BD59" s="26">
        <v>0</v>
      </c>
      <c r="BE59" s="26">
        <v>423.68508634252288</v>
      </c>
      <c r="BF59" s="26">
        <v>61.547670676019166</v>
      </c>
      <c r="BG59" s="26">
        <v>1.9742311413603217</v>
      </c>
      <c r="BH59" s="30">
        <v>6.8838524949670177</v>
      </c>
      <c r="BI59" s="26">
        <v>4.5503507744863505</v>
      </c>
      <c r="BJ59" s="26">
        <v>1.1291607273339794</v>
      </c>
      <c r="BK59" s="26">
        <v>9.417826677399761</v>
      </c>
      <c r="BL59" s="26">
        <v>9.5755571638742829</v>
      </c>
      <c r="BM59" s="26">
        <v>24.672895343094371</v>
      </c>
      <c r="BN59" s="26">
        <v>383.53174299339474</v>
      </c>
      <c r="BO59" s="26">
        <v>0</v>
      </c>
      <c r="BP59" s="26">
        <v>1.6365173179896941</v>
      </c>
      <c r="BQ59" s="26">
        <v>0</v>
      </c>
      <c r="BR59" s="26">
        <v>0</v>
      </c>
      <c r="BS59" s="26">
        <v>0</v>
      </c>
      <c r="BT59" s="26">
        <v>0</v>
      </c>
      <c r="BU59" s="26">
        <v>0</v>
      </c>
      <c r="BV59" s="26">
        <v>0</v>
      </c>
      <c r="BW59" s="26">
        <v>38.516826031138443</v>
      </c>
      <c r="BX59" s="26">
        <v>229.3575068172234</v>
      </c>
      <c r="BY59" s="26">
        <v>38.017466666666671</v>
      </c>
      <c r="BZ59" s="26">
        <v>0</v>
      </c>
      <c r="CA59" s="26">
        <v>0</v>
      </c>
      <c r="CB59" s="26">
        <v>423.68508634252288</v>
      </c>
      <c r="CC59" s="26">
        <v>267.37497348389007</v>
      </c>
      <c r="CD59" s="30">
        <v>1.5846101107441561</v>
      </c>
      <c r="CE59" s="26">
        <v>20.967614982634366</v>
      </c>
      <c r="CF59" s="26">
        <v>7.5753068337252643</v>
      </c>
      <c r="CG59" s="26">
        <v>0</v>
      </c>
      <c r="CH59" s="26">
        <v>7.5753068337252643</v>
      </c>
      <c r="CI59" s="26">
        <v>0.37876022161087264</v>
      </c>
      <c r="CJ59" s="26">
        <v>0</v>
      </c>
      <c r="CK59" s="26">
        <v>0.37876022161087264</v>
      </c>
      <c r="CL59" s="26"/>
      <c r="CM59" s="26">
        <v>0</v>
      </c>
      <c r="CN59" s="26"/>
      <c r="CO59" s="26">
        <v>0</v>
      </c>
      <c r="CP59" s="26">
        <v>0</v>
      </c>
      <c r="CQ59" s="26">
        <v>0</v>
      </c>
      <c r="CR59" s="26">
        <v>0</v>
      </c>
      <c r="CS59" s="26">
        <v>0</v>
      </c>
      <c r="CT59" s="26">
        <v>0</v>
      </c>
      <c r="CU59" s="26">
        <v>102.05900536316324</v>
      </c>
      <c r="CV59" s="26">
        <v>9999</v>
      </c>
      <c r="CW59" s="94">
        <v>0</v>
      </c>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t="s">
        <v>315</v>
      </c>
      <c r="B60" s="7"/>
      <c r="C60" s="26">
        <v>17</v>
      </c>
      <c r="D60" s="26">
        <v>801.85271513185091</v>
      </c>
      <c r="E60" s="26">
        <v>0</v>
      </c>
      <c r="F60" s="26">
        <v>208.77266666666668</v>
      </c>
      <c r="G60" s="26">
        <v>0</v>
      </c>
      <c r="H60" s="26">
        <v>0</v>
      </c>
      <c r="I60" s="26"/>
      <c r="J60" s="26"/>
      <c r="K60" s="26"/>
      <c r="L60" s="26">
        <v>857.35378710031875</v>
      </c>
      <c r="M60" s="26">
        <v>2.2804118462575679E-3</v>
      </c>
      <c r="N60" s="26">
        <v>2.2639528561873286E-3</v>
      </c>
      <c r="O60" s="26">
        <v>0</v>
      </c>
      <c r="P60" s="26">
        <v>0</v>
      </c>
      <c r="Q60" s="26">
        <v>0</v>
      </c>
      <c r="R60" s="26">
        <v>41.632058623454505</v>
      </c>
      <c r="S60" s="26">
        <v>10.307716636974845</v>
      </c>
      <c r="T60" s="26">
        <v>85.994687207305276</v>
      </c>
      <c r="U60" s="26">
        <v>113.96858377197572</v>
      </c>
      <c r="V60" s="26">
        <v>12.52636</v>
      </c>
      <c r="W60" s="26">
        <v>3.1315899999999997</v>
      </c>
      <c r="X60" s="26">
        <v>26.096583333333335</v>
      </c>
      <c r="Y60" s="26">
        <v>0</v>
      </c>
      <c r="Z60" s="26">
        <v>0</v>
      </c>
      <c r="AA60" s="26">
        <v>0</v>
      </c>
      <c r="AB60" s="26">
        <v>0</v>
      </c>
      <c r="AC60" s="26">
        <v>0</v>
      </c>
      <c r="AD60" s="26">
        <v>0</v>
      </c>
      <c r="AE60" s="26">
        <v>0</v>
      </c>
      <c r="AF60" s="26">
        <v>0</v>
      </c>
      <c r="AG60" s="26">
        <v>0</v>
      </c>
      <c r="AH60" s="26">
        <v>54.158418623454509</v>
      </c>
      <c r="AI60" s="26">
        <v>13.439306636974845</v>
      </c>
      <c r="AJ60" s="26">
        <v>112.09127054063862</v>
      </c>
      <c r="AK60" s="26">
        <v>113.96858377197572</v>
      </c>
      <c r="AL60" s="26">
        <v>293.65757957304368</v>
      </c>
      <c r="AM60" s="26">
        <v>412.3733894013244</v>
      </c>
      <c r="AN60" s="26">
        <v>0.80578007098083615</v>
      </c>
      <c r="AO60" s="26">
        <v>41.317916947230529</v>
      </c>
      <c r="AP60" s="26">
        <v>0</v>
      </c>
      <c r="AQ60" s="26">
        <v>454.49708641953578</v>
      </c>
      <c r="AR60" s="26">
        <v>54.158418623454509</v>
      </c>
      <c r="AS60" s="30">
        <v>8.3919933035619643</v>
      </c>
      <c r="AT60" s="26">
        <v>412.3733894013244</v>
      </c>
      <c r="AU60" s="26">
        <v>0.95380360250143204</v>
      </c>
      <c r="AV60" s="26">
        <v>41.332719300382585</v>
      </c>
      <c r="AW60" s="26">
        <v>0</v>
      </c>
      <c r="AX60" s="26">
        <v>454.65991230420838</v>
      </c>
      <c r="AY60" s="26">
        <v>13.439306636974845</v>
      </c>
      <c r="AZ60" s="30">
        <v>33.83060782714243</v>
      </c>
      <c r="BA60" s="26">
        <v>412.3733894013244</v>
      </c>
      <c r="BB60" s="26">
        <v>1.7595836734822683</v>
      </c>
      <c r="BC60" s="26">
        <v>41.413297307480669</v>
      </c>
      <c r="BD60" s="26">
        <v>0</v>
      </c>
      <c r="BE60" s="26">
        <v>455.54627038228733</v>
      </c>
      <c r="BF60" s="26">
        <v>67.597725260429343</v>
      </c>
      <c r="BG60" s="26">
        <v>2.096244071733532</v>
      </c>
      <c r="BH60" s="30">
        <v>6.7390769234798062</v>
      </c>
      <c r="BI60" s="26">
        <v>4.6481059479802589</v>
      </c>
      <c r="BJ60" s="26">
        <v>1.1534184842132833</v>
      </c>
      <c r="BK60" s="26">
        <v>9.6201498226717224</v>
      </c>
      <c r="BL60" s="26">
        <v>9.7812688327644768</v>
      </c>
      <c r="BM60" s="26">
        <v>25.202943087629741</v>
      </c>
      <c r="BN60" s="26">
        <v>412.3733894013244</v>
      </c>
      <c r="BO60" s="26">
        <v>0</v>
      </c>
      <c r="BP60" s="26">
        <v>1.7595836734822683</v>
      </c>
      <c r="BQ60" s="26">
        <v>0</v>
      </c>
      <c r="BR60" s="26">
        <v>0</v>
      </c>
      <c r="BS60" s="26">
        <v>0</v>
      </c>
      <c r="BT60" s="26">
        <v>0</v>
      </c>
      <c r="BU60" s="26">
        <v>0</v>
      </c>
      <c r="BV60" s="26">
        <v>0</v>
      </c>
      <c r="BW60" s="26">
        <v>41.413297307480669</v>
      </c>
      <c r="BX60" s="26">
        <v>251.90304623971033</v>
      </c>
      <c r="BY60" s="26">
        <v>41.754533333333342</v>
      </c>
      <c r="BZ60" s="26">
        <v>0</v>
      </c>
      <c r="CA60" s="26">
        <v>0</v>
      </c>
      <c r="CB60" s="26">
        <v>455.54627038228733</v>
      </c>
      <c r="CC60" s="26">
        <v>293.65757957304368</v>
      </c>
      <c r="CD60" s="30">
        <v>1.5512838832378097</v>
      </c>
      <c r="CE60" s="26">
        <v>21.497662727169729</v>
      </c>
      <c r="CF60" s="26">
        <v>8.144971079570043</v>
      </c>
      <c r="CG60" s="26">
        <v>0</v>
      </c>
      <c r="CH60" s="26">
        <v>8.144971079570043</v>
      </c>
      <c r="CI60" s="26">
        <v>0.40724304887265145</v>
      </c>
      <c r="CJ60" s="26">
        <v>0</v>
      </c>
      <c r="CK60" s="26">
        <v>0.40724304887265145</v>
      </c>
      <c r="CL60" s="26"/>
      <c r="CM60" s="26">
        <v>0</v>
      </c>
      <c r="CN60" s="26"/>
      <c r="CO60" s="26">
        <v>0</v>
      </c>
      <c r="CP60" s="26">
        <v>0</v>
      </c>
      <c r="CQ60" s="26">
        <v>0</v>
      </c>
      <c r="CR60" s="26">
        <v>0</v>
      </c>
      <c r="CS60" s="26">
        <v>0</v>
      </c>
      <c r="CT60" s="26">
        <v>0</v>
      </c>
      <c r="CU60" s="26">
        <v>112.09127054063862</v>
      </c>
      <c r="CV60" s="26">
        <v>9999</v>
      </c>
      <c r="CW60" s="94">
        <v>0</v>
      </c>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t="s">
        <v>317</v>
      </c>
      <c r="B61" s="7"/>
      <c r="C61" s="26">
        <v>17</v>
      </c>
      <c r="D61" s="26">
        <v>801.85271513185091</v>
      </c>
      <c r="E61" s="26">
        <v>0</v>
      </c>
      <c r="F61" s="26">
        <v>208.77266666666668</v>
      </c>
      <c r="G61" s="26">
        <v>0</v>
      </c>
      <c r="H61" s="26">
        <v>0</v>
      </c>
      <c r="I61" s="26"/>
      <c r="J61" s="26"/>
      <c r="K61" s="26"/>
      <c r="L61" s="26">
        <v>857.35378710031875</v>
      </c>
      <c r="M61" s="26">
        <v>2.2804118462575679E-3</v>
      </c>
      <c r="N61" s="26">
        <v>2.2639528561873286E-3</v>
      </c>
      <c r="O61" s="26">
        <v>0</v>
      </c>
      <c r="P61" s="26">
        <v>0</v>
      </c>
      <c r="Q61" s="26">
        <v>0</v>
      </c>
      <c r="R61" s="26">
        <v>41.632058623454505</v>
      </c>
      <c r="S61" s="26">
        <v>10.307716636974845</v>
      </c>
      <c r="T61" s="26">
        <v>85.994687207305276</v>
      </c>
      <c r="U61" s="26">
        <v>113.96858377197572</v>
      </c>
      <c r="V61" s="26">
        <v>12.52636</v>
      </c>
      <c r="W61" s="26">
        <v>3.1315899999999997</v>
      </c>
      <c r="X61" s="26">
        <v>26.096583333333335</v>
      </c>
      <c r="Y61" s="26">
        <v>0</v>
      </c>
      <c r="Z61" s="26">
        <v>0</v>
      </c>
      <c r="AA61" s="26">
        <v>0</v>
      </c>
      <c r="AB61" s="26">
        <v>0</v>
      </c>
      <c r="AC61" s="26">
        <v>0</v>
      </c>
      <c r="AD61" s="26">
        <v>0</v>
      </c>
      <c r="AE61" s="26">
        <v>0</v>
      </c>
      <c r="AF61" s="26">
        <v>0</v>
      </c>
      <c r="AG61" s="26">
        <v>0</v>
      </c>
      <c r="AH61" s="26">
        <v>54.158418623454509</v>
      </c>
      <c r="AI61" s="26">
        <v>13.439306636974845</v>
      </c>
      <c r="AJ61" s="26">
        <v>112.09127054063862</v>
      </c>
      <c r="AK61" s="26">
        <v>113.96858377197572</v>
      </c>
      <c r="AL61" s="26">
        <v>293.65757957304368</v>
      </c>
      <c r="AM61" s="26">
        <v>412.3733894013244</v>
      </c>
      <c r="AN61" s="26">
        <v>0.80578007098083615</v>
      </c>
      <c r="AO61" s="26">
        <v>41.317916947230529</v>
      </c>
      <c r="AP61" s="26">
        <v>0</v>
      </c>
      <c r="AQ61" s="26">
        <v>454.49708641953578</v>
      </c>
      <c r="AR61" s="26">
        <v>54.158418623454509</v>
      </c>
      <c r="AS61" s="30">
        <v>8.3919933035619643</v>
      </c>
      <c r="AT61" s="26">
        <v>412.3733894013244</v>
      </c>
      <c r="AU61" s="26">
        <v>0.95380360250143204</v>
      </c>
      <c r="AV61" s="26">
        <v>41.332719300382585</v>
      </c>
      <c r="AW61" s="26">
        <v>0</v>
      </c>
      <c r="AX61" s="26">
        <v>454.65991230420838</v>
      </c>
      <c r="AY61" s="26">
        <v>13.439306636974845</v>
      </c>
      <c r="AZ61" s="30">
        <v>33.83060782714243</v>
      </c>
      <c r="BA61" s="26">
        <v>412.3733894013244</v>
      </c>
      <c r="BB61" s="26">
        <v>1.7595836734822683</v>
      </c>
      <c r="BC61" s="26">
        <v>41.413297307480669</v>
      </c>
      <c r="BD61" s="26">
        <v>0</v>
      </c>
      <c r="BE61" s="26">
        <v>455.54627038228733</v>
      </c>
      <c r="BF61" s="26">
        <v>67.597725260429343</v>
      </c>
      <c r="BG61" s="26">
        <v>2.096244071733532</v>
      </c>
      <c r="BH61" s="30">
        <v>6.7390769234798062</v>
      </c>
      <c r="BI61" s="26">
        <v>4.6481059479802589</v>
      </c>
      <c r="BJ61" s="26">
        <v>1.1534184842132833</v>
      </c>
      <c r="BK61" s="26">
        <v>9.6201498226717224</v>
      </c>
      <c r="BL61" s="26">
        <v>9.7812688327644768</v>
      </c>
      <c r="BM61" s="26">
        <v>25.202943087629741</v>
      </c>
      <c r="BN61" s="26">
        <v>412.3733894013244</v>
      </c>
      <c r="BO61" s="26">
        <v>0</v>
      </c>
      <c r="BP61" s="26">
        <v>1.7595836734822683</v>
      </c>
      <c r="BQ61" s="26">
        <v>0</v>
      </c>
      <c r="BR61" s="26">
        <v>0</v>
      </c>
      <c r="BS61" s="26">
        <v>0</v>
      </c>
      <c r="BT61" s="26">
        <v>0</v>
      </c>
      <c r="BU61" s="26">
        <v>0</v>
      </c>
      <c r="BV61" s="26">
        <v>0</v>
      </c>
      <c r="BW61" s="26">
        <v>41.413297307480669</v>
      </c>
      <c r="BX61" s="26">
        <v>251.90304623971033</v>
      </c>
      <c r="BY61" s="26">
        <v>41.754533333333342</v>
      </c>
      <c r="BZ61" s="26">
        <v>0</v>
      </c>
      <c r="CA61" s="26">
        <v>0</v>
      </c>
      <c r="CB61" s="26">
        <v>455.54627038228733</v>
      </c>
      <c r="CC61" s="26">
        <v>293.65757957304368</v>
      </c>
      <c r="CD61" s="30">
        <v>1.5512838832378097</v>
      </c>
      <c r="CE61" s="26">
        <v>21.497662727169729</v>
      </c>
      <c r="CF61" s="26">
        <v>8.144971079570043</v>
      </c>
      <c r="CG61" s="26">
        <v>0</v>
      </c>
      <c r="CH61" s="26">
        <v>8.144971079570043</v>
      </c>
      <c r="CI61" s="26">
        <v>0.40724304887265145</v>
      </c>
      <c r="CJ61" s="26">
        <v>0</v>
      </c>
      <c r="CK61" s="26">
        <v>0.40724304887265145</v>
      </c>
      <c r="CL61" s="26"/>
      <c r="CM61" s="26">
        <v>0</v>
      </c>
      <c r="CN61" s="26"/>
      <c r="CO61" s="26">
        <v>0</v>
      </c>
      <c r="CP61" s="26">
        <v>0</v>
      </c>
      <c r="CQ61" s="26">
        <v>0</v>
      </c>
      <c r="CR61" s="26">
        <v>0</v>
      </c>
      <c r="CS61" s="26">
        <v>0</v>
      </c>
      <c r="CT61" s="26">
        <v>0</v>
      </c>
      <c r="CU61" s="26">
        <v>112.09127054063862</v>
      </c>
      <c r="CV61" s="26">
        <v>9999</v>
      </c>
      <c r="CW61" s="94">
        <v>0</v>
      </c>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t="s">
        <v>316</v>
      </c>
      <c r="B62" s="7"/>
      <c r="C62" s="26">
        <v>20</v>
      </c>
      <c r="D62" s="26">
        <v>1039.5442662823673</v>
      </c>
      <c r="E62" s="26">
        <v>0</v>
      </c>
      <c r="F62" s="26">
        <v>333.10200000000003</v>
      </c>
      <c r="G62" s="26">
        <v>0</v>
      </c>
      <c r="H62" s="26">
        <v>0</v>
      </c>
      <c r="I62" s="26"/>
      <c r="J62" s="26"/>
      <c r="K62" s="26"/>
      <c r="L62" s="26">
        <v>1111.4974068636257</v>
      </c>
      <c r="M62" s="26">
        <v>2.9563896396480236E-3</v>
      </c>
      <c r="N62" s="26">
        <v>2.9350517450029922E-3</v>
      </c>
      <c r="O62" s="26">
        <v>0</v>
      </c>
      <c r="P62" s="26">
        <v>0</v>
      </c>
      <c r="Q62" s="26">
        <v>0</v>
      </c>
      <c r="R62" s="26">
        <v>66.424988543790576</v>
      </c>
      <c r="S62" s="26">
        <v>16.446219143675872</v>
      </c>
      <c r="T62" s="26">
        <v>137.20666960614804</v>
      </c>
      <c r="U62" s="26">
        <v>136.25188617329493</v>
      </c>
      <c r="V62" s="26">
        <v>19.986120000000003</v>
      </c>
      <c r="W62" s="26">
        <v>4.9965299999999999</v>
      </c>
      <c r="X62" s="26">
        <v>41.637750000000004</v>
      </c>
      <c r="Y62" s="26">
        <v>0</v>
      </c>
      <c r="Z62" s="26">
        <v>0</v>
      </c>
      <c r="AA62" s="26">
        <v>0</v>
      </c>
      <c r="AB62" s="26">
        <v>0</v>
      </c>
      <c r="AC62" s="26">
        <v>0</v>
      </c>
      <c r="AD62" s="26">
        <v>0</v>
      </c>
      <c r="AE62" s="26">
        <v>0</v>
      </c>
      <c r="AF62" s="26">
        <v>0</v>
      </c>
      <c r="AG62" s="26">
        <v>0</v>
      </c>
      <c r="AH62" s="26">
        <v>86.411108543790576</v>
      </c>
      <c r="AI62" s="26">
        <v>21.442749143675872</v>
      </c>
      <c r="AJ62" s="26">
        <v>178.84441960614805</v>
      </c>
      <c r="AK62" s="26">
        <v>136.25188617329493</v>
      </c>
      <c r="AL62" s="26">
        <v>422.95016346690943</v>
      </c>
      <c r="AM62" s="26">
        <v>534.61238508007511</v>
      </c>
      <c r="AN62" s="26">
        <v>1.0446358001481495</v>
      </c>
      <c r="AO62" s="26">
        <v>53.565702088022327</v>
      </c>
      <c r="AP62" s="26">
        <v>0</v>
      </c>
      <c r="AQ62" s="26">
        <v>589.22272296824565</v>
      </c>
      <c r="AR62" s="26">
        <v>86.411108543790576</v>
      </c>
      <c r="AS62" s="30">
        <v>6.8188307371342782</v>
      </c>
      <c r="AT62" s="26">
        <v>534.61238508007511</v>
      </c>
      <c r="AU62" s="26">
        <v>1.2365376426726835</v>
      </c>
      <c r="AV62" s="26">
        <v>53.584892272274786</v>
      </c>
      <c r="AW62" s="26">
        <v>0</v>
      </c>
      <c r="AX62" s="26">
        <v>589.43381499502266</v>
      </c>
      <c r="AY62" s="26">
        <v>21.442749143675872</v>
      </c>
      <c r="AZ62" s="30">
        <v>27.488724092491882</v>
      </c>
      <c r="BA62" s="26">
        <v>534.61238508007511</v>
      </c>
      <c r="BB62" s="26">
        <v>2.2811734428208332</v>
      </c>
      <c r="BC62" s="26">
        <v>53.689355852289594</v>
      </c>
      <c r="BD62" s="26">
        <v>0</v>
      </c>
      <c r="BE62" s="26">
        <v>590.58291437518562</v>
      </c>
      <c r="BF62" s="26">
        <v>107.85385768746646</v>
      </c>
      <c r="BG62" s="26">
        <v>3.4347053734989079</v>
      </c>
      <c r="BH62" s="30">
        <v>5.475769963523673</v>
      </c>
      <c r="BI62" s="26">
        <v>5.7204637412792172</v>
      </c>
      <c r="BJ62" s="26">
        <v>1.4195219926797042</v>
      </c>
      <c r="BK62" s="26">
        <v>11.839600659313763</v>
      </c>
      <c r="BL62" s="26">
        <v>9.0199511112653763</v>
      </c>
      <c r="BM62" s="26">
        <v>27.999537504538061</v>
      </c>
      <c r="BN62" s="26">
        <v>534.61238508007511</v>
      </c>
      <c r="BO62" s="26">
        <v>0</v>
      </c>
      <c r="BP62" s="26">
        <v>2.2811734428208332</v>
      </c>
      <c r="BQ62" s="26">
        <v>0</v>
      </c>
      <c r="BR62" s="26">
        <v>0</v>
      </c>
      <c r="BS62" s="26">
        <v>0</v>
      </c>
      <c r="BT62" s="26">
        <v>0</v>
      </c>
      <c r="BU62" s="26">
        <v>0</v>
      </c>
      <c r="BV62" s="26">
        <v>0</v>
      </c>
      <c r="BW62" s="26">
        <v>53.689355852289594</v>
      </c>
      <c r="BX62" s="26">
        <v>356.32976346690941</v>
      </c>
      <c r="BY62" s="26">
        <v>66.620400000000004</v>
      </c>
      <c r="BZ62" s="26">
        <v>0</v>
      </c>
      <c r="CA62" s="26">
        <v>0</v>
      </c>
      <c r="CB62" s="26">
        <v>590.58291437518562</v>
      </c>
      <c r="CC62" s="26">
        <v>422.95016346690943</v>
      </c>
      <c r="CD62" s="30">
        <v>1.3963416151307182</v>
      </c>
      <c r="CE62" s="26">
        <v>24.294257144078045</v>
      </c>
      <c r="CF62" s="26">
        <v>10.559368104665552</v>
      </c>
      <c r="CG62" s="26">
        <v>0</v>
      </c>
      <c r="CH62" s="26">
        <v>10.559368104665552</v>
      </c>
      <c r="CI62" s="26">
        <v>0.52796126826022205</v>
      </c>
      <c r="CJ62" s="26">
        <v>0</v>
      </c>
      <c r="CK62" s="26">
        <v>0.52796126826022205</v>
      </c>
      <c r="CL62" s="26"/>
      <c r="CM62" s="26">
        <v>0</v>
      </c>
      <c r="CN62" s="26"/>
      <c r="CO62" s="26">
        <v>0</v>
      </c>
      <c r="CP62" s="26">
        <v>0</v>
      </c>
      <c r="CQ62" s="26">
        <v>0</v>
      </c>
      <c r="CR62" s="26">
        <v>0</v>
      </c>
      <c r="CS62" s="26">
        <v>0</v>
      </c>
      <c r="CT62" s="26">
        <v>0</v>
      </c>
      <c r="CU62" s="26">
        <v>178.84441960614805</v>
      </c>
      <c r="CV62" s="26">
        <v>9999</v>
      </c>
      <c r="CW62" s="94">
        <v>0</v>
      </c>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t="s">
        <v>313</v>
      </c>
      <c r="B63" s="7"/>
      <c r="C63" s="26">
        <v>20</v>
      </c>
      <c r="D63" s="26">
        <v>1375.738818122496</v>
      </c>
      <c r="E63" s="26">
        <v>0</v>
      </c>
      <c r="F63" s="26">
        <v>446.65133333333335</v>
      </c>
      <c r="G63" s="26">
        <v>0</v>
      </c>
      <c r="H63" s="26">
        <v>0</v>
      </c>
      <c r="I63" s="26"/>
      <c r="J63" s="26"/>
      <c r="K63" s="26"/>
      <c r="L63" s="26">
        <v>1470.9620152427756</v>
      </c>
      <c r="M63" s="26">
        <v>3.9125029310240079E-3</v>
      </c>
      <c r="N63" s="26">
        <v>3.8842642394046902E-3</v>
      </c>
      <c r="O63" s="26">
        <v>0</v>
      </c>
      <c r="P63" s="26">
        <v>0</v>
      </c>
      <c r="Q63" s="26">
        <v>0</v>
      </c>
      <c r="R63" s="26">
        <v>89.06824245947324</v>
      </c>
      <c r="S63" s="26">
        <v>22.052481548639815</v>
      </c>
      <c r="T63" s="26">
        <v>183.97830671029342</v>
      </c>
      <c r="U63" s="26">
        <v>182.69805233377087</v>
      </c>
      <c r="V63" s="26">
        <v>26.79908</v>
      </c>
      <c r="W63" s="26">
        <v>6.6997699999999991</v>
      </c>
      <c r="X63" s="26">
        <v>55.831416666666669</v>
      </c>
      <c r="Y63" s="26">
        <v>0</v>
      </c>
      <c r="Z63" s="26">
        <v>0</v>
      </c>
      <c r="AA63" s="26">
        <v>0</v>
      </c>
      <c r="AB63" s="26">
        <v>0</v>
      </c>
      <c r="AC63" s="26">
        <v>0</v>
      </c>
      <c r="AD63" s="26">
        <v>0</v>
      </c>
      <c r="AE63" s="26">
        <v>0</v>
      </c>
      <c r="AF63" s="26">
        <v>0</v>
      </c>
      <c r="AG63" s="26">
        <v>0</v>
      </c>
      <c r="AH63" s="26">
        <v>115.86732245947324</v>
      </c>
      <c r="AI63" s="26">
        <v>28.752251548639812</v>
      </c>
      <c r="AJ63" s="26">
        <v>239.80972337696011</v>
      </c>
      <c r="AK63" s="26">
        <v>182.69805233377087</v>
      </c>
      <c r="AL63" s="26">
        <v>567.12734971884402</v>
      </c>
      <c r="AM63" s="26">
        <v>707.50908321967825</v>
      </c>
      <c r="AN63" s="26">
        <v>1.3824769831147299</v>
      </c>
      <c r="AO63" s="26">
        <v>70.889156020279302</v>
      </c>
      <c r="AP63" s="26">
        <v>0</v>
      </c>
      <c r="AQ63" s="26">
        <v>779.78071622307232</v>
      </c>
      <c r="AR63" s="26">
        <v>115.86732245947324</v>
      </c>
      <c r="AS63" s="30">
        <v>6.729945075720682</v>
      </c>
      <c r="AT63" s="26">
        <v>707.50908321967825</v>
      </c>
      <c r="AU63" s="26">
        <v>1.6364409773315205</v>
      </c>
      <c r="AV63" s="26">
        <v>70.914552419700982</v>
      </c>
      <c r="AW63" s="26">
        <v>0</v>
      </c>
      <c r="AX63" s="26">
        <v>780.06007661671072</v>
      </c>
      <c r="AY63" s="26">
        <v>28.752251548639812</v>
      </c>
      <c r="AZ63" s="30">
        <v>27.130399693988945</v>
      </c>
      <c r="BA63" s="26">
        <v>707.50908321967825</v>
      </c>
      <c r="BB63" s="26">
        <v>3.0189179604462506</v>
      </c>
      <c r="BC63" s="26">
        <v>71.052800118012456</v>
      </c>
      <c r="BD63" s="26">
        <v>0</v>
      </c>
      <c r="BE63" s="26">
        <v>781.58080129813698</v>
      </c>
      <c r="BF63" s="26">
        <v>144.61957400811306</v>
      </c>
      <c r="BG63" s="26">
        <v>3.5290066415339405</v>
      </c>
      <c r="BH63" s="30">
        <v>5.4043915331564367</v>
      </c>
      <c r="BI63" s="26">
        <v>5.7960166911941355</v>
      </c>
      <c r="BJ63" s="26">
        <v>1.4382703107998134</v>
      </c>
      <c r="BK63" s="26">
        <v>11.99597202990228</v>
      </c>
      <c r="BL63" s="26">
        <v>9.1390819973903596</v>
      </c>
      <c r="BM63" s="26">
        <v>28.369341029286588</v>
      </c>
      <c r="BN63" s="26">
        <v>707.50908321967825</v>
      </c>
      <c r="BO63" s="26">
        <v>0</v>
      </c>
      <c r="BP63" s="26">
        <v>3.0189179604462506</v>
      </c>
      <c r="BQ63" s="26">
        <v>0</v>
      </c>
      <c r="BR63" s="26">
        <v>0</v>
      </c>
      <c r="BS63" s="26">
        <v>0</v>
      </c>
      <c r="BT63" s="26">
        <v>0</v>
      </c>
      <c r="BU63" s="26">
        <v>0</v>
      </c>
      <c r="BV63" s="26">
        <v>0</v>
      </c>
      <c r="BW63" s="26">
        <v>71.052800118012456</v>
      </c>
      <c r="BX63" s="26">
        <v>477.79708305217736</v>
      </c>
      <c r="BY63" s="26">
        <v>89.330266666666674</v>
      </c>
      <c r="BZ63" s="26">
        <v>0</v>
      </c>
      <c r="CA63" s="26">
        <v>0</v>
      </c>
      <c r="CB63" s="26">
        <v>781.58080129813698</v>
      </c>
      <c r="CC63" s="26">
        <v>567.12734971884402</v>
      </c>
      <c r="CD63" s="30">
        <v>1.3781398511033003</v>
      </c>
      <c r="CE63" s="26">
        <v>24.664060668826579</v>
      </c>
      <c r="CF63" s="26">
        <v>13.974328047024326</v>
      </c>
      <c r="CG63" s="26">
        <v>0</v>
      </c>
      <c r="CH63" s="26">
        <v>13.974328047024326</v>
      </c>
      <c r="CI63" s="26">
        <v>0.69870695724031839</v>
      </c>
      <c r="CJ63" s="26">
        <v>0</v>
      </c>
      <c r="CK63" s="26">
        <v>0.69870695724031839</v>
      </c>
      <c r="CL63" s="26"/>
      <c r="CM63" s="26">
        <v>0</v>
      </c>
      <c r="CN63" s="26"/>
      <c r="CO63" s="26">
        <v>0</v>
      </c>
      <c r="CP63" s="26">
        <v>0</v>
      </c>
      <c r="CQ63" s="26">
        <v>0</v>
      </c>
      <c r="CR63" s="26">
        <v>0</v>
      </c>
      <c r="CS63" s="26">
        <v>0</v>
      </c>
      <c r="CT63" s="26">
        <v>0</v>
      </c>
      <c r="CU63" s="26">
        <v>239.80972337696011</v>
      </c>
      <c r="CV63" s="26">
        <v>9999</v>
      </c>
      <c r="CW63" s="94">
        <v>0</v>
      </c>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t="s">
        <v>318</v>
      </c>
      <c r="B64" s="7"/>
      <c r="C64" s="26">
        <v>20</v>
      </c>
      <c r="D64" s="26">
        <v>765.28971916213288</v>
      </c>
      <c r="E64" s="26">
        <v>0</v>
      </c>
      <c r="F64" s="26">
        <v>255.12666666666667</v>
      </c>
      <c r="G64" s="26">
        <v>0</v>
      </c>
      <c r="H64" s="26">
        <v>0</v>
      </c>
      <c r="I64" s="26"/>
      <c r="J64" s="26"/>
      <c r="K64" s="26"/>
      <c r="L64" s="26">
        <v>818.2600452312563</v>
      </c>
      <c r="M64" s="26">
        <v>2.1764292973797451E-3</v>
      </c>
      <c r="N64" s="26">
        <v>2.1607208067169993E-3</v>
      </c>
      <c r="O64" s="26">
        <v>0</v>
      </c>
      <c r="P64" s="26">
        <v>0</v>
      </c>
      <c r="Q64" s="26">
        <v>0</v>
      </c>
      <c r="R64" s="26">
        <v>50.875665443464193</v>
      </c>
      <c r="S64" s="26">
        <v>12.596349074444301</v>
      </c>
      <c r="T64" s="26">
        <v>105.08817197450388</v>
      </c>
      <c r="U64" s="26">
        <v>104.35689232258837</v>
      </c>
      <c r="V64" s="26">
        <v>15.307600000000001</v>
      </c>
      <c r="W64" s="26">
        <v>3.8268999999999993</v>
      </c>
      <c r="X64" s="26">
        <v>31.890833333333333</v>
      </c>
      <c r="Y64" s="26">
        <v>0</v>
      </c>
      <c r="Z64" s="26">
        <v>0</v>
      </c>
      <c r="AA64" s="26">
        <v>0</v>
      </c>
      <c r="AB64" s="26">
        <v>0</v>
      </c>
      <c r="AC64" s="26">
        <v>0</v>
      </c>
      <c r="AD64" s="26">
        <v>0</v>
      </c>
      <c r="AE64" s="26">
        <v>0</v>
      </c>
      <c r="AF64" s="26">
        <v>0</v>
      </c>
      <c r="AG64" s="26">
        <v>0</v>
      </c>
      <c r="AH64" s="26">
        <v>66.183265443464194</v>
      </c>
      <c r="AI64" s="26">
        <v>16.4232490744443</v>
      </c>
      <c r="AJ64" s="26">
        <v>136.97900530783721</v>
      </c>
      <c r="AK64" s="26">
        <v>104.35689232258837</v>
      </c>
      <c r="AL64" s="26">
        <v>323.94241214833403</v>
      </c>
      <c r="AM64" s="26">
        <v>393.56992800477553</v>
      </c>
      <c r="AN64" s="26">
        <v>0.76903799487162583</v>
      </c>
      <c r="AO64" s="26">
        <v>39.433896599964719</v>
      </c>
      <c r="AP64" s="26">
        <v>0</v>
      </c>
      <c r="AQ64" s="26">
        <v>433.77286259961187</v>
      </c>
      <c r="AR64" s="26">
        <v>66.183265443464194</v>
      </c>
      <c r="AS64" s="30">
        <v>6.5541169613360069</v>
      </c>
      <c r="AT64" s="26">
        <v>393.56992800477553</v>
      </c>
      <c r="AU64" s="26">
        <v>0.91031192801302196</v>
      </c>
      <c r="AV64" s="26">
        <v>39.448023993278859</v>
      </c>
      <c r="AW64" s="26">
        <v>0</v>
      </c>
      <c r="AX64" s="26">
        <v>433.92826392606742</v>
      </c>
      <c r="AY64" s="26">
        <v>16.4232490744443</v>
      </c>
      <c r="AZ64" s="30">
        <v>26.421584545124478</v>
      </c>
      <c r="BA64" s="26">
        <v>393.56992800477553</v>
      </c>
      <c r="BB64" s="26">
        <v>1.6793499228846478</v>
      </c>
      <c r="BC64" s="26">
        <v>39.524927792766022</v>
      </c>
      <c r="BD64" s="26">
        <v>0</v>
      </c>
      <c r="BE64" s="26">
        <v>434.77420572042615</v>
      </c>
      <c r="BF64" s="26">
        <v>82.606514517908494</v>
      </c>
      <c r="BG64" s="26">
        <v>3.7230817625581647</v>
      </c>
      <c r="BH64" s="30">
        <v>5.2631951397267862</v>
      </c>
      <c r="BI64" s="26">
        <v>5.9515071549387786</v>
      </c>
      <c r="BJ64" s="26">
        <v>1.4768549680793872</v>
      </c>
      <c r="BK64" s="26">
        <v>12.317789469943673</v>
      </c>
      <c r="BL64" s="26">
        <v>9.3842572916805835</v>
      </c>
      <c r="BM64" s="26">
        <v>29.130408884642417</v>
      </c>
      <c r="BN64" s="26">
        <v>393.56992800477553</v>
      </c>
      <c r="BO64" s="26">
        <v>0</v>
      </c>
      <c r="BP64" s="26">
        <v>1.6793499228846478</v>
      </c>
      <c r="BQ64" s="26">
        <v>0</v>
      </c>
      <c r="BR64" s="26">
        <v>0</v>
      </c>
      <c r="BS64" s="26">
        <v>0</v>
      </c>
      <c r="BT64" s="26">
        <v>0</v>
      </c>
      <c r="BU64" s="26">
        <v>0</v>
      </c>
      <c r="BV64" s="26">
        <v>0</v>
      </c>
      <c r="BW64" s="26">
        <v>39.524927792766022</v>
      </c>
      <c r="BX64" s="26">
        <v>272.91707881500071</v>
      </c>
      <c r="BY64" s="26">
        <v>51.025333333333336</v>
      </c>
      <c r="BZ64" s="26">
        <v>0</v>
      </c>
      <c r="CA64" s="26">
        <v>0</v>
      </c>
      <c r="CB64" s="26">
        <v>434.77420572042615</v>
      </c>
      <c r="CC64" s="26">
        <v>323.94241214833403</v>
      </c>
      <c r="CD64" s="30">
        <v>1.3421342479889358</v>
      </c>
      <c r="CE64" s="26">
        <v>25.425128524182412</v>
      </c>
      <c r="CF64" s="26">
        <v>7.7735755113617184</v>
      </c>
      <c r="CG64" s="26">
        <v>0</v>
      </c>
      <c r="CH64" s="26">
        <v>7.7735755113617184</v>
      </c>
      <c r="CI64" s="26">
        <v>0.3886735214848468</v>
      </c>
      <c r="CJ64" s="26">
        <v>0</v>
      </c>
      <c r="CK64" s="26">
        <v>0.3886735214848468</v>
      </c>
      <c r="CL64" s="26"/>
      <c r="CM64" s="26">
        <v>0</v>
      </c>
      <c r="CN64" s="26"/>
      <c r="CO64" s="26">
        <v>0</v>
      </c>
      <c r="CP64" s="26">
        <v>0</v>
      </c>
      <c r="CQ64" s="26">
        <v>0</v>
      </c>
      <c r="CR64" s="26">
        <v>0</v>
      </c>
      <c r="CS64" s="26">
        <v>0</v>
      </c>
      <c r="CT64" s="26">
        <v>0</v>
      </c>
      <c r="CU64" s="26">
        <v>136.97900530783721</v>
      </c>
      <c r="CV64" s="26">
        <v>9999</v>
      </c>
      <c r="CW64" s="94">
        <v>0</v>
      </c>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t="s">
        <v>320</v>
      </c>
      <c r="B65" s="7"/>
      <c r="C65" s="26">
        <v>20</v>
      </c>
      <c r="D65" s="26">
        <v>787.56249081075168</v>
      </c>
      <c r="E65" s="26">
        <v>0</v>
      </c>
      <c r="F65" s="26">
        <v>282.43600000000004</v>
      </c>
      <c r="G65" s="26">
        <v>0</v>
      </c>
      <c r="H65" s="26">
        <v>0</v>
      </c>
      <c r="I65" s="26"/>
      <c r="J65" s="26"/>
      <c r="K65" s="26"/>
      <c r="L65" s="26">
        <v>842.07444999887502</v>
      </c>
      <c r="M65" s="26">
        <v>2.2397714690255044E-3</v>
      </c>
      <c r="N65" s="26">
        <v>2.2236058029732101E-3</v>
      </c>
      <c r="O65" s="26">
        <v>0</v>
      </c>
      <c r="P65" s="26">
        <v>0</v>
      </c>
      <c r="Q65" s="26">
        <v>0</v>
      </c>
      <c r="R65" s="26">
        <v>56.321511321919523</v>
      </c>
      <c r="S65" s="26">
        <v>13.94469066551158</v>
      </c>
      <c r="T65" s="26">
        <v>116.33704672107051</v>
      </c>
      <c r="U65" s="26">
        <v>115.52748924725981</v>
      </c>
      <c r="V65" s="26">
        <v>16.946160000000003</v>
      </c>
      <c r="W65" s="26">
        <v>4.2365399999999998</v>
      </c>
      <c r="X65" s="26">
        <v>35.304500000000004</v>
      </c>
      <c r="Y65" s="26">
        <v>0</v>
      </c>
      <c r="Z65" s="26">
        <v>0</v>
      </c>
      <c r="AA65" s="26">
        <v>0</v>
      </c>
      <c r="AB65" s="26">
        <v>0</v>
      </c>
      <c r="AC65" s="26">
        <v>0</v>
      </c>
      <c r="AD65" s="26">
        <v>0</v>
      </c>
      <c r="AE65" s="26">
        <v>0</v>
      </c>
      <c r="AF65" s="26">
        <v>0</v>
      </c>
      <c r="AG65" s="26">
        <v>0</v>
      </c>
      <c r="AH65" s="26">
        <v>73.267671321919522</v>
      </c>
      <c r="AI65" s="26">
        <v>18.181230665511578</v>
      </c>
      <c r="AJ65" s="26">
        <v>151.64154672107051</v>
      </c>
      <c r="AK65" s="26">
        <v>115.52748924725981</v>
      </c>
      <c r="AL65" s="26">
        <v>358.61793795576148</v>
      </c>
      <c r="AM65" s="26">
        <v>405.02427387500512</v>
      </c>
      <c r="AN65" s="26">
        <v>0.79141985525731162</v>
      </c>
      <c r="AO65" s="26">
        <v>40.581569373026248</v>
      </c>
      <c r="AP65" s="26">
        <v>0</v>
      </c>
      <c r="AQ65" s="26">
        <v>446.39726310328865</v>
      </c>
      <c r="AR65" s="26">
        <v>73.267671321919522</v>
      </c>
      <c r="AS65" s="30">
        <v>6.0926907468088149</v>
      </c>
      <c r="AT65" s="26">
        <v>405.02427387500512</v>
      </c>
      <c r="AU65" s="26">
        <v>0.93680538427406512</v>
      </c>
      <c r="AV65" s="26">
        <v>40.596107925927917</v>
      </c>
      <c r="AW65" s="26">
        <v>0</v>
      </c>
      <c r="AX65" s="26">
        <v>446.55718718520711</v>
      </c>
      <c r="AY65" s="26">
        <v>18.181230665511578</v>
      </c>
      <c r="AZ65" s="30">
        <v>24.561438958710998</v>
      </c>
      <c r="BA65" s="26">
        <v>405.02427387500512</v>
      </c>
      <c r="BB65" s="26">
        <v>1.7282252395313766</v>
      </c>
      <c r="BC65" s="26">
        <v>40.675249911453655</v>
      </c>
      <c r="BD65" s="26">
        <v>0</v>
      </c>
      <c r="BE65" s="26">
        <v>447.42774902599012</v>
      </c>
      <c r="BF65" s="26">
        <v>91.4489019874311</v>
      </c>
      <c r="BG65" s="26">
        <v>4.2856642334240522</v>
      </c>
      <c r="BH65" s="30">
        <v>4.8926530477914909</v>
      </c>
      <c r="BI65" s="26">
        <v>6.4022409163188883</v>
      </c>
      <c r="BJ65" s="26">
        <v>1.5887036775651733</v>
      </c>
      <c r="BK65" s="26">
        <v>13.250669736258857</v>
      </c>
      <c r="BL65" s="26">
        <v>10.094968289201248</v>
      </c>
      <c r="BM65" s="26">
        <v>31.336582619344171</v>
      </c>
      <c r="BN65" s="26">
        <v>405.02427387500512</v>
      </c>
      <c r="BO65" s="26">
        <v>0</v>
      </c>
      <c r="BP65" s="26">
        <v>1.7282252395313766</v>
      </c>
      <c r="BQ65" s="26">
        <v>0</v>
      </c>
      <c r="BR65" s="26">
        <v>0</v>
      </c>
      <c r="BS65" s="26">
        <v>0</v>
      </c>
      <c r="BT65" s="26">
        <v>0</v>
      </c>
      <c r="BU65" s="26">
        <v>0</v>
      </c>
      <c r="BV65" s="26">
        <v>0</v>
      </c>
      <c r="BW65" s="26">
        <v>40.675249911453655</v>
      </c>
      <c r="BX65" s="26">
        <v>302.13073795576145</v>
      </c>
      <c r="BY65" s="26">
        <v>56.487200000000009</v>
      </c>
      <c r="BZ65" s="26">
        <v>0</v>
      </c>
      <c r="CA65" s="26">
        <v>0</v>
      </c>
      <c r="CB65" s="26">
        <v>447.42774902599012</v>
      </c>
      <c r="CC65" s="26">
        <v>358.61793795576148</v>
      </c>
      <c r="CD65" s="30">
        <v>1.2476446425866854</v>
      </c>
      <c r="CE65" s="26">
        <v>27.631302258884162</v>
      </c>
      <c r="CF65" s="26">
        <v>7.9998154149206036</v>
      </c>
      <c r="CG65" s="26">
        <v>0</v>
      </c>
      <c r="CH65" s="26">
        <v>7.9998154149206036</v>
      </c>
      <c r="CI65" s="26">
        <v>0.39998536374946564</v>
      </c>
      <c r="CJ65" s="26">
        <v>0</v>
      </c>
      <c r="CK65" s="26">
        <v>0.39998536374946564</v>
      </c>
      <c r="CL65" s="26"/>
      <c r="CM65" s="26">
        <v>0</v>
      </c>
      <c r="CN65" s="26"/>
      <c r="CO65" s="26">
        <v>0</v>
      </c>
      <c r="CP65" s="26">
        <v>0</v>
      </c>
      <c r="CQ65" s="26">
        <v>0</v>
      </c>
      <c r="CR65" s="26">
        <v>0</v>
      </c>
      <c r="CS65" s="26">
        <v>0</v>
      </c>
      <c r="CT65" s="26">
        <v>0</v>
      </c>
      <c r="CU65" s="26">
        <v>151.64154672107051</v>
      </c>
      <c r="CV65" s="26">
        <v>9999</v>
      </c>
      <c r="CW65" s="94">
        <v>0</v>
      </c>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c r="B66" s="7"/>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c r="B67" s="7"/>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ht="13.5" thickBot="1">
      <c r="A68" s="24" t="s">
        <v>519</v>
      </c>
      <c r="B68" s="25"/>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ht="13.5" thickBot="1">
      <c r="A69" s="279" t="s">
        <v>520</v>
      </c>
      <c r="B69" s="280"/>
      <c r="C69" s="281"/>
      <c r="D69" s="281"/>
      <c r="E69" s="281"/>
      <c r="F69" s="281"/>
      <c r="G69" s="281"/>
      <c r="H69" s="281"/>
      <c r="I69" s="281"/>
      <c r="J69" s="281"/>
      <c r="K69" s="281"/>
      <c r="L69" s="31"/>
      <c r="M69" s="282"/>
      <c r="N69" s="283" t="s">
        <v>521</v>
      </c>
      <c r="O69" s="281"/>
      <c r="P69" s="281"/>
      <c r="Q69" s="281"/>
      <c r="R69" s="281"/>
      <c r="S69" s="281"/>
      <c r="T69" s="281"/>
      <c r="U69" s="281"/>
      <c r="V69" s="281"/>
      <c r="W69" s="281"/>
      <c r="X69" s="281"/>
      <c r="Y69" s="31"/>
      <c r="Z69" s="282"/>
      <c r="AA69" s="283" t="s">
        <v>522</v>
      </c>
      <c r="AB69" s="281"/>
      <c r="AC69" s="281"/>
      <c r="AD69" s="281"/>
      <c r="AE69" s="281"/>
      <c r="AF69" s="281"/>
      <c r="AG69" s="281"/>
      <c r="AH69" s="281"/>
      <c r="AI69" s="281"/>
      <c r="AJ69" s="281"/>
      <c r="AK69" s="281"/>
      <c r="AL69" s="31"/>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ht="191.25">
      <c r="A70" s="27"/>
      <c r="B70" s="28" t="s">
        <v>523</v>
      </c>
      <c r="C70" s="29" t="s">
        <v>524</v>
      </c>
      <c r="D70" s="29" t="s">
        <v>141</v>
      </c>
      <c r="E70" s="29" t="s">
        <v>142</v>
      </c>
      <c r="F70" s="29" t="s">
        <v>143</v>
      </c>
      <c r="G70" s="29" t="s">
        <v>144</v>
      </c>
      <c r="H70" s="29" t="s">
        <v>145</v>
      </c>
      <c r="I70" s="29" t="s">
        <v>146</v>
      </c>
      <c r="J70" s="29" t="s">
        <v>147</v>
      </c>
      <c r="K70" s="29" t="s">
        <v>21</v>
      </c>
      <c r="L70" s="29" t="s">
        <v>140</v>
      </c>
      <c r="M70" s="29" t="s">
        <v>148</v>
      </c>
      <c r="N70" s="29" t="s">
        <v>149</v>
      </c>
      <c r="O70" s="29" t="s">
        <v>150</v>
      </c>
      <c r="P70" s="29" t="s">
        <v>151</v>
      </c>
      <c r="Q70" s="29" t="s">
        <v>152</v>
      </c>
      <c r="R70" s="29" t="s">
        <v>153</v>
      </c>
      <c r="S70" s="29" t="s">
        <v>154</v>
      </c>
      <c r="T70" s="29" t="s">
        <v>155</v>
      </c>
      <c r="U70" s="29" t="s">
        <v>156</v>
      </c>
      <c r="V70" s="29" t="s">
        <v>157</v>
      </c>
      <c r="W70" s="29" t="s">
        <v>158</v>
      </c>
      <c r="X70" s="29" t="s">
        <v>159</v>
      </c>
      <c r="Y70" s="29" t="s">
        <v>160</v>
      </c>
      <c r="Z70" s="29"/>
      <c r="AA70" s="29" t="s">
        <v>149</v>
      </c>
      <c r="AB70" s="29" t="s">
        <v>150</v>
      </c>
      <c r="AC70" s="29" t="s">
        <v>151</v>
      </c>
      <c r="AD70" s="29" t="s">
        <v>152</v>
      </c>
      <c r="AE70" s="29" t="s">
        <v>153</v>
      </c>
      <c r="AF70" s="29" t="s">
        <v>154</v>
      </c>
      <c r="AG70" s="29" t="s">
        <v>155</v>
      </c>
      <c r="AH70" s="29" t="s">
        <v>156</v>
      </c>
      <c r="AI70" s="29" t="s">
        <v>157</v>
      </c>
      <c r="AJ70" s="29" t="s">
        <v>158</v>
      </c>
      <c r="AK70" s="29" t="s">
        <v>159</v>
      </c>
      <c r="AL70" s="29" t="s">
        <v>160</v>
      </c>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c r="B71" s="38" t="s">
        <v>525</v>
      </c>
      <c r="C71" s="284">
        <v>7552.2813720040031</v>
      </c>
      <c r="D71" s="284">
        <v>2115.0360000000005</v>
      </c>
      <c r="E71" s="284">
        <v>0</v>
      </c>
      <c r="F71" s="284">
        <v>2115.0360000000005</v>
      </c>
      <c r="G71" s="284">
        <v>2371.6957694037164</v>
      </c>
      <c r="H71" s="284">
        <v>4012.8283838693592</v>
      </c>
      <c r="I71" s="284">
        <v>2453.2607363758302</v>
      </c>
      <c r="J71" s="284">
        <v>1.4213988576865582</v>
      </c>
      <c r="K71" s="284">
        <v>19.402111613393615</v>
      </c>
      <c r="L71" s="30">
        <v>1.7009264470958914</v>
      </c>
      <c r="M71" s="26">
        <v>71.747642904562809</v>
      </c>
      <c r="N71" s="32">
        <v>0</v>
      </c>
      <c r="O71" s="32">
        <v>0.26457024067360335</v>
      </c>
      <c r="P71" s="32">
        <v>14.567011361033911</v>
      </c>
      <c r="Q71" s="32">
        <v>175.4674920426537</v>
      </c>
      <c r="R71" s="32">
        <v>695.0183196753178</v>
      </c>
      <c r="S71" s="32">
        <v>921.12863698907222</v>
      </c>
      <c r="T71" s="32">
        <v>891.76634819924971</v>
      </c>
      <c r="U71" s="32">
        <v>904.52743910535696</v>
      </c>
      <c r="V71" s="32">
        <v>425.22893261464714</v>
      </c>
      <c r="W71" s="32">
        <v>244.51840177601568</v>
      </c>
      <c r="X71" s="32">
        <v>69.109171056174446</v>
      </c>
      <c r="Y71" s="32">
        <v>0.47356612065381665</v>
      </c>
      <c r="Z71" s="32"/>
      <c r="AA71" s="32">
        <v>0</v>
      </c>
      <c r="AB71" s="32">
        <v>0.18093382792468862</v>
      </c>
      <c r="AC71" s="32">
        <v>5.3712827688654619</v>
      </c>
      <c r="AD71" s="32">
        <v>115.64094495139695</v>
      </c>
      <c r="AE71" s="32">
        <v>450.66788450697186</v>
      </c>
      <c r="AF71" s="32">
        <v>677.09889991379282</v>
      </c>
      <c r="AG71" s="32">
        <v>768.02835492850511</v>
      </c>
      <c r="AH71" s="32">
        <v>657.79243047833859</v>
      </c>
      <c r="AI71" s="32">
        <v>340.35409460175248</v>
      </c>
      <c r="AJ71" s="32">
        <v>160.62720016698322</v>
      </c>
      <c r="AK71" s="32">
        <v>34.099492939151673</v>
      </c>
      <c r="AL71" s="32">
        <v>0.34996373947033793</v>
      </c>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c r="B72" s="38" t="s">
        <v>526</v>
      </c>
      <c r="C72" s="284">
        <v>7552.2813720040031</v>
      </c>
      <c r="D72" s="284">
        <v>2115.0360000000005</v>
      </c>
      <c r="E72" s="284">
        <v>423.00720000000007</v>
      </c>
      <c r="F72" s="284">
        <v>2538.0432000000005</v>
      </c>
      <c r="G72" s="284">
        <v>2794.7029694037165</v>
      </c>
      <c r="H72" s="284">
        <v>4012.8283838693592</v>
      </c>
      <c r="I72" s="284">
        <v>2943.9128836509958</v>
      </c>
      <c r="J72" s="284">
        <v>2.9669058696303465</v>
      </c>
      <c r="K72" s="284">
        <v>23.523463645243716</v>
      </c>
      <c r="L72" s="30">
        <v>1.4452783170167993</v>
      </c>
      <c r="M72" s="26">
        <v>71.747642904562809</v>
      </c>
      <c r="N72" s="32">
        <v>0</v>
      </c>
      <c r="O72" s="32">
        <v>5.7433438577575519E-2</v>
      </c>
      <c r="P72" s="32">
        <v>3.162236047911863</v>
      </c>
      <c r="Q72" s="32">
        <v>38.090835163224924</v>
      </c>
      <c r="R72" s="32">
        <v>150.87597105302376</v>
      </c>
      <c r="S72" s="32">
        <v>199.96045231641969</v>
      </c>
      <c r="T72" s="32">
        <v>193.58642776470239</v>
      </c>
      <c r="U72" s="32">
        <v>196.35663097755332</v>
      </c>
      <c r="V72" s="32">
        <v>92.309549708052259</v>
      </c>
      <c r="W72" s="32">
        <v>53.080545165376485</v>
      </c>
      <c r="X72" s="32">
        <v>15.002357486980838</v>
      </c>
      <c r="Y72" s="32">
        <v>0.1028026834527703</v>
      </c>
      <c r="Z72" s="32"/>
      <c r="AA72" s="32">
        <v>0</v>
      </c>
      <c r="AB72" s="32">
        <v>3.9277478322054596E-2</v>
      </c>
      <c r="AC72" s="32">
        <v>1.1660088383447693</v>
      </c>
      <c r="AD72" s="32">
        <v>25.103568307641105</v>
      </c>
      <c r="AE72" s="32">
        <v>97.831888415783936</v>
      </c>
      <c r="AF72" s="32">
        <v>146.9859874645482</v>
      </c>
      <c r="AG72" s="32">
        <v>166.72513596508833</v>
      </c>
      <c r="AH72" s="32">
        <v>142.79490035041226</v>
      </c>
      <c r="AI72" s="32">
        <v>73.884749611925599</v>
      </c>
      <c r="AJ72" s="32">
        <v>34.869274832990662</v>
      </c>
      <c r="AK72" s="32">
        <v>7.4023863313612495</v>
      </c>
      <c r="AL72" s="32">
        <v>7.597083059709997E-2</v>
      </c>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c r="B73" s="38" t="s">
        <v>527</v>
      </c>
      <c r="C73" s="285"/>
      <c r="D73" s="285"/>
      <c r="E73" s="285"/>
      <c r="F73" s="285"/>
      <c r="G73" s="285"/>
      <c r="H73" s="285"/>
      <c r="I73" s="285"/>
      <c r="J73" s="285"/>
      <c r="K73" s="285"/>
      <c r="L73" s="94"/>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c r="B74" s="7" t="s">
        <v>39</v>
      </c>
      <c r="C74" s="286">
        <v>0</v>
      </c>
      <c r="D74" s="286">
        <v>0</v>
      </c>
      <c r="E74" s="286">
        <v>0</v>
      </c>
      <c r="F74" s="286">
        <v>0</v>
      </c>
      <c r="G74" s="286">
        <v>0</v>
      </c>
      <c r="H74" s="286">
        <v>0</v>
      </c>
      <c r="I74" s="286">
        <v>0</v>
      </c>
      <c r="J74" s="286">
        <v>0</v>
      </c>
      <c r="K74" s="286">
        <v>0</v>
      </c>
      <c r="L74" s="94">
        <v>0</v>
      </c>
      <c r="M74" s="286">
        <v>0</v>
      </c>
      <c r="N74" s="286">
        <v>0</v>
      </c>
      <c r="O74" s="286">
        <v>0</v>
      </c>
      <c r="P74" s="286">
        <v>0</v>
      </c>
      <c r="Q74" s="286">
        <v>0</v>
      </c>
      <c r="R74" s="286">
        <v>0</v>
      </c>
      <c r="S74" s="286">
        <v>0</v>
      </c>
      <c r="T74" s="286">
        <v>0</v>
      </c>
      <c r="U74" s="286">
        <v>0</v>
      </c>
      <c r="V74" s="286">
        <v>0</v>
      </c>
      <c r="W74" s="286">
        <v>0</v>
      </c>
      <c r="X74" s="286">
        <v>0</v>
      </c>
      <c r="Y74" s="286">
        <v>0</v>
      </c>
      <c r="Z74" s="286"/>
      <c r="AA74" s="286">
        <v>0</v>
      </c>
      <c r="AB74" s="286">
        <v>0</v>
      </c>
      <c r="AC74" s="286">
        <v>0</v>
      </c>
      <c r="AD74" s="286">
        <v>0</v>
      </c>
      <c r="AE74" s="286">
        <v>0</v>
      </c>
      <c r="AF74" s="286">
        <v>0</v>
      </c>
      <c r="AG74" s="286">
        <v>0</v>
      </c>
      <c r="AH74" s="286">
        <v>0</v>
      </c>
      <c r="AI74" s="286">
        <v>0</v>
      </c>
      <c r="AJ74" s="286">
        <v>0</v>
      </c>
      <c r="AK74" s="286">
        <v>0</v>
      </c>
      <c r="AL74" s="286">
        <v>0</v>
      </c>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c r="B75" s="7" t="s">
        <v>42</v>
      </c>
      <c r="C75" s="286">
        <v>0</v>
      </c>
      <c r="D75" s="286">
        <v>0</v>
      </c>
      <c r="E75" s="286">
        <v>0</v>
      </c>
      <c r="F75" s="286">
        <v>0</v>
      </c>
      <c r="G75" s="286">
        <v>0</v>
      </c>
      <c r="H75" s="286">
        <v>0</v>
      </c>
      <c r="I75" s="286">
        <v>0</v>
      </c>
      <c r="J75" s="286">
        <v>0</v>
      </c>
      <c r="K75" s="286">
        <v>0</v>
      </c>
      <c r="L75" s="287">
        <v>0</v>
      </c>
      <c r="M75" s="286">
        <v>0</v>
      </c>
      <c r="N75" s="286">
        <v>0</v>
      </c>
      <c r="O75" s="286">
        <v>0</v>
      </c>
      <c r="P75" s="286">
        <v>0</v>
      </c>
      <c r="Q75" s="286">
        <v>0</v>
      </c>
      <c r="R75" s="286">
        <v>0</v>
      </c>
      <c r="S75" s="286">
        <v>0</v>
      </c>
      <c r="T75" s="286">
        <v>0</v>
      </c>
      <c r="U75" s="286">
        <v>0</v>
      </c>
      <c r="V75" s="286">
        <v>0</v>
      </c>
      <c r="W75" s="286">
        <v>0</v>
      </c>
      <c r="X75" s="286">
        <v>0</v>
      </c>
      <c r="Y75" s="286">
        <v>0</v>
      </c>
      <c r="Z75" s="286"/>
      <c r="AA75" s="286">
        <v>0</v>
      </c>
      <c r="AB75" s="286">
        <v>0</v>
      </c>
      <c r="AC75" s="286">
        <v>0</v>
      </c>
      <c r="AD75" s="286">
        <v>0</v>
      </c>
      <c r="AE75" s="286">
        <v>0</v>
      </c>
      <c r="AF75" s="286">
        <v>0</v>
      </c>
      <c r="AG75" s="286">
        <v>0</v>
      </c>
      <c r="AH75" s="286">
        <v>0</v>
      </c>
      <c r="AI75" s="286">
        <v>0</v>
      </c>
      <c r="AJ75" s="286">
        <v>0</v>
      </c>
      <c r="AK75" s="286">
        <v>0</v>
      </c>
      <c r="AL75" s="286">
        <v>0</v>
      </c>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c r="A76" s="7"/>
      <c r="B76" s="7" t="s">
        <v>45</v>
      </c>
      <c r="C76" s="286">
        <v>0</v>
      </c>
      <c r="D76" s="286">
        <v>0</v>
      </c>
      <c r="E76" s="286">
        <v>0</v>
      </c>
      <c r="F76" s="286">
        <v>0</v>
      </c>
      <c r="G76" s="286">
        <v>0</v>
      </c>
      <c r="H76" s="286">
        <v>0</v>
      </c>
      <c r="I76" s="286">
        <v>0</v>
      </c>
      <c r="J76" s="286">
        <v>0</v>
      </c>
      <c r="K76" s="286">
        <v>0</v>
      </c>
      <c r="L76" s="287">
        <v>0</v>
      </c>
      <c r="M76" s="286">
        <v>0</v>
      </c>
      <c r="N76" s="286">
        <v>0</v>
      </c>
      <c r="O76" s="286">
        <v>0</v>
      </c>
      <c r="P76" s="286">
        <v>0</v>
      </c>
      <c r="Q76" s="286">
        <v>0</v>
      </c>
      <c r="R76" s="286">
        <v>0</v>
      </c>
      <c r="S76" s="286">
        <v>0</v>
      </c>
      <c r="T76" s="286">
        <v>0</v>
      </c>
      <c r="U76" s="286">
        <v>0</v>
      </c>
      <c r="V76" s="286">
        <v>0</v>
      </c>
      <c r="W76" s="286">
        <v>0</v>
      </c>
      <c r="X76" s="286">
        <v>0</v>
      </c>
      <c r="Y76" s="286">
        <v>0</v>
      </c>
      <c r="Z76" s="286"/>
      <c r="AA76" s="286">
        <v>0</v>
      </c>
      <c r="AB76" s="286">
        <v>0</v>
      </c>
      <c r="AC76" s="286">
        <v>0</v>
      </c>
      <c r="AD76" s="286">
        <v>0</v>
      </c>
      <c r="AE76" s="286">
        <v>0</v>
      </c>
      <c r="AF76" s="286">
        <v>0</v>
      </c>
      <c r="AG76" s="286">
        <v>0</v>
      </c>
      <c r="AH76" s="286">
        <v>0</v>
      </c>
      <c r="AI76" s="286">
        <v>0</v>
      </c>
      <c r="AJ76" s="286">
        <v>0</v>
      </c>
      <c r="AK76" s="286">
        <v>0</v>
      </c>
      <c r="AL76" s="286">
        <v>0</v>
      </c>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c r="A77" s="7"/>
      <c r="B77" s="7" t="s">
        <v>48</v>
      </c>
      <c r="C77" s="26">
        <v>7552.2813720040031</v>
      </c>
      <c r="D77" s="26">
        <v>2115.0360000000005</v>
      </c>
      <c r="E77" s="26">
        <v>423.00720000000007</v>
      </c>
      <c r="F77" s="26">
        <v>2538.0432000000005</v>
      </c>
      <c r="G77" s="26">
        <v>2794.7029694037165</v>
      </c>
      <c r="H77" s="26">
        <v>4012.8283838693592</v>
      </c>
      <c r="I77" s="26">
        <v>2943.9128836509958</v>
      </c>
      <c r="J77" s="26">
        <v>2.9669058696303465</v>
      </c>
      <c r="K77" s="26">
        <v>23.523463645243716</v>
      </c>
      <c r="L77" s="30">
        <v>1.4452783170167993</v>
      </c>
      <c r="M77" s="26">
        <v>71.747642904562809</v>
      </c>
      <c r="N77" s="32">
        <v>0</v>
      </c>
      <c r="O77" s="32">
        <v>0.26457024067360341</v>
      </c>
      <c r="P77" s="32">
        <v>14.567011361033911</v>
      </c>
      <c r="Q77" s="32">
        <v>175.4674920426537</v>
      </c>
      <c r="R77" s="32">
        <v>695.0183196753178</v>
      </c>
      <c r="S77" s="32">
        <v>921.12863698907222</v>
      </c>
      <c r="T77" s="32">
        <v>891.76634819924982</v>
      </c>
      <c r="U77" s="32">
        <v>904.52743910535696</v>
      </c>
      <c r="V77" s="32">
        <v>425.22893261464714</v>
      </c>
      <c r="W77" s="32">
        <v>244.51840177601568</v>
      </c>
      <c r="X77" s="32">
        <v>69.109171056174446</v>
      </c>
      <c r="Y77" s="32">
        <v>0.47356612065381665</v>
      </c>
      <c r="Z77" s="32"/>
      <c r="AA77" s="32">
        <v>0</v>
      </c>
      <c r="AB77" s="32">
        <v>0.18093382792468862</v>
      </c>
      <c r="AC77" s="32">
        <v>5.3712827688654627</v>
      </c>
      <c r="AD77" s="32">
        <v>115.64094495139693</v>
      </c>
      <c r="AE77" s="32">
        <v>450.6678845069718</v>
      </c>
      <c r="AF77" s="32">
        <v>677.09889991379259</v>
      </c>
      <c r="AG77" s="32">
        <v>768.028354928505</v>
      </c>
      <c r="AH77" s="32">
        <v>657.79243047833859</v>
      </c>
      <c r="AI77" s="32">
        <v>340.35409460175248</v>
      </c>
      <c r="AJ77" s="32">
        <v>160.62720016698322</v>
      </c>
      <c r="AK77" s="32">
        <v>34.099492939151673</v>
      </c>
      <c r="AL77" s="32">
        <v>0.34996373947033788</v>
      </c>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c r="A78" s="7"/>
      <c r="B78" s="7" t="s">
        <v>51</v>
      </c>
      <c r="C78" s="286">
        <v>0</v>
      </c>
      <c r="D78" s="286">
        <v>0</v>
      </c>
      <c r="E78" s="286">
        <v>0</v>
      </c>
      <c r="F78" s="286">
        <v>0</v>
      </c>
      <c r="G78" s="286">
        <v>0</v>
      </c>
      <c r="H78" s="286">
        <v>0</v>
      </c>
      <c r="I78" s="286">
        <v>0</v>
      </c>
      <c r="J78" s="286">
        <v>0</v>
      </c>
      <c r="K78" s="286">
        <v>0</v>
      </c>
      <c r="L78" s="287">
        <v>0</v>
      </c>
      <c r="M78" s="286">
        <v>0</v>
      </c>
      <c r="N78" s="286">
        <v>0</v>
      </c>
      <c r="O78" s="286">
        <v>0</v>
      </c>
      <c r="P78" s="286">
        <v>0</v>
      </c>
      <c r="Q78" s="286">
        <v>0</v>
      </c>
      <c r="R78" s="286">
        <v>0</v>
      </c>
      <c r="S78" s="286">
        <v>0</v>
      </c>
      <c r="T78" s="286">
        <v>0</v>
      </c>
      <c r="U78" s="286">
        <v>0</v>
      </c>
      <c r="V78" s="286">
        <v>0</v>
      </c>
      <c r="W78" s="286">
        <v>0</v>
      </c>
      <c r="X78" s="286">
        <v>0</v>
      </c>
      <c r="Y78" s="286">
        <v>0</v>
      </c>
      <c r="Z78" s="286"/>
      <c r="AA78" s="286">
        <v>0</v>
      </c>
      <c r="AB78" s="286">
        <v>0</v>
      </c>
      <c r="AC78" s="286">
        <v>0</v>
      </c>
      <c r="AD78" s="286">
        <v>0</v>
      </c>
      <c r="AE78" s="286">
        <v>0</v>
      </c>
      <c r="AF78" s="286">
        <v>0</v>
      </c>
      <c r="AG78" s="286">
        <v>0</v>
      </c>
      <c r="AH78" s="286">
        <v>0</v>
      </c>
      <c r="AI78" s="286">
        <v>0</v>
      </c>
      <c r="AJ78" s="286">
        <v>0</v>
      </c>
      <c r="AK78" s="286">
        <v>0</v>
      </c>
      <c r="AL78" s="286">
        <v>0</v>
      </c>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c r="B79" s="7" t="s">
        <v>54</v>
      </c>
      <c r="C79" s="286">
        <v>0</v>
      </c>
      <c r="D79" s="286">
        <v>0</v>
      </c>
      <c r="E79" s="286">
        <v>0</v>
      </c>
      <c r="F79" s="286">
        <v>0</v>
      </c>
      <c r="G79" s="286">
        <v>0</v>
      </c>
      <c r="H79" s="286">
        <v>0</v>
      </c>
      <c r="I79" s="286">
        <v>0</v>
      </c>
      <c r="J79" s="286">
        <v>0</v>
      </c>
      <c r="K79" s="286">
        <v>0</v>
      </c>
      <c r="L79" s="287">
        <v>0</v>
      </c>
      <c r="M79" s="286">
        <v>0</v>
      </c>
      <c r="N79" s="286">
        <v>0</v>
      </c>
      <c r="O79" s="286">
        <v>0</v>
      </c>
      <c r="P79" s="286">
        <v>0</v>
      </c>
      <c r="Q79" s="286">
        <v>0</v>
      </c>
      <c r="R79" s="286">
        <v>0</v>
      </c>
      <c r="S79" s="286">
        <v>0</v>
      </c>
      <c r="T79" s="286">
        <v>0</v>
      </c>
      <c r="U79" s="286">
        <v>0</v>
      </c>
      <c r="V79" s="286">
        <v>0</v>
      </c>
      <c r="W79" s="286">
        <v>0</v>
      </c>
      <c r="X79" s="286">
        <v>0</v>
      </c>
      <c r="Y79" s="286">
        <v>0</v>
      </c>
      <c r="Z79" s="286"/>
      <c r="AA79" s="286">
        <v>0</v>
      </c>
      <c r="AB79" s="286">
        <v>0</v>
      </c>
      <c r="AC79" s="286">
        <v>0</v>
      </c>
      <c r="AD79" s="286">
        <v>0</v>
      </c>
      <c r="AE79" s="286">
        <v>0</v>
      </c>
      <c r="AF79" s="286">
        <v>0</v>
      </c>
      <c r="AG79" s="286">
        <v>0</v>
      </c>
      <c r="AH79" s="286">
        <v>0</v>
      </c>
      <c r="AI79" s="286">
        <v>0</v>
      </c>
      <c r="AJ79" s="286">
        <v>0</v>
      </c>
      <c r="AK79" s="286">
        <v>0</v>
      </c>
      <c r="AL79" s="286">
        <v>0</v>
      </c>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c r="B80" s="7" t="s">
        <v>57</v>
      </c>
      <c r="C80" s="286">
        <v>0</v>
      </c>
      <c r="D80" s="286">
        <v>0</v>
      </c>
      <c r="E80" s="286">
        <v>0</v>
      </c>
      <c r="F80" s="286">
        <v>0</v>
      </c>
      <c r="G80" s="286">
        <v>0</v>
      </c>
      <c r="H80" s="286">
        <v>0</v>
      </c>
      <c r="I80" s="286">
        <v>0</v>
      </c>
      <c r="J80" s="286">
        <v>0</v>
      </c>
      <c r="K80" s="286">
        <v>0</v>
      </c>
      <c r="L80" s="287">
        <v>0</v>
      </c>
      <c r="M80" s="286">
        <v>0</v>
      </c>
      <c r="N80" s="286">
        <v>0</v>
      </c>
      <c r="O80" s="286">
        <v>0</v>
      </c>
      <c r="P80" s="286">
        <v>0</v>
      </c>
      <c r="Q80" s="286">
        <v>0</v>
      </c>
      <c r="R80" s="286">
        <v>0</v>
      </c>
      <c r="S80" s="286">
        <v>0</v>
      </c>
      <c r="T80" s="286">
        <v>0</v>
      </c>
      <c r="U80" s="286">
        <v>0</v>
      </c>
      <c r="V80" s="286">
        <v>0</v>
      </c>
      <c r="W80" s="286">
        <v>0</v>
      </c>
      <c r="X80" s="286">
        <v>0</v>
      </c>
      <c r="Y80" s="286">
        <v>0</v>
      </c>
      <c r="Z80" s="286"/>
      <c r="AA80" s="286">
        <v>0</v>
      </c>
      <c r="AB80" s="286">
        <v>0</v>
      </c>
      <c r="AC80" s="286">
        <v>0</v>
      </c>
      <c r="AD80" s="286">
        <v>0</v>
      </c>
      <c r="AE80" s="286">
        <v>0</v>
      </c>
      <c r="AF80" s="286">
        <v>0</v>
      </c>
      <c r="AG80" s="286">
        <v>0</v>
      </c>
      <c r="AH80" s="286">
        <v>0</v>
      </c>
      <c r="AI80" s="286">
        <v>0</v>
      </c>
      <c r="AJ80" s="286">
        <v>0</v>
      </c>
      <c r="AK80" s="286">
        <v>0</v>
      </c>
      <c r="AL80" s="286">
        <v>0</v>
      </c>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c r="B81" s="7" t="s">
        <v>60</v>
      </c>
      <c r="C81" s="286">
        <v>0</v>
      </c>
      <c r="D81" s="286">
        <v>0</v>
      </c>
      <c r="E81" s="286">
        <v>0</v>
      </c>
      <c r="F81" s="286">
        <v>0</v>
      </c>
      <c r="G81" s="286">
        <v>0</v>
      </c>
      <c r="H81" s="286">
        <v>0</v>
      </c>
      <c r="I81" s="286">
        <v>0</v>
      </c>
      <c r="J81" s="286">
        <v>0</v>
      </c>
      <c r="K81" s="286">
        <v>0</v>
      </c>
      <c r="L81" s="287">
        <v>0</v>
      </c>
      <c r="M81" s="286">
        <v>0</v>
      </c>
      <c r="N81" s="286">
        <v>0</v>
      </c>
      <c r="O81" s="286">
        <v>0</v>
      </c>
      <c r="P81" s="286">
        <v>0</v>
      </c>
      <c r="Q81" s="286">
        <v>0</v>
      </c>
      <c r="R81" s="286">
        <v>0</v>
      </c>
      <c r="S81" s="286">
        <v>0</v>
      </c>
      <c r="T81" s="286">
        <v>0</v>
      </c>
      <c r="U81" s="286">
        <v>0</v>
      </c>
      <c r="V81" s="286">
        <v>0</v>
      </c>
      <c r="W81" s="286">
        <v>0</v>
      </c>
      <c r="X81" s="286">
        <v>0</v>
      </c>
      <c r="Y81" s="286">
        <v>0</v>
      </c>
      <c r="Z81" s="286"/>
      <c r="AA81" s="286">
        <v>0</v>
      </c>
      <c r="AB81" s="286">
        <v>0</v>
      </c>
      <c r="AC81" s="286">
        <v>0</v>
      </c>
      <c r="AD81" s="286">
        <v>0</v>
      </c>
      <c r="AE81" s="286">
        <v>0</v>
      </c>
      <c r="AF81" s="286">
        <v>0</v>
      </c>
      <c r="AG81" s="286">
        <v>0</v>
      </c>
      <c r="AH81" s="286">
        <v>0</v>
      </c>
      <c r="AI81" s="286">
        <v>0</v>
      </c>
      <c r="AJ81" s="286">
        <v>0</v>
      </c>
      <c r="AK81" s="286">
        <v>0</v>
      </c>
      <c r="AL81" s="286">
        <v>0</v>
      </c>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c r="B82" s="7" t="s">
        <v>63</v>
      </c>
      <c r="C82" s="286">
        <v>0</v>
      </c>
      <c r="D82" s="286">
        <v>0</v>
      </c>
      <c r="E82" s="286">
        <v>0</v>
      </c>
      <c r="F82" s="286">
        <v>0</v>
      </c>
      <c r="G82" s="286">
        <v>0</v>
      </c>
      <c r="H82" s="286">
        <v>0</v>
      </c>
      <c r="I82" s="286">
        <v>0</v>
      </c>
      <c r="J82" s="286">
        <v>0</v>
      </c>
      <c r="K82" s="286">
        <v>0</v>
      </c>
      <c r="L82" s="287">
        <v>0</v>
      </c>
      <c r="M82" s="286">
        <v>0</v>
      </c>
      <c r="N82" s="286">
        <v>0</v>
      </c>
      <c r="O82" s="286">
        <v>0</v>
      </c>
      <c r="P82" s="286">
        <v>0</v>
      </c>
      <c r="Q82" s="286">
        <v>0</v>
      </c>
      <c r="R82" s="286">
        <v>0</v>
      </c>
      <c r="S82" s="286">
        <v>0</v>
      </c>
      <c r="T82" s="286">
        <v>0</v>
      </c>
      <c r="U82" s="286">
        <v>0</v>
      </c>
      <c r="V82" s="286">
        <v>0</v>
      </c>
      <c r="W82" s="286">
        <v>0</v>
      </c>
      <c r="X82" s="286">
        <v>0</v>
      </c>
      <c r="Y82" s="286">
        <v>0</v>
      </c>
      <c r="Z82" s="286"/>
      <c r="AA82" s="286">
        <v>0</v>
      </c>
      <c r="AB82" s="286">
        <v>0</v>
      </c>
      <c r="AC82" s="286">
        <v>0</v>
      </c>
      <c r="AD82" s="286">
        <v>0</v>
      </c>
      <c r="AE82" s="286">
        <v>0</v>
      </c>
      <c r="AF82" s="286">
        <v>0</v>
      </c>
      <c r="AG82" s="286">
        <v>0</v>
      </c>
      <c r="AH82" s="286">
        <v>0</v>
      </c>
      <c r="AI82" s="286">
        <v>0</v>
      </c>
      <c r="AJ82" s="286">
        <v>0</v>
      </c>
      <c r="AK82" s="286">
        <v>0</v>
      </c>
      <c r="AL82" s="286">
        <v>0</v>
      </c>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7"/>
      <c r="B83" s="7" t="s">
        <v>66</v>
      </c>
      <c r="C83" s="286">
        <v>0</v>
      </c>
      <c r="D83" s="286">
        <v>0</v>
      </c>
      <c r="E83" s="286">
        <v>0</v>
      </c>
      <c r="F83" s="286">
        <v>0</v>
      </c>
      <c r="G83" s="286">
        <v>0</v>
      </c>
      <c r="H83" s="286">
        <v>0</v>
      </c>
      <c r="I83" s="286">
        <v>0</v>
      </c>
      <c r="J83" s="286">
        <v>0</v>
      </c>
      <c r="K83" s="286">
        <v>0</v>
      </c>
      <c r="L83" s="287">
        <v>0</v>
      </c>
      <c r="M83" s="286">
        <v>0</v>
      </c>
      <c r="N83" s="286">
        <v>0</v>
      </c>
      <c r="O83" s="286">
        <v>0</v>
      </c>
      <c r="P83" s="286">
        <v>0</v>
      </c>
      <c r="Q83" s="286">
        <v>0</v>
      </c>
      <c r="R83" s="286">
        <v>0</v>
      </c>
      <c r="S83" s="286">
        <v>0</v>
      </c>
      <c r="T83" s="286">
        <v>0</v>
      </c>
      <c r="U83" s="286">
        <v>0</v>
      </c>
      <c r="V83" s="286">
        <v>0</v>
      </c>
      <c r="W83" s="286">
        <v>0</v>
      </c>
      <c r="X83" s="286">
        <v>0</v>
      </c>
      <c r="Y83" s="286">
        <v>0</v>
      </c>
      <c r="Z83" s="286"/>
      <c r="AA83" s="286">
        <v>0</v>
      </c>
      <c r="AB83" s="286">
        <v>0</v>
      </c>
      <c r="AC83" s="286">
        <v>0</v>
      </c>
      <c r="AD83" s="286">
        <v>0</v>
      </c>
      <c r="AE83" s="286">
        <v>0</v>
      </c>
      <c r="AF83" s="286">
        <v>0</v>
      </c>
      <c r="AG83" s="286">
        <v>0</v>
      </c>
      <c r="AH83" s="286">
        <v>0</v>
      </c>
      <c r="AI83" s="286">
        <v>0</v>
      </c>
      <c r="AJ83" s="286">
        <v>0</v>
      </c>
      <c r="AK83" s="286">
        <v>0</v>
      </c>
      <c r="AL83" s="286">
        <v>0</v>
      </c>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c r="B84" s="7" t="s">
        <v>69</v>
      </c>
      <c r="C84" s="286">
        <v>0</v>
      </c>
      <c r="D84" s="286">
        <v>0</v>
      </c>
      <c r="E84" s="286">
        <v>0</v>
      </c>
      <c r="F84" s="286">
        <v>0</v>
      </c>
      <c r="G84" s="286">
        <v>0</v>
      </c>
      <c r="H84" s="286">
        <v>0</v>
      </c>
      <c r="I84" s="286">
        <v>0</v>
      </c>
      <c r="J84" s="286">
        <v>0</v>
      </c>
      <c r="K84" s="286">
        <v>0</v>
      </c>
      <c r="L84" s="287">
        <v>0</v>
      </c>
      <c r="M84" s="286">
        <v>0</v>
      </c>
      <c r="N84" s="286">
        <v>0</v>
      </c>
      <c r="O84" s="286">
        <v>0</v>
      </c>
      <c r="P84" s="286">
        <v>0</v>
      </c>
      <c r="Q84" s="286">
        <v>0</v>
      </c>
      <c r="R84" s="286">
        <v>0</v>
      </c>
      <c r="S84" s="286">
        <v>0</v>
      </c>
      <c r="T84" s="286">
        <v>0</v>
      </c>
      <c r="U84" s="286">
        <v>0</v>
      </c>
      <c r="V84" s="286">
        <v>0</v>
      </c>
      <c r="W84" s="286">
        <v>0</v>
      </c>
      <c r="X84" s="286">
        <v>0</v>
      </c>
      <c r="Y84" s="286">
        <v>0</v>
      </c>
      <c r="Z84" s="286"/>
      <c r="AA84" s="286">
        <v>0</v>
      </c>
      <c r="AB84" s="286">
        <v>0</v>
      </c>
      <c r="AC84" s="286">
        <v>0</v>
      </c>
      <c r="AD84" s="286">
        <v>0</v>
      </c>
      <c r="AE84" s="286">
        <v>0</v>
      </c>
      <c r="AF84" s="286">
        <v>0</v>
      </c>
      <c r="AG84" s="286">
        <v>0</v>
      </c>
      <c r="AH84" s="286">
        <v>0</v>
      </c>
      <c r="AI84" s="286">
        <v>0</v>
      </c>
      <c r="AJ84" s="286">
        <v>0</v>
      </c>
      <c r="AK84" s="286">
        <v>0</v>
      </c>
      <c r="AL84" s="286">
        <v>0</v>
      </c>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c r="A85" s="7"/>
      <c r="B85" s="7" t="s">
        <v>72</v>
      </c>
      <c r="C85" s="286">
        <v>0</v>
      </c>
      <c r="D85" s="286">
        <v>0</v>
      </c>
      <c r="E85" s="286">
        <v>0</v>
      </c>
      <c r="F85" s="286">
        <v>0</v>
      </c>
      <c r="G85" s="286">
        <v>0</v>
      </c>
      <c r="H85" s="286">
        <v>0</v>
      </c>
      <c r="I85" s="286">
        <v>0</v>
      </c>
      <c r="J85" s="286">
        <v>0</v>
      </c>
      <c r="K85" s="286">
        <v>0</v>
      </c>
      <c r="L85" s="287">
        <v>0</v>
      </c>
      <c r="M85" s="286">
        <v>0</v>
      </c>
      <c r="N85" s="286">
        <v>0</v>
      </c>
      <c r="O85" s="286">
        <v>0</v>
      </c>
      <c r="P85" s="286">
        <v>0</v>
      </c>
      <c r="Q85" s="286">
        <v>0</v>
      </c>
      <c r="R85" s="286">
        <v>0</v>
      </c>
      <c r="S85" s="286">
        <v>0</v>
      </c>
      <c r="T85" s="286">
        <v>0</v>
      </c>
      <c r="U85" s="286">
        <v>0</v>
      </c>
      <c r="V85" s="286">
        <v>0</v>
      </c>
      <c r="W85" s="286">
        <v>0</v>
      </c>
      <c r="X85" s="286">
        <v>0</v>
      </c>
      <c r="Y85" s="286">
        <v>0</v>
      </c>
      <c r="Z85" s="286"/>
      <c r="AA85" s="286">
        <v>0</v>
      </c>
      <c r="AB85" s="286">
        <v>0</v>
      </c>
      <c r="AC85" s="286">
        <v>0</v>
      </c>
      <c r="AD85" s="286">
        <v>0</v>
      </c>
      <c r="AE85" s="286">
        <v>0</v>
      </c>
      <c r="AF85" s="286">
        <v>0</v>
      </c>
      <c r="AG85" s="286">
        <v>0</v>
      </c>
      <c r="AH85" s="286">
        <v>0</v>
      </c>
      <c r="AI85" s="286">
        <v>0</v>
      </c>
      <c r="AJ85" s="286">
        <v>0</v>
      </c>
      <c r="AK85" s="286">
        <v>0</v>
      </c>
      <c r="AL85" s="286">
        <v>0</v>
      </c>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c r="B86" s="7" t="s">
        <v>75</v>
      </c>
      <c r="C86" s="286">
        <v>0</v>
      </c>
      <c r="D86" s="286">
        <v>0</v>
      </c>
      <c r="E86" s="286">
        <v>0</v>
      </c>
      <c r="F86" s="286">
        <v>0</v>
      </c>
      <c r="G86" s="286">
        <v>0</v>
      </c>
      <c r="H86" s="286">
        <v>0</v>
      </c>
      <c r="I86" s="286">
        <v>0</v>
      </c>
      <c r="J86" s="286">
        <v>0</v>
      </c>
      <c r="K86" s="286">
        <v>0</v>
      </c>
      <c r="L86" s="287">
        <v>0</v>
      </c>
      <c r="M86" s="286">
        <v>0</v>
      </c>
      <c r="N86" s="286">
        <v>0</v>
      </c>
      <c r="O86" s="286">
        <v>0</v>
      </c>
      <c r="P86" s="286">
        <v>0</v>
      </c>
      <c r="Q86" s="286">
        <v>0</v>
      </c>
      <c r="R86" s="286">
        <v>0</v>
      </c>
      <c r="S86" s="286">
        <v>0</v>
      </c>
      <c r="T86" s="286">
        <v>0</v>
      </c>
      <c r="U86" s="286">
        <v>0</v>
      </c>
      <c r="V86" s="286">
        <v>0</v>
      </c>
      <c r="W86" s="286">
        <v>0</v>
      </c>
      <c r="X86" s="286">
        <v>0</v>
      </c>
      <c r="Y86" s="286">
        <v>0</v>
      </c>
      <c r="Z86" s="286"/>
      <c r="AA86" s="286">
        <v>0</v>
      </c>
      <c r="AB86" s="286">
        <v>0</v>
      </c>
      <c r="AC86" s="286">
        <v>0</v>
      </c>
      <c r="AD86" s="286">
        <v>0</v>
      </c>
      <c r="AE86" s="286">
        <v>0</v>
      </c>
      <c r="AF86" s="286">
        <v>0</v>
      </c>
      <c r="AG86" s="286">
        <v>0</v>
      </c>
      <c r="AH86" s="286">
        <v>0</v>
      </c>
      <c r="AI86" s="286">
        <v>0</v>
      </c>
      <c r="AJ86" s="286">
        <v>0</v>
      </c>
      <c r="AK86" s="286">
        <v>0</v>
      </c>
      <c r="AL86" s="286">
        <v>0</v>
      </c>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c r="A87" s="7"/>
      <c r="B87" s="7" t="s">
        <v>78</v>
      </c>
      <c r="C87" s="286">
        <v>0</v>
      </c>
      <c r="D87" s="286">
        <v>0</v>
      </c>
      <c r="E87" s="286">
        <v>0</v>
      </c>
      <c r="F87" s="286">
        <v>0</v>
      </c>
      <c r="G87" s="286">
        <v>0</v>
      </c>
      <c r="H87" s="286">
        <v>0</v>
      </c>
      <c r="I87" s="286">
        <v>0</v>
      </c>
      <c r="J87" s="286">
        <v>0</v>
      </c>
      <c r="K87" s="286">
        <v>0</v>
      </c>
      <c r="L87" s="287">
        <v>0</v>
      </c>
      <c r="M87" s="286">
        <v>0</v>
      </c>
      <c r="N87" s="286">
        <v>0</v>
      </c>
      <c r="O87" s="286">
        <v>0</v>
      </c>
      <c r="P87" s="286">
        <v>0</v>
      </c>
      <c r="Q87" s="286">
        <v>0</v>
      </c>
      <c r="R87" s="286">
        <v>0</v>
      </c>
      <c r="S87" s="286">
        <v>0</v>
      </c>
      <c r="T87" s="286">
        <v>0</v>
      </c>
      <c r="U87" s="286">
        <v>0</v>
      </c>
      <c r="V87" s="286">
        <v>0</v>
      </c>
      <c r="W87" s="286">
        <v>0</v>
      </c>
      <c r="X87" s="286">
        <v>0</v>
      </c>
      <c r="Y87" s="286">
        <v>0</v>
      </c>
      <c r="Z87" s="286"/>
      <c r="AA87" s="286">
        <v>0</v>
      </c>
      <c r="AB87" s="286">
        <v>0</v>
      </c>
      <c r="AC87" s="286">
        <v>0</v>
      </c>
      <c r="AD87" s="286">
        <v>0</v>
      </c>
      <c r="AE87" s="286">
        <v>0</v>
      </c>
      <c r="AF87" s="286">
        <v>0</v>
      </c>
      <c r="AG87" s="286">
        <v>0</v>
      </c>
      <c r="AH87" s="286">
        <v>0</v>
      </c>
      <c r="AI87" s="286">
        <v>0</v>
      </c>
      <c r="AJ87" s="286">
        <v>0</v>
      </c>
      <c r="AK87" s="286">
        <v>0</v>
      </c>
      <c r="AL87" s="286">
        <v>0</v>
      </c>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c r="B88" s="7" t="s">
        <v>81</v>
      </c>
      <c r="C88" s="286">
        <v>0</v>
      </c>
      <c r="D88" s="286">
        <v>0</v>
      </c>
      <c r="E88" s="286">
        <v>0</v>
      </c>
      <c r="F88" s="286">
        <v>0</v>
      </c>
      <c r="G88" s="286">
        <v>0</v>
      </c>
      <c r="H88" s="286">
        <v>0</v>
      </c>
      <c r="I88" s="286">
        <v>0</v>
      </c>
      <c r="J88" s="286">
        <v>0</v>
      </c>
      <c r="K88" s="286">
        <v>0</v>
      </c>
      <c r="L88" s="287">
        <v>0</v>
      </c>
      <c r="M88" s="286">
        <v>0</v>
      </c>
      <c r="N88" s="286">
        <v>0</v>
      </c>
      <c r="O88" s="286">
        <v>0</v>
      </c>
      <c r="P88" s="286">
        <v>0</v>
      </c>
      <c r="Q88" s="286">
        <v>0</v>
      </c>
      <c r="R88" s="286">
        <v>0</v>
      </c>
      <c r="S88" s="286">
        <v>0</v>
      </c>
      <c r="T88" s="286">
        <v>0</v>
      </c>
      <c r="U88" s="286">
        <v>0</v>
      </c>
      <c r="V88" s="286">
        <v>0</v>
      </c>
      <c r="W88" s="286">
        <v>0</v>
      </c>
      <c r="X88" s="286">
        <v>0</v>
      </c>
      <c r="Y88" s="286">
        <v>0</v>
      </c>
      <c r="Z88" s="286"/>
      <c r="AA88" s="286">
        <v>0</v>
      </c>
      <c r="AB88" s="286">
        <v>0</v>
      </c>
      <c r="AC88" s="286">
        <v>0</v>
      </c>
      <c r="AD88" s="286">
        <v>0</v>
      </c>
      <c r="AE88" s="286">
        <v>0</v>
      </c>
      <c r="AF88" s="286">
        <v>0</v>
      </c>
      <c r="AG88" s="286">
        <v>0</v>
      </c>
      <c r="AH88" s="286">
        <v>0</v>
      </c>
      <c r="AI88" s="286">
        <v>0</v>
      </c>
      <c r="AJ88" s="286">
        <v>0</v>
      </c>
      <c r="AK88" s="286">
        <v>0</v>
      </c>
      <c r="AL88" s="286">
        <v>0</v>
      </c>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c r="B89" s="7" t="s">
        <v>84</v>
      </c>
      <c r="C89" s="286">
        <v>0</v>
      </c>
      <c r="D89" s="286">
        <v>0</v>
      </c>
      <c r="E89" s="286">
        <v>0</v>
      </c>
      <c r="F89" s="286">
        <v>0</v>
      </c>
      <c r="G89" s="286">
        <v>0</v>
      </c>
      <c r="H89" s="286">
        <v>0</v>
      </c>
      <c r="I89" s="286">
        <v>0</v>
      </c>
      <c r="J89" s="286">
        <v>0</v>
      </c>
      <c r="K89" s="286">
        <v>0</v>
      </c>
      <c r="L89" s="287">
        <v>0</v>
      </c>
      <c r="M89" s="286">
        <v>0</v>
      </c>
      <c r="N89" s="286">
        <v>0</v>
      </c>
      <c r="O89" s="286">
        <v>0</v>
      </c>
      <c r="P89" s="286">
        <v>0</v>
      </c>
      <c r="Q89" s="286">
        <v>0</v>
      </c>
      <c r="R89" s="286">
        <v>0</v>
      </c>
      <c r="S89" s="286">
        <v>0</v>
      </c>
      <c r="T89" s="286">
        <v>0</v>
      </c>
      <c r="U89" s="286">
        <v>0</v>
      </c>
      <c r="V89" s="286">
        <v>0</v>
      </c>
      <c r="W89" s="286">
        <v>0</v>
      </c>
      <c r="X89" s="286">
        <v>0</v>
      </c>
      <c r="Y89" s="286">
        <v>0</v>
      </c>
      <c r="Z89" s="286"/>
      <c r="AA89" s="286">
        <v>0</v>
      </c>
      <c r="AB89" s="286">
        <v>0</v>
      </c>
      <c r="AC89" s="286">
        <v>0</v>
      </c>
      <c r="AD89" s="286">
        <v>0</v>
      </c>
      <c r="AE89" s="286">
        <v>0</v>
      </c>
      <c r="AF89" s="286">
        <v>0</v>
      </c>
      <c r="AG89" s="286">
        <v>0</v>
      </c>
      <c r="AH89" s="286">
        <v>0</v>
      </c>
      <c r="AI89" s="286">
        <v>0</v>
      </c>
      <c r="AJ89" s="286">
        <v>0</v>
      </c>
      <c r="AK89" s="286">
        <v>0</v>
      </c>
      <c r="AL89" s="286">
        <v>0</v>
      </c>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c r="B90" s="7" t="s">
        <v>87</v>
      </c>
      <c r="C90" s="286">
        <v>0</v>
      </c>
      <c r="D90" s="286">
        <v>0</v>
      </c>
      <c r="E90" s="286">
        <v>0</v>
      </c>
      <c r="F90" s="286">
        <v>0</v>
      </c>
      <c r="G90" s="286">
        <v>0</v>
      </c>
      <c r="H90" s="286">
        <v>0</v>
      </c>
      <c r="I90" s="286">
        <v>0</v>
      </c>
      <c r="J90" s="286">
        <v>0</v>
      </c>
      <c r="K90" s="286">
        <v>0</v>
      </c>
      <c r="L90" s="287">
        <v>0</v>
      </c>
      <c r="M90" s="286">
        <v>0</v>
      </c>
      <c r="N90" s="286">
        <v>0</v>
      </c>
      <c r="O90" s="286">
        <v>0</v>
      </c>
      <c r="P90" s="286">
        <v>0</v>
      </c>
      <c r="Q90" s="286">
        <v>0</v>
      </c>
      <c r="R90" s="286">
        <v>0</v>
      </c>
      <c r="S90" s="286">
        <v>0</v>
      </c>
      <c r="T90" s="286">
        <v>0</v>
      </c>
      <c r="U90" s="286">
        <v>0</v>
      </c>
      <c r="V90" s="286">
        <v>0</v>
      </c>
      <c r="W90" s="286">
        <v>0</v>
      </c>
      <c r="X90" s="286">
        <v>0</v>
      </c>
      <c r="Y90" s="286">
        <v>0</v>
      </c>
      <c r="Z90" s="286"/>
      <c r="AA90" s="286">
        <v>0</v>
      </c>
      <c r="AB90" s="286">
        <v>0</v>
      </c>
      <c r="AC90" s="286">
        <v>0</v>
      </c>
      <c r="AD90" s="286">
        <v>0</v>
      </c>
      <c r="AE90" s="286">
        <v>0</v>
      </c>
      <c r="AF90" s="286">
        <v>0</v>
      </c>
      <c r="AG90" s="286">
        <v>0</v>
      </c>
      <c r="AH90" s="286">
        <v>0</v>
      </c>
      <c r="AI90" s="286">
        <v>0</v>
      </c>
      <c r="AJ90" s="286">
        <v>0</v>
      </c>
      <c r="AK90" s="286">
        <v>0</v>
      </c>
      <c r="AL90" s="286">
        <v>0</v>
      </c>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c r="A91" s="7"/>
      <c r="B91" s="7" t="s">
        <v>90</v>
      </c>
      <c r="C91" s="286">
        <v>0</v>
      </c>
      <c r="D91" s="286">
        <v>0</v>
      </c>
      <c r="E91" s="286">
        <v>0</v>
      </c>
      <c r="F91" s="286">
        <v>0</v>
      </c>
      <c r="G91" s="286">
        <v>0</v>
      </c>
      <c r="H91" s="286">
        <v>0</v>
      </c>
      <c r="I91" s="286">
        <v>0</v>
      </c>
      <c r="J91" s="286">
        <v>0</v>
      </c>
      <c r="K91" s="286">
        <v>0</v>
      </c>
      <c r="L91" s="287">
        <v>0</v>
      </c>
      <c r="M91" s="286">
        <v>0</v>
      </c>
      <c r="N91" s="286">
        <v>0</v>
      </c>
      <c r="O91" s="286">
        <v>0</v>
      </c>
      <c r="P91" s="286">
        <v>0</v>
      </c>
      <c r="Q91" s="286">
        <v>0</v>
      </c>
      <c r="R91" s="286">
        <v>0</v>
      </c>
      <c r="S91" s="286">
        <v>0</v>
      </c>
      <c r="T91" s="286">
        <v>0</v>
      </c>
      <c r="U91" s="286">
        <v>0</v>
      </c>
      <c r="V91" s="286">
        <v>0</v>
      </c>
      <c r="W91" s="286">
        <v>0</v>
      </c>
      <c r="X91" s="286">
        <v>0</v>
      </c>
      <c r="Y91" s="286">
        <v>0</v>
      </c>
      <c r="Z91" s="286"/>
      <c r="AA91" s="286">
        <v>0</v>
      </c>
      <c r="AB91" s="286">
        <v>0</v>
      </c>
      <c r="AC91" s="286">
        <v>0</v>
      </c>
      <c r="AD91" s="286">
        <v>0</v>
      </c>
      <c r="AE91" s="286">
        <v>0</v>
      </c>
      <c r="AF91" s="286">
        <v>0</v>
      </c>
      <c r="AG91" s="286">
        <v>0</v>
      </c>
      <c r="AH91" s="286">
        <v>0</v>
      </c>
      <c r="AI91" s="286">
        <v>0</v>
      </c>
      <c r="AJ91" s="286">
        <v>0</v>
      </c>
      <c r="AK91" s="286">
        <v>0</v>
      </c>
      <c r="AL91" s="286">
        <v>0</v>
      </c>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c r="A92" s="7"/>
      <c r="B92" s="7" t="s">
        <v>93</v>
      </c>
      <c r="C92" s="286">
        <v>0</v>
      </c>
      <c r="D92" s="286">
        <v>0</v>
      </c>
      <c r="E92" s="286">
        <v>0</v>
      </c>
      <c r="F92" s="286">
        <v>0</v>
      </c>
      <c r="G92" s="286">
        <v>0</v>
      </c>
      <c r="H92" s="286">
        <v>0</v>
      </c>
      <c r="I92" s="286">
        <v>0</v>
      </c>
      <c r="J92" s="286">
        <v>0</v>
      </c>
      <c r="K92" s="286">
        <v>0</v>
      </c>
      <c r="L92" s="287">
        <v>0</v>
      </c>
      <c r="M92" s="286">
        <v>0</v>
      </c>
      <c r="N92" s="286">
        <v>0</v>
      </c>
      <c r="O92" s="286">
        <v>0</v>
      </c>
      <c r="P92" s="286">
        <v>0</v>
      </c>
      <c r="Q92" s="286">
        <v>0</v>
      </c>
      <c r="R92" s="286">
        <v>0</v>
      </c>
      <c r="S92" s="286">
        <v>0</v>
      </c>
      <c r="T92" s="286">
        <v>0</v>
      </c>
      <c r="U92" s="286">
        <v>0</v>
      </c>
      <c r="V92" s="286">
        <v>0</v>
      </c>
      <c r="W92" s="286">
        <v>0</v>
      </c>
      <c r="X92" s="286">
        <v>0</v>
      </c>
      <c r="Y92" s="286">
        <v>0</v>
      </c>
      <c r="Z92" s="286"/>
      <c r="AA92" s="286">
        <v>0</v>
      </c>
      <c r="AB92" s="286">
        <v>0</v>
      </c>
      <c r="AC92" s="286">
        <v>0</v>
      </c>
      <c r="AD92" s="286">
        <v>0</v>
      </c>
      <c r="AE92" s="286">
        <v>0</v>
      </c>
      <c r="AF92" s="286">
        <v>0</v>
      </c>
      <c r="AG92" s="286">
        <v>0</v>
      </c>
      <c r="AH92" s="286">
        <v>0</v>
      </c>
      <c r="AI92" s="286">
        <v>0</v>
      </c>
      <c r="AJ92" s="286">
        <v>0</v>
      </c>
      <c r="AK92" s="286">
        <v>0</v>
      </c>
      <c r="AL92" s="286">
        <v>0</v>
      </c>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c r="A93" s="7"/>
      <c r="B93" s="7" t="s">
        <v>96</v>
      </c>
      <c r="C93" s="286">
        <v>0</v>
      </c>
      <c r="D93" s="286">
        <v>0</v>
      </c>
      <c r="E93" s="286">
        <v>0</v>
      </c>
      <c r="F93" s="286">
        <v>0</v>
      </c>
      <c r="G93" s="286">
        <v>0</v>
      </c>
      <c r="H93" s="286">
        <v>0</v>
      </c>
      <c r="I93" s="286">
        <v>0</v>
      </c>
      <c r="J93" s="286">
        <v>0</v>
      </c>
      <c r="K93" s="286">
        <v>0</v>
      </c>
      <c r="L93" s="287">
        <v>0</v>
      </c>
      <c r="M93" s="286">
        <v>0</v>
      </c>
      <c r="N93" s="286">
        <v>0</v>
      </c>
      <c r="O93" s="286">
        <v>0</v>
      </c>
      <c r="P93" s="286">
        <v>0</v>
      </c>
      <c r="Q93" s="286">
        <v>0</v>
      </c>
      <c r="R93" s="286">
        <v>0</v>
      </c>
      <c r="S93" s="286">
        <v>0</v>
      </c>
      <c r="T93" s="286">
        <v>0</v>
      </c>
      <c r="U93" s="286">
        <v>0</v>
      </c>
      <c r="V93" s="286">
        <v>0</v>
      </c>
      <c r="W93" s="286">
        <v>0</v>
      </c>
      <c r="X93" s="286">
        <v>0</v>
      </c>
      <c r="Y93" s="286">
        <v>0</v>
      </c>
      <c r="Z93" s="286"/>
      <c r="AA93" s="286">
        <v>0</v>
      </c>
      <c r="AB93" s="286">
        <v>0</v>
      </c>
      <c r="AC93" s="286">
        <v>0</v>
      </c>
      <c r="AD93" s="286">
        <v>0</v>
      </c>
      <c r="AE93" s="286">
        <v>0</v>
      </c>
      <c r="AF93" s="286">
        <v>0</v>
      </c>
      <c r="AG93" s="286">
        <v>0</v>
      </c>
      <c r="AH93" s="286">
        <v>0</v>
      </c>
      <c r="AI93" s="286">
        <v>0</v>
      </c>
      <c r="AJ93" s="286">
        <v>0</v>
      </c>
      <c r="AK93" s="286">
        <v>0</v>
      </c>
      <c r="AL93" s="286">
        <v>0</v>
      </c>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c r="A94" s="7"/>
      <c r="B94" s="7" t="s">
        <v>99</v>
      </c>
      <c r="C94" s="286">
        <v>0</v>
      </c>
      <c r="D94" s="286">
        <v>0</v>
      </c>
      <c r="E94" s="286">
        <v>0</v>
      </c>
      <c r="F94" s="286">
        <v>0</v>
      </c>
      <c r="G94" s="286">
        <v>0</v>
      </c>
      <c r="H94" s="286">
        <v>0</v>
      </c>
      <c r="I94" s="286">
        <v>0</v>
      </c>
      <c r="J94" s="286">
        <v>0</v>
      </c>
      <c r="K94" s="286">
        <v>0</v>
      </c>
      <c r="L94" s="287">
        <v>0</v>
      </c>
      <c r="M94" s="286">
        <v>0</v>
      </c>
      <c r="N94" s="286">
        <v>0</v>
      </c>
      <c r="O94" s="286">
        <v>0</v>
      </c>
      <c r="P94" s="286">
        <v>0</v>
      </c>
      <c r="Q94" s="286">
        <v>0</v>
      </c>
      <c r="R94" s="286">
        <v>0</v>
      </c>
      <c r="S94" s="286">
        <v>0</v>
      </c>
      <c r="T94" s="286">
        <v>0</v>
      </c>
      <c r="U94" s="286">
        <v>0</v>
      </c>
      <c r="V94" s="286">
        <v>0</v>
      </c>
      <c r="W94" s="286">
        <v>0</v>
      </c>
      <c r="X94" s="286">
        <v>0</v>
      </c>
      <c r="Y94" s="286">
        <v>0</v>
      </c>
      <c r="Z94" s="286"/>
      <c r="AA94" s="286">
        <v>0</v>
      </c>
      <c r="AB94" s="286">
        <v>0</v>
      </c>
      <c r="AC94" s="286">
        <v>0</v>
      </c>
      <c r="AD94" s="286">
        <v>0</v>
      </c>
      <c r="AE94" s="286">
        <v>0</v>
      </c>
      <c r="AF94" s="286">
        <v>0</v>
      </c>
      <c r="AG94" s="286">
        <v>0</v>
      </c>
      <c r="AH94" s="286">
        <v>0</v>
      </c>
      <c r="AI94" s="286">
        <v>0</v>
      </c>
      <c r="AJ94" s="286">
        <v>0</v>
      </c>
      <c r="AK94" s="286">
        <v>0</v>
      </c>
      <c r="AL94" s="286">
        <v>0</v>
      </c>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c r="A95" s="7"/>
      <c r="B95" s="7" t="s">
        <v>528</v>
      </c>
      <c r="C95" s="286">
        <v>0</v>
      </c>
      <c r="D95" s="286">
        <v>0</v>
      </c>
      <c r="E95" s="286">
        <v>0</v>
      </c>
      <c r="F95" s="286">
        <v>0</v>
      </c>
      <c r="G95" s="286">
        <v>0</v>
      </c>
      <c r="H95" s="286">
        <v>0</v>
      </c>
      <c r="I95" s="286">
        <v>0</v>
      </c>
      <c r="J95" s="286">
        <v>0</v>
      </c>
      <c r="K95" s="286">
        <v>0</v>
      </c>
      <c r="L95" s="287">
        <v>0</v>
      </c>
      <c r="M95" s="286">
        <v>0</v>
      </c>
      <c r="N95" s="286">
        <v>0</v>
      </c>
      <c r="O95" s="286">
        <v>0</v>
      </c>
      <c r="P95" s="286">
        <v>0</v>
      </c>
      <c r="Q95" s="286">
        <v>0</v>
      </c>
      <c r="R95" s="286">
        <v>0</v>
      </c>
      <c r="S95" s="286">
        <v>0</v>
      </c>
      <c r="T95" s="286">
        <v>0</v>
      </c>
      <c r="U95" s="286">
        <v>0</v>
      </c>
      <c r="V95" s="286">
        <v>0</v>
      </c>
      <c r="W95" s="286">
        <v>0</v>
      </c>
      <c r="X95" s="286">
        <v>0</v>
      </c>
      <c r="Y95" s="286">
        <v>0</v>
      </c>
      <c r="Z95" s="286"/>
      <c r="AA95" s="286">
        <v>0</v>
      </c>
      <c r="AB95" s="286">
        <v>0</v>
      </c>
      <c r="AC95" s="286">
        <v>0</v>
      </c>
      <c r="AD95" s="286">
        <v>0</v>
      </c>
      <c r="AE95" s="286">
        <v>0</v>
      </c>
      <c r="AF95" s="286">
        <v>0</v>
      </c>
      <c r="AG95" s="286">
        <v>0</v>
      </c>
      <c r="AH95" s="286">
        <v>0</v>
      </c>
      <c r="AI95" s="286">
        <v>0</v>
      </c>
      <c r="AJ95" s="286">
        <v>0</v>
      </c>
      <c r="AK95" s="286">
        <v>0</v>
      </c>
      <c r="AL95" s="286">
        <v>0</v>
      </c>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c r="B96" s="7"/>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c r="A97" s="7"/>
      <c r="B97" s="7"/>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ht="13.5" thickBot="1">
      <c r="A98" s="24" t="s">
        <v>161</v>
      </c>
      <c r="B98" s="25"/>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ht="13.5" thickBot="1">
      <c r="A99" s="33"/>
      <c r="B99" s="34"/>
      <c r="C99" s="35"/>
      <c r="D99" s="35"/>
      <c r="E99" s="35"/>
      <c r="F99" s="35"/>
      <c r="G99" s="35"/>
      <c r="H99" s="35"/>
      <c r="I99" s="35"/>
      <c r="J99" s="35"/>
      <c r="K99" s="35"/>
      <c r="L99" s="35"/>
      <c r="M99" s="35"/>
      <c r="N99" s="35"/>
      <c r="O99" s="36" t="s">
        <v>193</v>
      </c>
      <c r="P99" s="37"/>
      <c r="Q99" s="37"/>
      <c r="R99" s="37"/>
      <c r="S99" s="37"/>
      <c r="T99" s="37"/>
      <c r="U99" s="37"/>
      <c r="V99" s="37"/>
      <c r="W99" s="37"/>
      <c r="X99" s="37"/>
      <c r="Y99" s="37"/>
      <c r="Z99" s="31"/>
      <c r="AA99" s="35"/>
      <c r="AB99" s="36" t="s">
        <v>194</v>
      </c>
      <c r="AC99" s="37"/>
      <c r="AD99" s="37"/>
      <c r="AE99" s="37"/>
      <c r="AF99" s="37"/>
      <c r="AG99" s="37"/>
      <c r="AH99" s="37"/>
      <c r="AI99" s="37"/>
      <c r="AJ99" s="37"/>
      <c r="AK99" s="37"/>
      <c r="AL99" s="37"/>
      <c r="AM99" s="31"/>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ht="191.25">
      <c r="A100" s="27" t="s">
        <v>138</v>
      </c>
      <c r="B100" s="28" t="s">
        <v>139</v>
      </c>
      <c r="C100" s="29" t="s">
        <v>22</v>
      </c>
      <c r="D100" s="29" t="s">
        <v>141</v>
      </c>
      <c r="E100" s="29" t="s">
        <v>142</v>
      </c>
      <c r="F100" s="29" t="s">
        <v>143</v>
      </c>
      <c r="G100" s="29" t="s">
        <v>144</v>
      </c>
      <c r="H100" s="29" t="s">
        <v>145</v>
      </c>
      <c r="I100" s="29" t="s">
        <v>146</v>
      </c>
      <c r="J100" s="29" t="s">
        <v>147</v>
      </c>
      <c r="K100" s="29" t="s">
        <v>21</v>
      </c>
      <c r="L100" s="29" t="s">
        <v>140</v>
      </c>
      <c r="M100" s="29" t="s">
        <v>148</v>
      </c>
      <c r="N100" s="29" t="s">
        <v>195</v>
      </c>
      <c r="O100" s="29" t="s">
        <v>149</v>
      </c>
      <c r="P100" s="29" t="s">
        <v>150</v>
      </c>
      <c r="Q100" s="29" t="s">
        <v>151</v>
      </c>
      <c r="R100" s="29" t="s">
        <v>152</v>
      </c>
      <c r="S100" s="29" t="s">
        <v>153</v>
      </c>
      <c r="T100" s="29" t="s">
        <v>154</v>
      </c>
      <c r="U100" s="29" t="s">
        <v>155</v>
      </c>
      <c r="V100" s="29" t="s">
        <v>156</v>
      </c>
      <c r="W100" s="29" t="s">
        <v>157</v>
      </c>
      <c r="X100" s="29" t="s">
        <v>158</v>
      </c>
      <c r="Y100" s="29" t="s">
        <v>159</v>
      </c>
      <c r="Z100" s="29" t="s">
        <v>160</v>
      </c>
      <c r="AA100" s="29"/>
      <c r="AB100" s="29" t="s">
        <v>149</v>
      </c>
      <c r="AC100" s="29" t="s">
        <v>150</v>
      </c>
      <c r="AD100" s="29" t="s">
        <v>151</v>
      </c>
      <c r="AE100" s="29" t="s">
        <v>152</v>
      </c>
      <c r="AF100" s="29" t="s">
        <v>153</v>
      </c>
      <c r="AG100" s="29" t="s">
        <v>154</v>
      </c>
      <c r="AH100" s="29" t="s">
        <v>155</v>
      </c>
      <c r="AI100" s="29" t="s">
        <v>156</v>
      </c>
      <c r="AJ100" s="29" t="s">
        <v>157</v>
      </c>
      <c r="AK100" s="29" t="s">
        <v>158</v>
      </c>
      <c r="AL100" s="29" t="s">
        <v>159</v>
      </c>
      <c r="AM100" s="29" t="s">
        <v>160</v>
      </c>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row r="101" spans="1:131">
      <c r="A101" s="7" t="s">
        <v>314</v>
      </c>
      <c r="B101" s="7"/>
      <c r="C101" s="32">
        <v>797.38994023341627</v>
      </c>
      <c r="D101" s="32">
        <v>190.08733333333336</v>
      </c>
      <c r="E101" s="32">
        <v>38.017466666666671</v>
      </c>
      <c r="F101" s="32">
        <v>228.10480000000004</v>
      </c>
      <c r="G101" s="32">
        <v>267.37497348389007</v>
      </c>
      <c r="H101" s="32">
        <v>423.68508634252288</v>
      </c>
      <c r="I101" s="32">
        <v>2505.9233220512879</v>
      </c>
      <c r="J101" s="32">
        <v>1.9742311413603217</v>
      </c>
      <c r="K101" s="32">
        <v>20.967614982634366</v>
      </c>
      <c r="L101" s="30">
        <v>1.5846101107441561</v>
      </c>
      <c r="M101" s="32">
        <v>7.5753068337252643</v>
      </c>
      <c r="N101" s="32">
        <v>2.1209184506490418E-3</v>
      </c>
      <c r="O101" s="32">
        <v>0</v>
      </c>
      <c r="P101" s="32">
        <v>2.7934029203454488E-2</v>
      </c>
      <c r="Q101" s="32">
        <v>1.5380237767110789</v>
      </c>
      <c r="R101" s="32">
        <v>18.526324179533617</v>
      </c>
      <c r="S101" s="32">
        <v>73.381881459214426</v>
      </c>
      <c r="T101" s="32">
        <v>97.25520973288431</v>
      </c>
      <c r="U101" s="32">
        <v>94.155061241327232</v>
      </c>
      <c r="V101" s="32">
        <v>95.502411136506495</v>
      </c>
      <c r="W101" s="32">
        <v>44.896800908404124</v>
      </c>
      <c r="X101" s="32">
        <v>25.816902757479024</v>
      </c>
      <c r="Y101" s="32">
        <v>7.2967299632589322</v>
      </c>
      <c r="Z101" s="32">
        <v>5.0000369695510534E-2</v>
      </c>
      <c r="AA101" s="32"/>
      <c r="AB101" s="32">
        <v>0</v>
      </c>
      <c r="AC101" s="32">
        <v>1.91034744507655E-2</v>
      </c>
      <c r="AD101" s="32">
        <v>0.56711431090469422</v>
      </c>
      <c r="AE101" s="32">
        <v>12.209678326492483</v>
      </c>
      <c r="AF101" s="32">
        <v>47.582713062606473</v>
      </c>
      <c r="AG101" s="32">
        <v>71.489901493315926</v>
      </c>
      <c r="AH101" s="32">
        <v>81.090475032381391</v>
      </c>
      <c r="AI101" s="32">
        <v>69.451473136247188</v>
      </c>
      <c r="AJ101" s="32">
        <v>35.935489924771581</v>
      </c>
      <c r="AK101" s="32">
        <v>16.959446719743305</v>
      </c>
      <c r="AL101" s="32">
        <v>3.6003150965130035</v>
      </c>
      <c r="AM101" s="26">
        <v>3.6950101771177447E-2</v>
      </c>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row>
    <row r="102" spans="1:131">
      <c r="A102" s="7" t="s">
        <v>319</v>
      </c>
      <c r="B102" s="7"/>
      <c r="C102" s="32">
        <v>797.38994023341627</v>
      </c>
      <c r="D102" s="32">
        <v>190.08733333333336</v>
      </c>
      <c r="E102" s="32">
        <v>38.017466666666671</v>
      </c>
      <c r="F102" s="32">
        <v>228.10480000000004</v>
      </c>
      <c r="G102" s="32">
        <v>267.37497348389007</v>
      </c>
      <c r="H102" s="32">
        <v>423.68508634252288</v>
      </c>
      <c r="I102" s="32">
        <v>2505.9233220512879</v>
      </c>
      <c r="J102" s="32">
        <v>1.9742311413603217</v>
      </c>
      <c r="K102" s="32">
        <v>20.967614982634366</v>
      </c>
      <c r="L102" s="30">
        <v>1.5846101107441561</v>
      </c>
      <c r="M102" s="32">
        <v>7.5753068337252643</v>
      </c>
      <c r="N102" s="32">
        <v>2.1209184506490418E-3</v>
      </c>
      <c r="O102" s="32">
        <v>0</v>
      </c>
      <c r="P102" s="32">
        <v>2.7934029203454488E-2</v>
      </c>
      <c r="Q102" s="32">
        <v>1.5380237767110789</v>
      </c>
      <c r="R102" s="32">
        <v>18.526324179533617</v>
      </c>
      <c r="S102" s="32">
        <v>73.381881459214426</v>
      </c>
      <c r="T102" s="32">
        <v>97.25520973288431</v>
      </c>
      <c r="U102" s="32">
        <v>94.155061241327232</v>
      </c>
      <c r="V102" s="32">
        <v>95.502411136506495</v>
      </c>
      <c r="W102" s="32">
        <v>44.896800908404124</v>
      </c>
      <c r="X102" s="32">
        <v>25.816902757479024</v>
      </c>
      <c r="Y102" s="32">
        <v>7.2967299632589322</v>
      </c>
      <c r="Z102" s="32">
        <v>5.0000369695510534E-2</v>
      </c>
      <c r="AA102" s="32"/>
      <c r="AB102" s="32">
        <v>0</v>
      </c>
      <c r="AC102" s="32">
        <v>1.91034744507655E-2</v>
      </c>
      <c r="AD102" s="32">
        <v>0.56711431090469422</v>
      </c>
      <c r="AE102" s="32">
        <v>12.209678326492483</v>
      </c>
      <c r="AF102" s="32">
        <v>47.582713062606473</v>
      </c>
      <c r="AG102" s="32">
        <v>71.489901493315926</v>
      </c>
      <c r="AH102" s="32">
        <v>81.090475032381391</v>
      </c>
      <c r="AI102" s="32">
        <v>69.451473136247188</v>
      </c>
      <c r="AJ102" s="32">
        <v>35.935489924771581</v>
      </c>
      <c r="AK102" s="32">
        <v>16.959446719743305</v>
      </c>
      <c r="AL102" s="32">
        <v>3.6003150965130035</v>
      </c>
      <c r="AM102" s="26">
        <v>3.6950101771177447E-2</v>
      </c>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row>
    <row r="103" spans="1:131">
      <c r="A103" s="7" t="s">
        <v>315</v>
      </c>
      <c r="B103" s="7"/>
      <c r="C103" s="32">
        <v>857.35378710031875</v>
      </c>
      <c r="D103" s="32">
        <v>208.77266666666668</v>
      </c>
      <c r="E103" s="32">
        <v>41.754533333333342</v>
      </c>
      <c r="F103" s="32">
        <v>250.52720000000002</v>
      </c>
      <c r="G103" s="32">
        <v>293.65757957304368</v>
      </c>
      <c r="H103" s="32">
        <v>455.54627038228733</v>
      </c>
      <c r="I103" s="32">
        <v>2559.7580660633489</v>
      </c>
      <c r="J103" s="32">
        <v>2.096244071733532</v>
      </c>
      <c r="K103" s="32">
        <v>21.497662727169729</v>
      </c>
      <c r="L103" s="30">
        <v>1.5512838832378097</v>
      </c>
      <c r="M103" s="32">
        <v>8.144971079570043</v>
      </c>
      <c r="N103" s="32">
        <v>2.2804118462575679E-3</v>
      </c>
      <c r="O103" s="32">
        <v>0</v>
      </c>
      <c r="P103" s="32">
        <v>3.0034672521128153E-2</v>
      </c>
      <c r="Q103" s="32">
        <v>1.6536834026619174</v>
      </c>
      <c r="R103" s="32">
        <v>19.919506623975991</v>
      </c>
      <c r="S103" s="32">
        <v>78.900210297596146</v>
      </c>
      <c r="T103" s="32">
        <v>104.56881655080335</v>
      </c>
      <c r="U103" s="32">
        <v>101.23553641306827</v>
      </c>
      <c r="V103" s="32">
        <v>102.6842072288087</v>
      </c>
      <c r="W103" s="32">
        <v>48.273047282539828</v>
      </c>
      <c r="X103" s="32">
        <v>27.758337838882262</v>
      </c>
      <c r="Y103" s="32">
        <v>7.8454451853470353</v>
      </c>
      <c r="Z103" s="32">
        <v>5.3760405231991534E-2</v>
      </c>
      <c r="AA103" s="32"/>
      <c r="AB103" s="32">
        <v>0</v>
      </c>
      <c r="AC103" s="32">
        <v>2.0540058684893368E-2</v>
      </c>
      <c r="AD103" s="32">
        <v>0.60976139482095681</v>
      </c>
      <c r="AE103" s="32">
        <v>13.127848025560443</v>
      </c>
      <c r="AF103" s="32">
        <v>51.160940446266068</v>
      </c>
      <c r="AG103" s="32">
        <v>76.86595314556061</v>
      </c>
      <c r="AH103" s="32">
        <v>87.188491300034229</v>
      </c>
      <c r="AI103" s="32">
        <v>74.67423466068233</v>
      </c>
      <c r="AJ103" s="32">
        <v>38.637844326565698</v>
      </c>
      <c r="AK103" s="32">
        <v>18.234799736803428</v>
      </c>
      <c r="AL103" s="32">
        <v>3.871059348762671</v>
      </c>
      <c r="AM103" s="26">
        <v>3.9728755140788267E-2</v>
      </c>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row>
    <row r="104" spans="1:131">
      <c r="A104" s="7" t="s">
        <v>317</v>
      </c>
      <c r="B104" s="7"/>
      <c r="C104" s="32">
        <v>857.35378710031875</v>
      </c>
      <c r="D104" s="32">
        <v>208.77266666666668</v>
      </c>
      <c r="E104" s="32">
        <v>41.754533333333342</v>
      </c>
      <c r="F104" s="32">
        <v>250.52720000000002</v>
      </c>
      <c r="G104" s="32">
        <v>293.65757957304368</v>
      </c>
      <c r="H104" s="32">
        <v>455.54627038228733</v>
      </c>
      <c r="I104" s="32">
        <v>2559.7580660633489</v>
      </c>
      <c r="J104" s="32">
        <v>2.096244071733532</v>
      </c>
      <c r="K104" s="32">
        <v>21.497662727169729</v>
      </c>
      <c r="L104" s="30">
        <v>1.5512838832378097</v>
      </c>
      <c r="M104" s="32">
        <v>8.144971079570043</v>
      </c>
      <c r="N104" s="32">
        <v>2.2804118462575679E-3</v>
      </c>
      <c r="O104" s="32">
        <v>0</v>
      </c>
      <c r="P104" s="32">
        <v>3.0034672521128153E-2</v>
      </c>
      <c r="Q104" s="32">
        <v>1.6536834026619174</v>
      </c>
      <c r="R104" s="32">
        <v>19.919506623975991</v>
      </c>
      <c r="S104" s="32">
        <v>78.900210297596146</v>
      </c>
      <c r="T104" s="32">
        <v>104.56881655080335</v>
      </c>
      <c r="U104" s="32">
        <v>101.23553641306827</v>
      </c>
      <c r="V104" s="32">
        <v>102.6842072288087</v>
      </c>
      <c r="W104" s="32">
        <v>48.273047282539828</v>
      </c>
      <c r="X104" s="32">
        <v>27.758337838882262</v>
      </c>
      <c r="Y104" s="32">
        <v>7.8454451853470353</v>
      </c>
      <c r="Z104" s="32">
        <v>5.3760405231991534E-2</v>
      </c>
      <c r="AA104" s="32"/>
      <c r="AB104" s="32">
        <v>0</v>
      </c>
      <c r="AC104" s="32">
        <v>2.0540058684893368E-2</v>
      </c>
      <c r="AD104" s="32">
        <v>0.60976139482095681</v>
      </c>
      <c r="AE104" s="32">
        <v>13.127848025560443</v>
      </c>
      <c r="AF104" s="32">
        <v>51.160940446266068</v>
      </c>
      <c r="AG104" s="32">
        <v>76.86595314556061</v>
      </c>
      <c r="AH104" s="32">
        <v>87.188491300034229</v>
      </c>
      <c r="AI104" s="32">
        <v>74.67423466068233</v>
      </c>
      <c r="AJ104" s="32">
        <v>38.637844326565698</v>
      </c>
      <c r="AK104" s="32">
        <v>18.234799736803428</v>
      </c>
      <c r="AL104" s="32">
        <v>3.871059348762671</v>
      </c>
      <c r="AM104" s="26">
        <v>3.9728755140788267E-2</v>
      </c>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row>
    <row r="105" spans="1:131">
      <c r="A105" s="7" t="s">
        <v>316</v>
      </c>
      <c r="B105" s="7"/>
      <c r="C105" s="32">
        <v>1111.4974068636257</v>
      </c>
      <c r="D105" s="32">
        <v>333.10200000000003</v>
      </c>
      <c r="E105" s="32">
        <v>66.620400000000004</v>
      </c>
      <c r="F105" s="32">
        <v>399.72240000000005</v>
      </c>
      <c r="G105" s="32">
        <v>422.95016346690943</v>
      </c>
      <c r="H105" s="32">
        <v>590.58291437518562</v>
      </c>
      <c r="I105" s="32">
        <v>3150.3161432293136</v>
      </c>
      <c r="J105" s="32">
        <v>3.4347053734989079</v>
      </c>
      <c r="K105" s="32">
        <v>24.294257144078045</v>
      </c>
      <c r="L105" s="30">
        <v>1.3963416151307182</v>
      </c>
      <c r="M105" s="32">
        <v>10.559368104665552</v>
      </c>
      <c r="N105" s="32">
        <v>2.9563896396480236E-3</v>
      </c>
      <c r="O105" s="32">
        <v>0</v>
      </c>
      <c r="P105" s="32">
        <v>3.8937788723298596E-2</v>
      </c>
      <c r="Q105" s="32">
        <v>2.1438813725296653</v>
      </c>
      <c r="R105" s="32">
        <v>25.824205003437484</v>
      </c>
      <c r="S105" s="32">
        <v>102.28843735953707</v>
      </c>
      <c r="T105" s="32">
        <v>135.56593577094247</v>
      </c>
      <c r="U105" s="32">
        <v>131.24457825764202</v>
      </c>
      <c r="V105" s="32">
        <v>133.12267558376499</v>
      </c>
      <c r="W105" s="32">
        <v>62.582527403789264</v>
      </c>
      <c r="X105" s="32">
        <v>35.986684833004595</v>
      </c>
      <c r="Y105" s="32">
        <v>10.171054365662467</v>
      </c>
      <c r="Z105" s="32">
        <v>6.9696491584173084E-2</v>
      </c>
      <c r="AA105" s="32"/>
      <c r="AB105" s="32">
        <v>0</v>
      </c>
      <c r="AC105" s="32">
        <v>2.6628706035463412E-2</v>
      </c>
      <c r="AD105" s="32">
        <v>0.79051171097205142</v>
      </c>
      <c r="AE105" s="32">
        <v>17.019309015314171</v>
      </c>
      <c r="AF105" s="32">
        <v>66.326472798417029</v>
      </c>
      <c r="AG105" s="32">
        <v>99.651169543845128</v>
      </c>
      <c r="AH105" s="32">
        <v>113.03359645275637</v>
      </c>
      <c r="AI105" s="32">
        <v>96.809764456271594</v>
      </c>
      <c r="AJ105" s="32">
        <v>50.091181052604533</v>
      </c>
      <c r="AK105" s="32">
        <v>23.640103918690674</v>
      </c>
      <c r="AL105" s="32">
        <v>5.0185495097853341</v>
      </c>
      <c r="AM105" s="26">
        <v>5.1505468315776078E-2</v>
      </c>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row>
    <row r="106" spans="1:131">
      <c r="A106" s="7" t="s">
        <v>313</v>
      </c>
      <c r="B106" s="7"/>
      <c r="C106" s="32">
        <v>1470.9620152427756</v>
      </c>
      <c r="D106" s="32">
        <v>446.65133333333335</v>
      </c>
      <c r="E106" s="32">
        <v>89.330266666666674</v>
      </c>
      <c r="F106" s="32">
        <v>535.98160000000007</v>
      </c>
      <c r="G106" s="32">
        <v>567.12734971884402</v>
      </c>
      <c r="H106" s="32">
        <v>781.58080129813698</v>
      </c>
      <c r="I106" s="32">
        <v>3191.9239024163917</v>
      </c>
      <c r="J106" s="32">
        <v>3.5290066415339405</v>
      </c>
      <c r="K106" s="32">
        <v>24.664060668826579</v>
      </c>
      <c r="L106" s="30">
        <v>1.3781398511033003</v>
      </c>
      <c r="M106" s="32">
        <v>13.974328047024326</v>
      </c>
      <c r="N106" s="32">
        <v>3.9125029310240079E-3</v>
      </c>
      <c r="O106" s="32">
        <v>0</v>
      </c>
      <c r="P106" s="32">
        <v>5.1530491943422192E-2</v>
      </c>
      <c r="Q106" s="32">
        <v>2.8372248506420572</v>
      </c>
      <c r="R106" s="32">
        <v>34.175900365874341</v>
      </c>
      <c r="S106" s="32">
        <v>135.36910210073026</v>
      </c>
      <c r="T106" s="32">
        <v>179.40873352335669</v>
      </c>
      <c r="U106" s="32">
        <v>173.68982431394559</v>
      </c>
      <c r="V106" s="32">
        <v>176.17530903986261</v>
      </c>
      <c r="W106" s="32">
        <v>82.82207413207118</v>
      </c>
      <c r="X106" s="32">
        <v>47.62498420327659</v>
      </c>
      <c r="Y106" s="32">
        <v>13.460431427434134</v>
      </c>
      <c r="Z106" s="32">
        <v>9.2236734951361976E-2</v>
      </c>
      <c r="AA106" s="32"/>
      <c r="AB106" s="32">
        <v>0</v>
      </c>
      <c r="AC106" s="32">
        <v>3.5240581625611146E-2</v>
      </c>
      <c r="AD106" s="32">
        <v>1.046167712370681</v>
      </c>
      <c r="AE106" s="32">
        <v>22.52345073646914</v>
      </c>
      <c r="AF106" s="32">
        <v>87.776832846426203</v>
      </c>
      <c r="AG106" s="32">
        <v>131.87892681381561</v>
      </c>
      <c r="AH106" s="32">
        <v>149.58930700293149</v>
      </c>
      <c r="AI106" s="32">
        <v>128.11859509560492</v>
      </c>
      <c r="AJ106" s="32">
        <v>66.290955041400537</v>
      </c>
      <c r="AK106" s="32">
        <v>31.285448518416921</v>
      </c>
      <c r="AL106" s="32">
        <v>6.6415770787445645</v>
      </c>
      <c r="AM106" s="26">
        <v>6.8162630881506439E-2</v>
      </c>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row>
    <row r="107" spans="1:131">
      <c r="A107" s="7" t="s">
        <v>318</v>
      </c>
      <c r="B107" s="7"/>
      <c r="C107" s="32">
        <v>818.2600452312563</v>
      </c>
      <c r="D107" s="32">
        <v>255.12666666666667</v>
      </c>
      <c r="E107" s="32">
        <v>51.025333333333336</v>
      </c>
      <c r="F107" s="32">
        <v>306.15199999999999</v>
      </c>
      <c r="G107" s="32">
        <v>323.94241214833403</v>
      </c>
      <c r="H107" s="32">
        <v>434.77420572042615</v>
      </c>
      <c r="I107" s="32">
        <v>3277.5540436439678</v>
      </c>
      <c r="J107" s="32">
        <v>3.7230817625581647</v>
      </c>
      <c r="K107" s="32">
        <v>25.425128524182412</v>
      </c>
      <c r="L107" s="30">
        <v>1.3421342479889358</v>
      </c>
      <c r="M107" s="32">
        <v>7.7735755113617184</v>
      </c>
      <c r="N107" s="32">
        <v>2.1764292973797451E-3</v>
      </c>
      <c r="O107" s="32">
        <v>0</v>
      </c>
      <c r="P107" s="32">
        <v>2.8665147183596265E-2</v>
      </c>
      <c r="Q107" s="32">
        <v>1.5782785079154114</v>
      </c>
      <c r="R107" s="32">
        <v>19.011214082631351</v>
      </c>
      <c r="S107" s="32">
        <v>75.302507107619974</v>
      </c>
      <c r="T107" s="32">
        <v>99.800672543862461</v>
      </c>
      <c r="U107" s="32">
        <v>96.619383795496091</v>
      </c>
      <c r="V107" s="32">
        <v>98.001997910052125</v>
      </c>
      <c r="W107" s="32">
        <v>46.071885897250652</v>
      </c>
      <c r="X107" s="32">
        <v>26.492609139114457</v>
      </c>
      <c r="Y107" s="32">
        <v>7.4877074421440089</v>
      </c>
      <c r="Z107" s="32">
        <v>5.1309030506017705E-2</v>
      </c>
      <c r="AA107" s="32"/>
      <c r="AB107" s="32">
        <v>0</v>
      </c>
      <c r="AC107" s="32">
        <v>1.9603470121007247E-2</v>
      </c>
      <c r="AD107" s="32">
        <v>0.58195740663135231</v>
      </c>
      <c r="AE107" s="32">
        <v>12.529242514359161</v>
      </c>
      <c r="AF107" s="32">
        <v>48.82809649120604</v>
      </c>
      <c r="AG107" s="32">
        <v>73.361008307146562</v>
      </c>
      <c r="AH107" s="32">
        <v>83.212857875278971</v>
      </c>
      <c r="AI107" s="32">
        <v>71.269228118438022</v>
      </c>
      <c r="AJ107" s="32">
        <v>36.87603031791884</v>
      </c>
      <c r="AK107" s="32">
        <v>17.403326703534809</v>
      </c>
      <c r="AL107" s="32">
        <v>3.6945462252221772</v>
      </c>
      <c r="AM107" s="26">
        <v>3.7917197623201386E-2</v>
      </c>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row>
    <row r="108" spans="1:131">
      <c r="A108" s="7" t="s">
        <v>320</v>
      </c>
      <c r="B108" s="7"/>
      <c r="C108" s="32">
        <v>842.07444999887502</v>
      </c>
      <c r="D108" s="32">
        <v>282.43600000000004</v>
      </c>
      <c r="E108" s="32">
        <v>56.487200000000009</v>
      </c>
      <c r="F108" s="32">
        <v>338.92320000000007</v>
      </c>
      <c r="G108" s="32">
        <v>358.61793795576148</v>
      </c>
      <c r="H108" s="32">
        <v>447.42774902599012</v>
      </c>
      <c r="I108" s="32">
        <v>3525.7775984106474</v>
      </c>
      <c r="J108" s="32">
        <v>4.2856642334240522</v>
      </c>
      <c r="K108" s="32">
        <v>27.631302258884162</v>
      </c>
      <c r="L108" s="30">
        <v>1.2476446425866854</v>
      </c>
      <c r="M108" s="32">
        <v>7.9998154149206036</v>
      </c>
      <c r="N108" s="32">
        <v>2.2397714690255044E-3</v>
      </c>
      <c r="O108" s="32">
        <v>0</v>
      </c>
      <c r="P108" s="32">
        <v>2.9499409374121034E-2</v>
      </c>
      <c r="Q108" s="32">
        <v>1.624212271200784</v>
      </c>
      <c r="R108" s="32">
        <v>19.56451098369131</v>
      </c>
      <c r="S108" s="32">
        <v>77.494089593809349</v>
      </c>
      <c r="T108" s="32">
        <v>102.70524258353538</v>
      </c>
      <c r="U108" s="32">
        <v>99.431366523375161</v>
      </c>
      <c r="V108" s="32">
        <v>100.85421984104681</v>
      </c>
      <c r="W108" s="32">
        <v>47.412748799648128</v>
      </c>
      <c r="X108" s="32">
        <v>27.263642407897461</v>
      </c>
      <c r="Y108" s="32">
        <v>7.7056275237219047</v>
      </c>
      <c r="Z108" s="32">
        <v>5.2802313757259758E-2</v>
      </c>
      <c r="AA108" s="32"/>
      <c r="AB108" s="32">
        <v>0</v>
      </c>
      <c r="AC108" s="32">
        <v>2.0174003871289096E-2</v>
      </c>
      <c r="AD108" s="32">
        <v>0.59889452744007499</v>
      </c>
      <c r="AE108" s="32">
        <v>12.89388998114862</v>
      </c>
      <c r="AF108" s="32">
        <v>50.249175353177471</v>
      </c>
      <c r="AG108" s="32">
        <v>75.49608597123229</v>
      </c>
      <c r="AH108" s="32">
        <v>85.63466093270695</v>
      </c>
      <c r="AI108" s="32">
        <v>73.343427214165061</v>
      </c>
      <c r="AJ108" s="32">
        <v>37.949259687154026</v>
      </c>
      <c r="AK108" s="32">
        <v>17.909828113247357</v>
      </c>
      <c r="AL108" s="32">
        <v>3.8020712348482464</v>
      </c>
      <c r="AM108" s="26">
        <v>3.9020728825922529E-2</v>
      </c>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row>
    <row r="109" spans="1:131">
      <c r="A109" s="7"/>
      <c r="B109" s="7"/>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A1:DC54"/>
  <sheetViews>
    <sheetView topLeftCell="A16" workbookViewId="0">
      <selection activeCell="A5" sqref="A5"/>
    </sheetView>
  </sheetViews>
  <sheetFormatPr defaultRowHeight="12.75"/>
  <cols>
    <col min="1" max="2" width="15.7109375" customWidth="1"/>
    <col min="3" max="3" width="73.85546875" bestFit="1" customWidth="1"/>
    <col min="4" max="4" width="24.85546875" customWidth="1"/>
  </cols>
  <sheetData>
    <row r="1" spans="1:107" s="68" customFormat="1" ht="14.25">
      <c r="C1" s="64" t="s">
        <v>0</v>
      </c>
      <c r="D1" s="65"/>
      <c r="E1" s="65"/>
      <c r="F1" s="65"/>
      <c r="G1" s="65"/>
      <c r="H1" s="65"/>
      <c r="I1" s="65"/>
      <c r="J1" s="65"/>
      <c r="K1" s="66"/>
      <c r="L1" s="66"/>
      <c r="M1" s="66"/>
      <c r="N1" s="66"/>
      <c r="O1" s="66"/>
      <c r="P1" s="67"/>
    </row>
    <row r="2" spans="1:107" s="68" customFormat="1">
      <c r="C2" s="69" t="s">
        <v>296</v>
      </c>
      <c r="D2" s="65"/>
      <c r="E2" s="65"/>
      <c r="F2" s="65"/>
      <c r="G2" s="65"/>
      <c r="H2" s="65"/>
      <c r="I2" s="65"/>
      <c r="J2" s="65"/>
      <c r="K2" s="66"/>
      <c r="L2" s="66"/>
      <c r="M2" s="66"/>
      <c r="N2" s="66"/>
      <c r="O2" s="66"/>
      <c r="P2" s="67"/>
      <c r="R2" s="70"/>
    </row>
    <row r="3" spans="1:107" s="7" customFormat="1">
      <c r="C3" s="8" t="s">
        <v>2</v>
      </c>
      <c r="E3" s="8">
        <v>2012</v>
      </c>
      <c r="L3" s="9"/>
      <c r="M3" s="10"/>
      <c r="CQ3" s="10"/>
      <c r="CR3" s="10"/>
    </row>
    <row r="4" spans="1:107" s="7" customFormat="1">
      <c r="A4" s="7" t="s">
        <v>310</v>
      </c>
    </row>
    <row r="5" spans="1:107" s="7" customFormat="1">
      <c r="C5" s="11">
        <v>1</v>
      </c>
      <c r="D5" s="11">
        <v>2</v>
      </c>
      <c r="E5" s="11">
        <v>3</v>
      </c>
      <c r="F5" s="11">
        <v>4</v>
      </c>
      <c r="G5" s="11">
        <v>5</v>
      </c>
      <c r="H5" s="11">
        <v>6</v>
      </c>
      <c r="I5" s="11">
        <v>7</v>
      </c>
      <c r="J5" s="11">
        <v>8</v>
      </c>
      <c r="K5" s="11">
        <v>9</v>
      </c>
      <c r="L5" s="11">
        <v>10</v>
      </c>
      <c r="M5" s="11">
        <v>11</v>
      </c>
      <c r="N5" s="11">
        <v>12</v>
      </c>
      <c r="O5" s="11">
        <v>13</v>
      </c>
      <c r="P5" s="11">
        <v>14</v>
      </c>
      <c r="Q5" s="11">
        <v>15</v>
      </c>
      <c r="R5" s="11">
        <v>16</v>
      </c>
      <c r="S5" s="11">
        <v>17</v>
      </c>
      <c r="T5" s="11">
        <v>18</v>
      </c>
      <c r="U5" s="11">
        <v>19</v>
      </c>
      <c r="V5" s="11">
        <v>20</v>
      </c>
      <c r="W5" s="11">
        <v>21</v>
      </c>
      <c r="X5" s="11">
        <v>22</v>
      </c>
      <c r="Y5" s="11">
        <v>23</v>
      </c>
      <c r="Z5" s="11">
        <v>24</v>
      </c>
      <c r="AA5" s="11">
        <v>25</v>
      </c>
      <c r="AB5" s="11">
        <v>26</v>
      </c>
      <c r="AC5" s="11">
        <v>27</v>
      </c>
      <c r="AD5" s="11">
        <v>28</v>
      </c>
      <c r="AE5" s="11">
        <v>29</v>
      </c>
      <c r="AF5" s="11">
        <v>30</v>
      </c>
      <c r="AG5" s="11">
        <v>31</v>
      </c>
      <c r="AH5" s="11">
        <v>32</v>
      </c>
      <c r="AI5" s="11">
        <v>33</v>
      </c>
      <c r="AJ5" s="11">
        <v>34</v>
      </c>
      <c r="AK5" s="11">
        <v>35</v>
      </c>
      <c r="AL5" s="11">
        <v>36</v>
      </c>
      <c r="AM5" s="11">
        <v>37</v>
      </c>
      <c r="AN5" s="11">
        <v>38</v>
      </c>
      <c r="AO5" s="11">
        <v>39</v>
      </c>
      <c r="AP5" s="11">
        <v>40</v>
      </c>
      <c r="AQ5" s="11">
        <v>41</v>
      </c>
      <c r="AR5" s="11">
        <v>42</v>
      </c>
      <c r="AS5" s="11">
        <v>43</v>
      </c>
      <c r="AT5" s="11">
        <v>44</v>
      </c>
      <c r="AU5" s="11">
        <v>45</v>
      </c>
      <c r="AV5" s="11">
        <v>46</v>
      </c>
      <c r="AW5" s="11">
        <v>47</v>
      </c>
      <c r="AX5" s="11">
        <v>48</v>
      </c>
      <c r="AY5" s="11">
        <v>49</v>
      </c>
      <c r="AZ5" s="11">
        <v>50</v>
      </c>
      <c r="BA5" s="11">
        <v>51</v>
      </c>
      <c r="BB5" s="11">
        <v>52</v>
      </c>
      <c r="BC5" s="11">
        <v>53</v>
      </c>
      <c r="BD5" s="11">
        <v>54</v>
      </c>
      <c r="BE5" s="11">
        <v>55</v>
      </c>
      <c r="BF5" s="11">
        <v>56</v>
      </c>
      <c r="BG5" s="11">
        <v>57</v>
      </c>
      <c r="BH5" s="11">
        <v>58</v>
      </c>
      <c r="BI5" s="11">
        <v>59</v>
      </c>
      <c r="BJ5" s="11">
        <v>60</v>
      </c>
      <c r="BK5" s="11">
        <v>61</v>
      </c>
      <c r="BL5" s="11">
        <v>62</v>
      </c>
      <c r="BM5" s="11">
        <v>63</v>
      </c>
      <c r="BN5" s="11">
        <v>64</v>
      </c>
      <c r="BO5" s="11">
        <v>65</v>
      </c>
      <c r="BP5" s="11">
        <v>66</v>
      </c>
      <c r="BQ5" s="11">
        <v>67</v>
      </c>
      <c r="BR5" s="11">
        <v>68</v>
      </c>
      <c r="BS5" s="11">
        <v>69</v>
      </c>
      <c r="BT5" s="11">
        <v>70</v>
      </c>
      <c r="BU5" s="11">
        <v>71</v>
      </c>
      <c r="BV5" s="11">
        <v>72</v>
      </c>
      <c r="BW5" s="11">
        <v>73</v>
      </c>
      <c r="BX5" s="11">
        <v>74</v>
      </c>
      <c r="BY5" s="11">
        <v>75</v>
      </c>
      <c r="BZ5" s="11">
        <v>76</v>
      </c>
      <c r="CA5" s="11">
        <v>77</v>
      </c>
      <c r="CB5" s="11">
        <v>78</v>
      </c>
      <c r="CC5" s="11">
        <v>79</v>
      </c>
      <c r="CD5" s="11">
        <v>80</v>
      </c>
      <c r="CE5" s="11">
        <v>81</v>
      </c>
      <c r="CF5" s="11">
        <v>82</v>
      </c>
      <c r="CG5" s="11">
        <v>83</v>
      </c>
      <c r="CH5" s="11">
        <v>84</v>
      </c>
      <c r="CI5" s="11">
        <v>85</v>
      </c>
      <c r="CJ5" s="11">
        <v>86</v>
      </c>
      <c r="CK5" s="11">
        <v>87</v>
      </c>
      <c r="CL5" s="11">
        <v>88</v>
      </c>
      <c r="CM5" s="11">
        <v>89</v>
      </c>
      <c r="CN5" s="11">
        <v>90</v>
      </c>
      <c r="CO5" s="11">
        <v>91</v>
      </c>
      <c r="CP5" s="11">
        <v>92</v>
      </c>
      <c r="CQ5" s="11">
        <v>93</v>
      </c>
      <c r="CR5" s="11">
        <v>94</v>
      </c>
      <c r="CS5" s="11">
        <v>95</v>
      </c>
      <c r="CT5" s="11">
        <v>96</v>
      </c>
      <c r="CU5" s="11">
        <v>97</v>
      </c>
      <c r="CV5" s="11">
        <v>98</v>
      </c>
      <c r="CW5" s="11">
        <v>99</v>
      </c>
      <c r="CX5" s="11">
        <v>100</v>
      </c>
      <c r="CY5" s="11">
        <v>101</v>
      </c>
      <c r="CZ5" s="11">
        <v>102</v>
      </c>
      <c r="DA5" s="11">
        <v>103</v>
      </c>
      <c r="DB5" s="11">
        <v>104</v>
      </c>
      <c r="DC5" s="11">
        <v>105</v>
      </c>
    </row>
    <row r="6" spans="1:107" s="7" customFormat="1">
      <c r="C6" s="12" t="s">
        <v>3</v>
      </c>
      <c r="D6" s="13"/>
      <c r="E6" s="13"/>
      <c r="F6" s="13"/>
      <c r="G6" s="13"/>
      <c r="H6" s="13"/>
      <c r="I6" s="14"/>
      <c r="J6" s="71"/>
      <c r="K6" s="295" t="s">
        <v>4</v>
      </c>
      <c r="L6" s="296"/>
      <c r="M6" s="296"/>
      <c r="N6" s="296"/>
      <c r="O6" s="296"/>
      <c r="P6" s="297"/>
      <c r="Q6" s="298" t="s">
        <v>5</v>
      </c>
      <c r="R6" s="299"/>
      <c r="S6" s="16"/>
      <c r="T6" s="17"/>
      <c r="U6" s="17"/>
      <c r="V6" s="17"/>
      <c r="W6" s="17"/>
      <c r="X6" s="17"/>
      <c r="Y6" s="17"/>
      <c r="Z6" s="18"/>
      <c r="AA6" s="19"/>
      <c r="AB6" s="17"/>
      <c r="AC6" s="17"/>
      <c r="AD6" s="17"/>
      <c r="AE6" s="17"/>
      <c r="AF6" s="17"/>
      <c r="AG6" s="20"/>
      <c r="AH6" s="20"/>
      <c r="AI6" s="20"/>
      <c r="AJ6" s="20"/>
      <c r="AK6" s="20"/>
      <c r="AL6" s="20"/>
      <c r="AM6" s="20"/>
      <c r="AN6" s="20"/>
      <c r="AO6" s="20"/>
      <c r="AP6" s="20"/>
      <c r="AQ6" s="20"/>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row>
    <row r="7" spans="1:107" s="7" customFormat="1" ht="38.25">
      <c r="A7" s="7" t="s">
        <v>306</v>
      </c>
      <c r="C7" s="72" t="s">
        <v>6</v>
      </c>
      <c r="D7" s="72" t="s">
        <v>7</v>
      </c>
      <c r="E7" s="72" t="s">
        <v>8</v>
      </c>
      <c r="F7" s="72" t="s">
        <v>9</v>
      </c>
      <c r="G7" s="72" t="s">
        <v>10</v>
      </c>
      <c r="H7" s="72" t="s">
        <v>11</v>
      </c>
      <c r="I7" s="73" t="s">
        <v>12</v>
      </c>
      <c r="J7" s="73" t="s">
        <v>13</v>
      </c>
      <c r="K7" s="73" t="s">
        <v>14</v>
      </c>
      <c r="L7" s="73" t="s">
        <v>15</v>
      </c>
      <c r="M7" s="73" t="s">
        <v>16</v>
      </c>
      <c r="N7" s="73" t="s">
        <v>17</v>
      </c>
      <c r="O7" s="73" t="s">
        <v>18</v>
      </c>
      <c r="P7" s="73" t="s">
        <v>19</v>
      </c>
      <c r="Q7" s="74" t="s">
        <v>20</v>
      </c>
      <c r="R7" s="73" t="s">
        <v>12</v>
      </c>
      <c r="S7" s="23"/>
      <c r="T7" s="23"/>
      <c r="U7" s="23"/>
      <c r="V7" s="23"/>
      <c r="W7" s="23"/>
      <c r="X7" s="23"/>
      <c r="Y7" s="23"/>
      <c r="Z7" s="23"/>
      <c r="AA7" s="23"/>
      <c r="AB7" s="23"/>
      <c r="AC7" s="23"/>
      <c r="AD7" s="23"/>
      <c r="AE7" s="23"/>
      <c r="AF7" s="23"/>
      <c r="AG7" s="20"/>
      <c r="AH7" s="20"/>
      <c r="AI7" s="20"/>
      <c r="AJ7" s="20"/>
      <c r="AK7" s="20"/>
      <c r="AL7" s="20"/>
      <c r="AM7" s="20"/>
      <c r="AN7" s="20"/>
      <c r="AO7" s="20"/>
      <c r="AP7" s="20"/>
      <c r="AQ7" s="20"/>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row>
    <row r="8" spans="1:107">
      <c r="A8" t="str">
        <f>RIGHT(C8,LEN(C8)-FIND("size",C8)-4)</f>
        <v>15HP</v>
      </c>
      <c r="B8">
        <f>LEFT(A8,FIND("H",A8)-1)*1</f>
        <v>15</v>
      </c>
      <c r="C8" t="str">
        <f>LEFT(Raw!B8,FIND(",",Raw!B8)-1)</f>
        <v>Green Motors Program Rewind vs. Standard Practice:  Motor size 15HP</v>
      </c>
      <c r="D8" t="str">
        <f>LEFT(Raw!C8,FIND(",",Raw!C8)-1)</f>
        <v>Green Motors Program Rewind vs. Standard Practice:  Motor size 15HP</v>
      </c>
      <c r="E8">
        <f>Raw!D19</f>
        <v>1820.5989174882707</v>
      </c>
      <c r="F8">
        <f>Raw!E19</f>
        <v>20</v>
      </c>
      <c r="G8">
        <f>Raw!F19</f>
        <v>501.62933333333336</v>
      </c>
      <c r="H8">
        <f>Raw!G19</f>
        <v>0</v>
      </c>
      <c r="I8" t="str">
        <f>Raw!H19</f>
        <v>A-Irr-Irr-Irrigation-All-All-E</v>
      </c>
      <c r="J8">
        <f>Raw!I19</f>
        <v>0</v>
      </c>
      <c r="K8">
        <f>Raw!J19</f>
        <v>0</v>
      </c>
      <c r="L8">
        <f>Raw!K19</f>
        <v>0</v>
      </c>
      <c r="M8">
        <f>Raw!L19</f>
        <v>0</v>
      </c>
      <c r="N8">
        <f>Raw!M19</f>
        <v>0</v>
      </c>
      <c r="O8">
        <f>Raw!N19</f>
        <v>0</v>
      </c>
      <c r="P8">
        <f>Raw!O19</f>
        <v>0</v>
      </c>
    </row>
    <row r="9" spans="1:107">
      <c r="A9" t="str">
        <f t="shared" ref="A9:A41" si="0">RIGHT(C9,LEN(C9)-FIND("size",C9)-4)</f>
        <v>20HP</v>
      </c>
      <c r="B9">
        <f t="shared" ref="B9:B41" si="1">LEFT(A9,FIND("H",A9)-1)*1</f>
        <v>20</v>
      </c>
      <c r="C9" t="str">
        <f>LEFT(Raw!B9,FIND(",",Raw!B9)-1)</f>
        <v>Green Motors Program Rewind vs. Standard Practice:  Motor size 20HP</v>
      </c>
      <c r="D9" t="str">
        <f>LEFT(Raw!C9,FIND(",",Raw!C9)-1)</f>
        <v>Green Motors Program Rewind vs. Standard Practice:  Motor size 20HP</v>
      </c>
      <c r="E9">
        <f>Raw!D13</f>
        <v>801.85271513185091</v>
      </c>
      <c r="F9">
        <f>Raw!E13</f>
        <v>17</v>
      </c>
      <c r="G9">
        <f>Raw!F13</f>
        <v>208.77266666666668</v>
      </c>
      <c r="H9">
        <f>Raw!G13</f>
        <v>0</v>
      </c>
      <c r="I9" t="str">
        <f>Raw!H13</f>
        <v>A-Irr-Irr-Irrigation-All-All-E</v>
      </c>
      <c r="J9">
        <f>Raw!I13</f>
        <v>0</v>
      </c>
      <c r="K9">
        <f>Raw!J13</f>
        <v>0</v>
      </c>
      <c r="L9">
        <f>Raw!K13</f>
        <v>0</v>
      </c>
      <c r="M9">
        <f>Raw!L13</f>
        <v>0</v>
      </c>
      <c r="N9">
        <f>Raw!M13</f>
        <v>0</v>
      </c>
      <c r="O9">
        <f>Raw!N13</f>
        <v>0</v>
      </c>
      <c r="P9">
        <f>Raw!O13</f>
        <v>0</v>
      </c>
    </row>
    <row r="10" spans="1:107">
      <c r="A10" t="str">
        <f t="shared" si="0"/>
        <v>25HP</v>
      </c>
      <c r="B10">
        <f t="shared" si="1"/>
        <v>25</v>
      </c>
      <c r="C10" t="str">
        <f>LEFT(Raw!B10,FIND(",",Raw!B10)-1)</f>
        <v>Green Motors Program Rewind vs. Standard Practice:  Motor size 25HP</v>
      </c>
      <c r="D10" t="str">
        <f>LEFT(Raw!C10,FIND(",",Raw!C10)-1)</f>
        <v>Green Motors Program Rewind vs. Standard Practice:  Motor size 25HP</v>
      </c>
      <c r="E10">
        <f>Raw!D14</f>
        <v>765.28971916213288</v>
      </c>
      <c r="F10">
        <f>Raw!E14</f>
        <v>20</v>
      </c>
      <c r="G10">
        <f>Raw!F14</f>
        <v>255.12666666666667</v>
      </c>
      <c r="H10">
        <f>Raw!G14</f>
        <v>0</v>
      </c>
      <c r="I10" t="str">
        <f>Raw!H14</f>
        <v>A-Irr-Irr-Irrigation-All-All-E</v>
      </c>
      <c r="J10">
        <f>Raw!I14</f>
        <v>0</v>
      </c>
      <c r="K10">
        <f>Raw!J14</f>
        <v>0</v>
      </c>
      <c r="L10">
        <f>Raw!K14</f>
        <v>0</v>
      </c>
      <c r="M10">
        <f>Raw!L14</f>
        <v>0</v>
      </c>
      <c r="N10">
        <f>Raw!M14</f>
        <v>0</v>
      </c>
      <c r="O10">
        <f>Raw!N14</f>
        <v>0</v>
      </c>
      <c r="P10">
        <f>Raw!O14</f>
        <v>0</v>
      </c>
    </row>
    <row r="11" spans="1:107">
      <c r="A11" t="str">
        <f t="shared" si="0"/>
        <v>30HP</v>
      </c>
      <c r="B11">
        <f t="shared" si="1"/>
        <v>30</v>
      </c>
      <c r="C11" t="str">
        <f>LEFT(Raw!B11,FIND(",",Raw!B11)-1)</f>
        <v>Green Motors Program Rewind vs. Standard Practice:  Motor size 30HP</v>
      </c>
      <c r="D11" t="str">
        <f>LEFT(Raw!C11,FIND(",",Raw!C11)-1)</f>
        <v>Green Motors Program Rewind vs. Standard Practice:  Motor size 30HP</v>
      </c>
      <c r="E11">
        <f>Raw!D16</f>
        <v>1039.5442662823673</v>
      </c>
      <c r="F11">
        <f>Raw!E16</f>
        <v>20</v>
      </c>
      <c r="G11">
        <f>Raw!F16</f>
        <v>333.10200000000003</v>
      </c>
      <c r="H11">
        <f>Raw!G16</f>
        <v>0</v>
      </c>
      <c r="I11" t="str">
        <f>Raw!H16</f>
        <v>A-Irr-Irr-Irrigation-All-All-E</v>
      </c>
      <c r="J11">
        <f>Raw!I16</f>
        <v>0</v>
      </c>
      <c r="K11">
        <f>Raw!J16</f>
        <v>0</v>
      </c>
      <c r="L11">
        <f>Raw!K16</f>
        <v>0</v>
      </c>
      <c r="M11">
        <f>Raw!L16</f>
        <v>0</v>
      </c>
      <c r="N11">
        <f>Raw!M16</f>
        <v>0</v>
      </c>
      <c r="O11">
        <f>Raw!N16</f>
        <v>0</v>
      </c>
      <c r="P11">
        <f>Raw!O16</f>
        <v>0</v>
      </c>
    </row>
    <row r="12" spans="1:107">
      <c r="A12" t="str">
        <f t="shared" si="0"/>
        <v>40HP</v>
      </c>
      <c r="B12">
        <f t="shared" si="1"/>
        <v>40</v>
      </c>
      <c r="C12" t="str">
        <f>LEFT(Raw!B12,FIND(",",Raw!B12)-1)</f>
        <v>Green Motors Program Rewind vs. Standard Practice:  Motor size 40HP</v>
      </c>
      <c r="D12" t="str">
        <f>LEFT(Raw!C12,FIND(",",Raw!C12)-1)</f>
        <v>Green Motors Program Rewind vs. Standard Practice:  Motor size 40HP</v>
      </c>
      <c r="E12">
        <f>Raw!D14</f>
        <v>765.28971916213288</v>
      </c>
      <c r="F12">
        <f>Raw!E14</f>
        <v>20</v>
      </c>
      <c r="G12">
        <f>Raw!F14</f>
        <v>255.12666666666667</v>
      </c>
      <c r="H12">
        <f>Raw!G14</f>
        <v>0</v>
      </c>
      <c r="I12" t="str">
        <f>Raw!H14</f>
        <v>A-Irr-Irr-Irrigation-All-All-E</v>
      </c>
      <c r="J12">
        <f>Raw!I14</f>
        <v>0</v>
      </c>
      <c r="K12">
        <f>Raw!J14</f>
        <v>0</v>
      </c>
      <c r="L12">
        <f>Raw!K14</f>
        <v>0</v>
      </c>
      <c r="M12">
        <f>Raw!L14</f>
        <v>0</v>
      </c>
      <c r="N12">
        <f>Raw!M14</f>
        <v>0</v>
      </c>
      <c r="O12">
        <f>Raw!N14</f>
        <v>0</v>
      </c>
      <c r="P12">
        <f>Raw!O14</f>
        <v>0</v>
      </c>
    </row>
    <row r="13" spans="1:107">
      <c r="A13" t="str">
        <f t="shared" si="0"/>
        <v>50HP</v>
      </c>
      <c r="B13">
        <f t="shared" si="1"/>
        <v>50</v>
      </c>
      <c r="C13" t="str">
        <f>LEFT(Raw!B13,FIND(",",Raw!B13)-1)</f>
        <v>Green Motors Program Rewind vs. Standard Practice:  Motor size 50HP</v>
      </c>
      <c r="D13" t="str">
        <f>LEFT(Raw!C13,FIND(",",Raw!C13)-1)</f>
        <v>Green Motors Program Rewind vs. Standard Practice:  Motor size 50HP</v>
      </c>
      <c r="E13">
        <f>Raw!D12</f>
        <v>745.77064709480817</v>
      </c>
      <c r="F13">
        <f>Raw!E12</f>
        <v>17</v>
      </c>
      <c r="G13">
        <f>Raw!F12</f>
        <v>190.08733333333336</v>
      </c>
      <c r="H13">
        <f>Raw!G12</f>
        <v>0</v>
      </c>
      <c r="I13" t="str">
        <f>Raw!H12</f>
        <v>A-Irr-Irr-Irrigation-All-All-E</v>
      </c>
      <c r="J13">
        <f>Raw!I12</f>
        <v>0</v>
      </c>
      <c r="K13">
        <f>Raw!J12</f>
        <v>0</v>
      </c>
      <c r="L13">
        <f>Raw!K12</f>
        <v>0</v>
      </c>
      <c r="M13">
        <f>Raw!L12</f>
        <v>0</v>
      </c>
      <c r="N13">
        <f>Raw!M12</f>
        <v>0</v>
      </c>
      <c r="O13">
        <f>Raw!N12</f>
        <v>0</v>
      </c>
      <c r="P13">
        <f>Raw!O12</f>
        <v>0</v>
      </c>
    </row>
    <row r="14" spans="1:107">
      <c r="A14" t="str">
        <f t="shared" si="0"/>
        <v>60HP</v>
      </c>
      <c r="B14">
        <f t="shared" si="1"/>
        <v>60</v>
      </c>
      <c r="C14" t="str">
        <f>LEFT(Raw!B14,FIND(",",Raw!B14)-1)</f>
        <v>Green Motors Program Rewind vs. Standard Practice:  Motor size 60HP</v>
      </c>
      <c r="D14" t="str">
        <f>LEFT(Raw!C14,FIND(",",Raw!C14)-1)</f>
        <v>Green Motors Program Rewind vs. Standard Practice:  Motor size 60HP</v>
      </c>
      <c r="E14">
        <f>Raw!D13</f>
        <v>801.85271513185091</v>
      </c>
      <c r="F14">
        <f>Raw!E13</f>
        <v>17</v>
      </c>
      <c r="G14">
        <f>Raw!F13</f>
        <v>208.77266666666668</v>
      </c>
      <c r="H14">
        <f>Raw!G13</f>
        <v>0</v>
      </c>
      <c r="I14" t="str">
        <f>Raw!H13</f>
        <v>A-Irr-Irr-Irrigation-All-All-E</v>
      </c>
      <c r="J14">
        <f>Raw!I13</f>
        <v>0</v>
      </c>
      <c r="K14">
        <f>Raw!J13</f>
        <v>0</v>
      </c>
      <c r="L14">
        <f>Raw!K13</f>
        <v>0</v>
      </c>
      <c r="M14">
        <f>Raw!L13</f>
        <v>0</v>
      </c>
      <c r="N14">
        <f>Raw!M13</f>
        <v>0</v>
      </c>
      <c r="O14">
        <f>Raw!N13</f>
        <v>0</v>
      </c>
      <c r="P14">
        <f>Raw!O13</f>
        <v>0</v>
      </c>
    </row>
    <row r="15" spans="1:107">
      <c r="A15" t="str">
        <f t="shared" si="0"/>
        <v>75HP</v>
      </c>
      <c r="B15">
        <f t="shared" si="1"/>
        <v>75</v>
      </c>
      <c r="C15" t="str">
        <f>LEFT(Raw!B15,FIND(",",Raw!B15)-1)</f>
        <v>Green Motors Program Rewind vs. Standard Practice:  Motor size 75HP</v>
      </c>
      <c r="D15" t="str">
        <f>LEFT(Raw!C15,FIND(",",Raw!C15)-1)</f>
        <v>Green Motors Program Rewind vs. Standard Practice:  Motor size 75HP</v>
      </c>
      <c r="E15">
        <f>Raw!D15</f>
        <v>787.56249081075168</v>
      </c>
      <c r="F15">
        <f>Raw!E15</f>
        <v>20</v>
      </c>
      <c r="G15">
        <f>Raw!F15</f>
        <v>282.43600000000004</v>
      </c>
      <c r="H15">
        <f>Raw!G15</f>
        <v>0</v>
      </c>
      <c r="I15" t="str">
        <f>Raw!H15</f>
        <v>A-Irr-Irr-Irrigation-All-All-E</v>
      </c>
      <c r="J15">
        <f>Raw!I15</f>
        <v>0</v>
      </c>
      <c r="K15">
        <f>Raw!J15</f>
        <v>0</v>
      </c>
      <c r="L15">
        <f>Raw!K15</f>
        <v>0</v>
      </c>
      <c r="M15">
        <f>Raw!L15</f>
        <v>0</v>
      </c>
      <c r="N15">
        <f>Raw!M15</f>
        <v>0</v>
      </c>
      <c r="O15">
        <f>Raw!N15</f>
        <v>0</v>
      </c>
      <c r="P15">
        <f>Raw!O15</f>
        <v>0</v>
      </c>
    </row>
    <row r="16" spans="1:107">
      <c r="A16" t="str">
        <f t="shared" si="0"/>
        <v>100HP</v>
      </c>
      <c r="B16">
        <f t="shared" si="1"/>
        <v>100</v>
      </c>
      <c r="C16" t="str">
        <f>LEFT(Raw!B16,FIND(",",Raw!B16)-1)</f>
        <v>Green Motors Program Rewind vs. Standard Practice:  Motor size 100HP</v>
      </c>
      <c r="D16" t="str">
        <f>LEFT(Raw!C16,FIND(",",Raw!C16)-1)</f>
        <v>Green Motors Program Rewind vs. Standard Practice:  Motor size 100HP</v>
      </c>
      <c r="E16">
        <f>Raw!D16</f>
        <v>1039.5442662823673</v>
      </c>
      <c r="F16">
        <f>Raw!E16</f>
        <v>20</v>
      </c>
      <c r="G16">
        <f>Raw!F16</f>
        <v>333.10200000000003</v>
      </c>
      <c r="H16">
        <f>Raw!G16</f>
        <v>0</v>
      </c>
      <c r="I16" t="str">
        <f>Raw!H16</f>
        <v>A-Irr-Irr-Irrigation-All-All-E</v>
      </c>
      <c r="J16">
        <f>Raw!I16</f>
        <v>0</v>
      </c>
      <c r="K16">
        <f>Raw!J16</f>
        <v>0</v>
      </c>
      <c r="L16">
        <f>Raw!K16</f>
        <v>0</v>
      </c>
      <c r="M16">
        <f>Raw!L16</f>
        <v>0</v>
      </c>
      <c r="N16">
        <f>Raw!M16</f>
        <v>0</v>
      </c>
      <c r="O16">
        <f>Raw!N16</f>
        <v>0</v>
      </c>
      <c r="P16">
        <f>Raw!O16</f>
        <v>0</v>
      </c>
    </row>
    <row r="17" spans="1:16">
      <c r="A17" t="str">
        <f t="shared" si="0"/>
        <v>125HP</v>
      </c>
      <c r="B17">
        <f t="shared" si="1"/>
        <v>125</v>
      </c>
      <c r="C17" t="str">
        <f>LEFT(Raw!B17,FIND(",",Raw!B17)-1)</f>
        <v>Green Motors Program Rewind vs. Standard Practice:  Motor size 125HP</v>
      </c>
      <c r="D17" t="str">
        <f>LEFT(Raw!C17,FIND(",",Raw!C17)-1)</f>
        <v>Green Motors Program Rewind vs. Standard Practice:  Motor size 125HP</v>
      </c>
      <c r="E17">
        <f>Raw!D17</f>
        <v>1157.1149728950259</v>
      </c>
      <c r="F17">
        <f>Raw!E17</f>
        <v>20</v>
      </c>
      <c r="G17">
        <f>Raw!F17</f>
        <v>360.05200000000002</v>
      </c>
      <c r="H17">
        <f>Raw!G17</f>
        <v>0</v>
      </c>
      <c r="I17" t="str">
        <f>Raw!H17</f>
        <v>A-Irr-Irr-Irrigation-All-All-E</v>
      </c>
      <c r="J17">
        <f>Raw!I17</f>
        <v>0</v>
      </c>
      <c r="K17">
        <f>Raw!J17</f>
        <v>0</v>
      </c>
      <c r="L17">
        <f>Raw!K17</f>
        <v>0</v>
      </c>
      <c r="M17">
        <f>Raw!L17</f>
        <v>0</v>
      </c>
      <c r="N17">
        <f>Raw!M17</f>
        <v>0</v>
      </c>
      <c r="O17">
        <f>Raw!N17</f>
        <v>0</v>
      </c>
      <c r="P17">
        <f>Raw!O17</f>
        <v>0</v>
      </c>
    </row>
    <row r="18" spans="1:16">
      <c r="A18" t="str">
        <f t="shared" si="0"/>
        <v>150HP</v>
      </c>
      <c r="B18">
        <f t="shared" si="1"/>
        <v>150</v>
      </c>
      <c r="C18" t="str">
        <f>LEFT(Raw!B18,FIND(",",Raw!B18)-1)</f>
        <v>Green Motors Program Rewind vs. Standard Practice:  Motor size 150HP</v>
      </c>
      <c r="D18" t="str">
        <f>LEFT(Raw!C18,FIND(",",Raw!C18)-1)</f>
        <v>Green Motors Program Rewind vs. Standard Practice:  Motor size 150HP</v>
      </c>
      <c r="E18">
        <f>Raw!D18</f>
        <v>1375.738818122496</v>
      </c>
      <c r="F18">
        <f>Raw!E18</f>
        <v>20</v>
      </c>
      <c r="G18">
        <f>Raw!F18</f>
        <v>446.65133333333335</v>
      </c>
      <c r="H18">
        <f>Raw!G18</f>
        <v>0</v>
      </c>
      <c r="I18" t="str">
        <f>Raw!H18</f>
        <v>A-Irr-Irr-Irrigation-All-All-E</v>
      </c>
      <c r="J18">
        <f>Raw!I18</f>
        <v>0</v>
      </c>
      <c r="K18">
        <f>Raw!J18</f>
        <v>0</v>
      </c>
      <c r="L18">
        <f>Raw!K18</f>
        <v>0</v>
      </c>
      <c r="M18">
        <f>Raw!L18</f>
        <v>0</v>
      </c>
      <c r="N18">
        <f>Raw!M18</f>
        <v>0</v>
      </c>
      <c r="O18">
        <f>Raw!N18</f>
        <v>0</v>
      </c>
      <c r="P18">
        <f>Raw!O18</f>
        <v>0</v>
      </c>
    </row>
    <row r="19" spans="1:16">
      <c r="A19" t="str">
        <f t="shared" si="0"/>
        <v>200HP</v>
      </c>
      <c r="B19">
        <f t="shared" si="1"/>
        <v>200</v>
      </c>
      <c r="C19" t="str">
        <f>LEFT(Raw!B19,FIND(",",Raw!B19)-1)</f>
        <v>Green Motors Program Rewind vs. Standard Practice:  Motor size 200HP</v>
      </c>
      <c r="D19" t="str">
        <f>LEFT(Raw!C19,FIND(",",Raw!C19)-1)</f>
        <v>Green Motors Program Rewind vs. Standard Practice:  Motor size 200HP</v>
      </c>
      <c r="E19">
        <f>Raw!D19</f>
        <v>1820.5989174882707</v>
      </c>
      <c r="F19">
        <f>Raw!E19</f>
        <v>20</v>
      </c>
      <c r="G19">
        <f>Raw!F19</f>
        <v>501.62933333333336</v>
      </c>
      <c r="H19">
        <f>Raw!G19</f>
        <v>0</v>
      </c>
      <c r="I19" t="str">
        <f>Raw!H19</f>
        <v>A-Irr-Irr-Irrigation-All-All-E</v>
      </c>
      <c r="J19">
        <f>Raw!I19</f>
        <v>0</v>
      </c>
      <c r="K19">
        <f>Raw!J19</f>
        <v>0</v>
      </c>
      <c r="L19">
        <f>Raw!K19</f>
        <v>0</v>
      </c>
      <c r="M19">
        <f>Raw!L19</f>
        <v>0</v>
      </c>
      <c r="N19">
        <f>Raw!M19</f>
        <v>0</v>
      </c>
      <c r="O19">
        <f>Raw!N19</f>
        <v>0</v>
      </c>
      <c r="P19">
        <f>Raw!O19</f>
        <v>0</v>
      </c>
    </row>
    <row r="20" spans="1:16">
      <c r="A20" t="str">
        <f t="shared" si="0"/>
        <v>250HP</v>
      </c>
      <c r="B20">
        <f t="shared" si="1"/>
        <v>250</v>
      </c>
      <c r="C20" t="str">
        <f>LEFT(Raw!B20,FIND(",",Raw!B20)-1)</f>
        <v>Green Motors Program Rewind vs. Standard Practice:  Motor size 250HP</v>
      </c>
      <c r="D20" t="str">
        <f>LEFT(Raw!C20,FIND(",",Raw!C20)-1)</f>
        <v>Green Motors Program Rewind vs. Standard Practice:  Motor size 250HP</v>
      </c>
      <c r="E20">
        <f>Raw!D20</f>
        <v>2822.9975622897232</v>
      </c>
      <c r="F20">
        <f>Raw!E20</f>
        <v>19</v>
      </c>
      <c r="G20">
        <f>Raw!F20</f>
        <v>558.76333333333343</v>
      </c>
      <c r="H20">
        <f>Raw!G20</f>
        <v>0</v>
      </c>
      <c r="I20" t="str">
        <f>Raw!H20</f>
        <v>A-Irr-Irr-Irrigation-All-All-E</v>
      </c>
      <c r="J20">
        <f>Raw!I20</f>
        <v>0</v>
      </c>
      <c r="K20">
        <f>Raw!J20</f>
        <v>0</v>
      </c>
      <c r="L20">
        <f>Raw!K20</f>
        <v>0</v>
      </c>
      <c r="M20">
        <f>Raw!L20</f>
        <v>0</v>
      </c>
      <c r="N20">
        <f>Raw!M20</f>
        <v>0</v>
      </c>
      <c r="O20">
        <f>Raw!N20</f>
        <v>0</v>
      </c>
      <c r="P20">
        <f>Raw!O20</f>
        <v>0</v>
      </c>
    </row>
    <row r="21" spans="1:16">
      <c r="A21" t="str">
        <f t="shared" si="0"/>
        <v>300HP</v>
      </c>
      <c r="B21">
        <f t="shared" si="1"/>
        <v>300</v>
      </c>
      <c r="C21" t="str">
        <f>LEFT(Raw!B21,FIND(",",Raw!B21)-1)</f>
        <v>Green Motors Program Rewind vs. Standard Practice:  Motor size 300HP</v>
      </c>
      <c r="D21" t="str">
        <f>LEFT(Raw!C21,FIND(",",Raw!C21)-1)</f>
        <v>Green Motors Program Rewind vs. Standard Practice:  Motor size 300HP</v>
      </c>
      <c r="E21">
        <f>Raw!D21</f>
        <v>3370.0326425555781</v>
      </c>
      <c r="F21">
        <f>Raw!E21</f>
        <v>19</v>
      </c>
      <c r="G21">
        <f>Raw!F21</f>
        <v>672.67200000000003</v>
      </c>
      <c r="H21">
        <f>Raw!G21</f>
        <v>0</v>
      </c>
      <c r="I21" t="str">
        <f>Raw!H21</f>
        <v>A-Irr-Irr-Irrigation-All-All-E</v>
      </c>
      <c r="J21">
        <f>Raw!I21</f>
        <v>0</v>
      </c>
      <c r="K21">
        <f>Raw!J21</f>
        <v>0</v>
      </c>
      <c r="L21">
        <f>Raw!K21</f>
        <v>0</v>
      </c>
      <c r="M21">
        <f>Raw!L21</f>
        <v>0</v>
      </c>
      <c r="N21">
        <f>Raw!M21</f>
        <v>0</v>
      </c>
      <c r="O21">
        <f>Raw!N21</f>
        <v>0</v>
      </c>
      <c r="P21">
        <f>Raw!O21</f>
        <v>0</v>
      </c>
    </row>
    <row r="22" spans="1:16">
      <c r="A22" t="str">
        <f t="shared" si="0"/>
        <v>350HP</v>
      </c>
      <c r="B22">
        <f t="shared" si="1"/>
        <v>350</v>
      </c>
      <c r="C22" t="str">
        <f>LEFT(Raw!B22,FIND(",",Raw!B22)-1)</f>
        <v>Green Motors Program Rewind vs. Standard Practice:  Motor size 350HP</v>
      </c>
      <c r="D22" t="str">
        <f>LEFT(Raw!C22,FIND(",",Raw!C22)-1)</f>
        <v>Green Motors Program Rewind vs. Standard Practice:  Motor size 350HP</v>
      </c>
      <c r="E22">
        <f>Raw!D22</f>
        <v>3928.7782271476267</v>
      </c>
      <c r="F22">
        <f>Raw!E22</f>
        <v>19</v>
      </c>
      <c r="G22">
        <f>Raw!F22</f>
        <v>864.55600000000004</v>
      </c>
      <c r="H22">
        <f>Raw!G22</f>
        <v>0</v>
      </c>
      <c r="I22" t="str">
        <f>Raw!H22</f>
        <v>A-Irr-Irr-Irrigation-All-All-E</v>
      </c>
      <c r="J22">
        <f>Raw!I22</f>
        <v>0</v>
      </c>
      <c r="K22">
        <f>Raw!J22</f>
        <v>0</v>
      </c>
      <c r="L22">
        <f>Raw!K22</f>
        <v>0</v>
      </c>
      <c r="M22">
        <f>Raw!L22</f>
        <v>0</v>
      </c>
      <c r="N22">
        <f>Raw!M22</f>
        <v>0</v>
      </c>
      <c r="O22">
        <f>Raw!N22</f>
        <v>0</v>
      </c>
      <c r="P22">
        <f>Raw!O22</f>
        <v>0</v>
      </c>
    </row>
    <row r="23" spans="1:16">
      <c r="A23" t="str">
        <f t="shared" si="0"/>
        <v>400HP</v>
      </c>
      <c r="B23">
        <f t="shared" si="1"/>
        <v>400</v>
      </c>
      <c r="C23" t="str">
        <f>LEFT(Raw!B23,FIND(",",Raw!B23)-1)</f>
        <v>Green Motors Program Rewind vs. Standard Practice:  Motor size 400HP</v>
      </c>
      <c r="D23" t="str">
        <f>LEFT(Raw!C23,FIND(",",Raw!C23)-1)</f>
        <v>Green Motors Program Rewind vs. Standard Practice:  Motor size 400HP</v>
      </c>
      <c r="E23">
        <f>Raw!D23</f>
        <v>4456.2927495024824</v>
      </c>
      <c r="F23">
        <f>Raw!E23</f>
        <v>19</v>
      </c>
      <c r="G23">
        <f>Raw!F23</f>
        <v>873.89866666666671</v>
      </c>
      <c r="H23">
        <f>Raw!G23</f>
        <v>0</v>
      </c>
      <c r="I23" t="str">
        <f>Raw!H23</f>
        <v>A-Irr-Irr-Irrigation-All-All-E</v>
      </c>
      <c r="J23">
        <f>Raw!I23</f>
        <v>0</v>
      </c>
      <c r="K23">
        <f>Raw!J23</f>
        <v>0</v>
      </c>
      <c r="L23">
        <f>Raw!K23</f>
        <v>0</v>
      </c>
      <c r="M23">
        <f>Raw!L23</f>
        <v>0</v>
      </c>
      <c r="N23">
        <f>Raw!M23</f>
        <v>0</v>
      </c>
      <c r="O23">
        <f>Raw!N23</f>
        <v>0</v>
      </c>
      <c r="P23">
        <f>Raw!O23</f>
        <v>0</v>
      </c>
    </row>
    <row r="24" spans="1:16">
      <c r="A24" t="str">
        <f t="shared" si="0"/>
        <v>450HP</v>
      </c>
      <c r="B24">
        <f t="shared" si="1"/>
        <v>450</v>
      </c>
      <c r="C24" t="str">
        <f>LEFT(Raw!B24,FIND(",",Raw!B24)-1)</f>
        <v>Green Motors Program Rewind vs. Standard Practice:  Motor size 450HP</v>
      </c>
      <c r="D24" t="str">
        <f>LEFT(Raw!C24,FIND(",",Raw!C24)-1)</f>
        <v>Green Motors Program Rewind vs. Standard Practice:  Motor size 450HP</v>
      </c>
      <c r="E24">
        <f>Raw!D24</f>
        <v>5003.1640456837094</v>
      </c>
      <c r="F24">
        <f>Raw!E24</f>
        <v>19</v>
      </c>
      <c r="G24">
        <f>Raw!F24</f>
        <v>915.94066666666663</v>
      </c>
      <c r="H24">
        <f>Raw!G24</f>
        <v>0</v>
      </c>
      <c r="I24" t="str">
        <f>Raw!H24</f>
        <v>A-Irr-Irr-Irrigation-All-All-E</v>
      </c>
      <c r="J24">
        <f>Raw!I24</f>
        <v>0</v>
      </c>
      <c r="K24">
        <f>Raw!J24</f>
        <v>0</v>
      </c>
      <c r="L24">
        <f>Raw!K24</f>
        <v>0</v>
      </c>
      <c r="M24">
        <f>Raw!L24</f>
        <v>0</v>
      </c>
      <c r="N24">
        <f>Raw!M24</f>
        <v>0</v>
      </c>
      <c r="O24">
        <f>Raw!N24</f>
        <v>0</v>
      </c>
      <c r="P24">
        <f>Raw!O24</f>
        <v>0</v>
      </c>
    </row>
    <row r="25" spans="1:16">
      <c r="A25" t="str">
        <f t="shared" si="0"/>
        <v>500HP</v>
      </c>
      <c r="B25">
        <f t="shared" si="1"/>
        <v>500</v>
      </c>
      <c r="C25" t="str">
        <f>LEFT(Raw!B25,FIND(",",Raw!B25)-1)</f>
        <v>Green Motors Program Rewind vs. Standard Practice:  Motor size 500HP</v>
      </c>
      <c r="D25" t="str">
        <f>LEFT(Raw!C25,FIND(",",Raw!C25)-1)</f>
        <v>Green Motors Program Rewind vs. Standard Practice:  Motor size 500HP</v>
      </c>
      <c r="E25">
        <f>Raw!D25</f>
        <v>5566.9154426317937</v>
      </c>
      <c r="F25">
        <f>Raw!E25</f>
        <v>19</v>
      </c>
      <c r="G25">
        <f>Raw!F25</f>
        <v>1023.022</v>
      </c>
      <c r="H25">
        <f>Raw!G25</f>
        <v>0</v>
      </c>
      <c r="I25" t="str">
        <f>Raw!H25</f>
        <v>A-Irr-Irr-Irrigation-All-All-E</v>
      </c>
      <c r="J25">
        <f>Raw!I25</f>
        <v>0</v>
      </c>
      <c r="K25">
        <f>Raw!J25</f>
        <v>0</v>
      </c>
      <c r="L25">
        <f>Raw!K25</f>
        <v>0</v>
      </c>
      <c r="M25">
        <f>Raw!L25</f>
        <v>0</v>
      </c>
      <c r="N25">
        <f>Raw!M25</f>
        <v>0</v>
      </c>
      <c r="O25">
        <f>Raw!N25</f>
        <v>0</v>
      </c>
      <c r="P25">
        <f>Raw!O25</f>
        <v>0</v>
      </c>
    </row>
    <row r="26" spans="1:16">
      <c r="A26" t="str">
        <f t="shared" si="0"/>
        <v>600HP</v>
      </c>
      <c r="B26">
        <f t="shared" si="1"/>
        <v>600</v>
      </c>
      <c r="C26" t="str">
        <f>LEFT(Raw!B26,FIND(",",Raw!B26)-1)</f>
        <v>Green Motors Program Rewind vs. Standard Practice:  Motor size 600HP</v>
      </c>
      <c r="D26" t="str">
        <f>LEFT(Raw!C26,FIND(",",Raw!C26)-1)</f>
        <v>Green Motors Program Rewind vs. Standard Practice:  Motor size 600HP</v>
      </c>
      <c r="E26">
        <f>Raw!D26</f>
        <v>6193.2974868977908</v>
      </c>
      <c r="F26">
        <f>Raw!E26</f>
        <v>20</v>
      </c>
      <c r="G26">
        <f>Raw!F26</f>
        <v>1118.2453333333333</v>
      </c>
      <c r="H26">
        <f>Raw!G26</f>
        <v>0</v>
      </c>
      <c r="I26" t="str">
        <f>Raw!H26</f>
        <v>A-Irr-Irr-Irrigation-All-All-E</v>
      </c>
      <c r="J26">
        <f>Raw!I26</f>
        <v>0</v>
      </c>
      <c r="K26">
        <f>Raw!J26</f>
        <v>0</v>
      </c>
      <c r="L26">
        <f>Raw!K26</f>
        <v>0</v>
      </c>
      <c r="M26">
        <f>Raw!L26</f>
        <v>0</v>
      </c>
      <c r="N26">
        <f>Raw!M26</f>
        <v>0</v>
      </c>
      <c r="O26">
        <f>Raw!N26</f>
        <v>0</v>
      </c>
      <c r="P26">
        <f>Raw!O26</f>
        <v>0</v>
      </c>
    </row>
    <row r="27" spans="1:16">
      <c r="A27" t="str">
        <f t="shared" si="0"/>
        <v>700HP</v>
      </c>
      <c r="B27">
        <f t="shared" si="1"/>
        <v>700</v>
      </c>
      <c r="C27" t="str">
        <f>LEFT(Raw!B27,FIND(",",Raw!B27)-1)</f>
        <v>Green Motors Program Rewind vs. Standard Practice:  Motor size 700HP</v>
      </c>
      <c r="D27" t="str">
        <f>LEFT(Raw!C27,FIND(",",Raw!C27)-1)</f>
        <v>Green Motors Program Rewind vs. Standard Practice:  Motor size 700HP</v>
      </c>
      <c r="E27">
        <f>Raw!D27</f>
        <v>7194.848242811393</v>
      </c>
      <c r="F27">
        <f>Raw!E27</f>
        <v>20</v>
      </c>
      <c r="G27">
        <f>Raw!F27</f>
        <v>1208.0786666666668</v>
      </c>
      <c r="H27">
        <f>Raw!G27</f>
        <v>0</v>
      </c>
      <c r="I27" t="str">
        <f>Raw!H27</f>
        <v>A-Irr-Irr-Irrigation-All-All-E</v>
      </c>
      <c r="J27">
        <f>Raw!I27</f>
        <v>0</v>
      </c>
      <c r="K27">
        <f>Raw!J27</f>
        <v>0</v>
      </c>
      <c r="L27">
        <f>Raw!K27</f>
        <v>0</v>
      </c>
      <c r="M27">
        <f>Raw!L27</f>
        <v>0</v>
      </c>
      <c r="N27">
        <f>Raw!M27</f>
        <v>0</v>
      </c>
      <c r="O27">
        <f>Raw!N27</f>
        <v>0</v>
      </c>
      <c r="P27">
        <f>Raw!O27</f>
        <v>0</v>
      </c>
    </row>
    <row r="28" spans="1:16">
      <c r="A28" t="str">
        <f t="shared" si="0"/>
        <v>800HP</v>
      </c>
      <c r="B28">
        <f t="shared" si="1"/>
        <v>800</v>
      </c>
      <c r="C28" t="str">
        <f>LEFT(Raw!B28,FIND(",",Raw!B28)-1)</f>
        <v>Green Motors Program Rewind vs. Standard Practice:  Motor size 800HP</v>
      </c>
      <c r="D28" t="str">
        <f>LEFT(Raw!C28,FIND(",",Raw!C28)-1)</f>
        <v>Green Motors Program Rewind vs. Standard Practice:  Motor size 800HP</v>
      </c>
      <c r="E28">
        <f>Raw!D28</f>
        <v>8205.2441742653027</v>
      </c>
      <c r="F28">
        <f>Raw!E28</f>
        <v>20</v>
      </c>
      <c r="G28">
        <f>Raw!F28</f>
        <v>1780.2609439999985</v>
      </c>
      <c r="H28">
        <f>Raw!G28</f>
        <v>0</v>
      </c>
      <c r="I28" t="str">
        <f>Raw!H28</f>
        <v>A-Irr-Irr-Irrigation-All-All-E</v>
      </c>
      <c r="J28">
        <f>Raw!I28</f>
        <v>0</v>
      </c>
      <c r="K28">
        <f>Raw!J28</f>
        <v>0</v>
      </c>
      <c r="L28">
        <f>Raw!K28</f>
        <v>0</v>
      </c>
      <c r="M28">
        <f>Raw!L28</f>
        <v>0</v>
      </c>
      <c r="N28">
        <f>Raw!M28</f>
        <v>0</v>
      </c>
      <c r="O28">
        <f>Raw!N28</f>
        <v>0</v>
      </c>
      <c r="P28">
        <f>Raw!O28</f>
        <v>0</v>
      </c>
    </row>
    <row r="29" spans="1:16">
      <c r="A29" t="str">
        <f t="shared" si="0"/>
        <v>900HP</v>
      </c>
      <c r="B29">
        <f t="shared" si="1"/>
        <v>900</v>
      </c>
      <c r="C29" t="str">
        <f>LEFT(Raw!B29,FIND(",",Raw!B29)-1)</f>
        <v>Green Motors Program Rewind vs. Standard Practice:  Motor size 900HP</v>
      </c>
      <c r="D29" t="str">
        <f>LEFT(Raw!C29,FIND(",",Raw!C29)-1)</f>
        <v>Green Motors Program Rewind vs. Standard Practice:  Motor size 900HP</v>
      </c>
      <c r="E29">
        <f>Raw!D29</f>
        <v>9211.3425733500626</v>
      </c>
      <c r="F29">
        <f>Raw!E29</f>
        <v>20</v>
      </c>
      <c r="G29">
        <f>Raw!F29</f>
        <v>1942.2627839999993</v>
      </c>
      <c r="H29">
        <f>Raw!G29</f>
        <v>0</v>
      </c>
      <c r="I29" t="str">
        <f>Raw!H29</f>
        <v>A-Irr-Irr-Irrigation-All-All-E</v>
      </c>
      <c r="J29">
        <f>Raw!I29</f>
        <v>0</v>
      </c>
      <c r="K29">
        <f>Raw!J29</f>
        <v>0</v>
      </c>
      <c r="L29">
        <f>Raw!K29</f>
        <v>0</v>
      </c>
      <c r="M29">
        <f>Raw!L29</f>
        <v>0</v>
      </c>
      <c r="N29">
        <f>Raw!M29</f>
        <v>0</v>
      </c>
      <c r="O29">
        <f>Raw!N29</f>
        <v>0</v>
      </c>
      <c r="P29">
        <f>Raw!O29</f>
        <v>0</v>
      </c>
    </row>
    <row r="30" spans="1:16">
      <c r="A30" t="str">
        <f t="shared" si="0"/>
        <v>1000HP</v>
      </c>
      <c r="B30">
        <f t="shared" si="1"/>
        <v>1000</v>
      </c>
      <c r="C30" t="str">
        <f>LEFT(Raw!B30,FIND(",",Raw!B30)-1)</f>
        <v>Green Motors Program Rewind vs. Standard Practice:  Motor size 1000HP</v>
      </c>
      <c r="D30" t="str">
        <f>LEFT(Raw!C30,FIND(",",Raw!C30)-1)</f>
        <v>Green Motors Program Rewind vs. Standard Practice:  Motor size 1000HP</v>
      </c>
      <c r="E30">
        <f>Raw!D30</f>
        <v>10191.571472676937</v>
      </c>
      <c r="F30">
        <f>Raw!E30</f>
        <v>20</v>
      </c>
      <c r="G30">
        <f>Raw!F30</f>
        <v>2154.9909919999986</v>
      </c>
      <c r="H30">
        <f>Raw!G30</f>
        <v>0</v>
      </c>
      <c r="I30" t="str">
        <f>Raw!H30</f>
        <v>A-Irr-Irr-Irrigation-All-All-E</v>
      </c>
      <c r="J30">
        <f>Raw!I30</f>
        <v>0</v>
      </c>
      <c r="K30">
        <f>Raw!J30</f>
        <v>0</v>
      </c>
      <c r="L30">
        <f>Raw!K30</f>
        <v>0</v>
      </c>
      <c r="M30">
        <f>Raw!L30</f>
        <v>0</v>
      </c>
      <c r="N30">
        <f>Raw!M30</f>
        <v>0</v>
      </c>
      <c r="O30">
        <f>Raw!N30</f>
        <v>0</v>
      </c>
      <c r="P30">
        <f>Raw!O30</f>
        <v>0</v>
      </c>
    </row>
    <row r="31" spans="1:16">
      <c r="A31" t="str">
        <f t="shared" si="0"/>
        <v>1250HP</v>
      </c>
      <c r="B31">
        <f t="shared" si="1"/>
        <v>1250</v>
      </c>
      <c r="C31" t="str">
        <f>LEFT(Raw!B31,FIND(",",Raw!B31)-1)</f>
        <v>Green Motors Program Rewind vs. Standard Practice:  Motor size 1250HP</v>
      </c>
      <c r="D31" t="str">
        <f>LEFT(Raw!C31,FIND(",",Raw!C31)-1)</f>
        <v>Green Motors Program Rewind vs. Standard Practice:  Motor size 1250HP</v>
      </c>
      <c r="E31">
        <f>Raw!D31</f>
        <v>10589.834586466663</v>
      </c>
      <c r="F31">
        <f>Raw!E31</f>
        <v>20</v>
      </c>
      <c r="G31">
        <f>Raw!F31</f>
        <v>2375.7826399999994</v>
      </c>
      <c r="H31">
        <f>Raw!G31</f>
        <v>0</v>
      </c>
      <c r="I31" t="str">
        <f>Raw!H31</f>
        <v>A-Irr-Irr-Irrigation-All-All-E</v>
      </c>
      <c r="J31">
        <f>Raw!I31</f>
        <v>0</v>
      </c>
      <c r="K31">
        <f>Raw!J31</f>
        <v>0</v>
      </c>
      <c r="L31">
        <f>Raw!K31</f>
        <v>0</v>
      </c>
      <c r="M31">
        <f>Raw!L31</f>
        <v>0</v>
      </c>
      <c r="N31">
        <f>Raw!M31</f>
        <v>0</v>
      </c>
      <c r="O31">
        <f>Raw!N31</f>
        <v>0</v>
      </c>
      <c r="P31">
        <f>Raw!O31</f>
        <v>0</v>
      </c>
    </row>
    <row r="32" spans="1:16">
      <c r="A32" t="str">
        <f t="shared" si="0"/>
        <v>1500HP</v>
      </c>
      <c r="B32">
        <f t="shared" si="1"/>
        <v>1500</v>
      </c>
      <c r="C32" t="str">
        <f>LEFT(Raw!B32,FIND(",",Raw!B32)-1)</f>
        <v>Green Motors Program Rewind vs. Standard Practice:  Motor size 1500HP</v>
      </c>
      <c r="D32" t="str">
        <f>LEFT(Raw!C32,FIND(",",Raw!C32)-1)</f>
        <v>Green Motors Program Rewind vs. Standard Practice:  Motor size 1500HP</v>
      </c>
      <c r="E32">
        <f>Raw!D32</f>
        <v>12681.019867814612</v>
      </c>
      <c r="F32">
        <f>Raw!E32</f>
        <v>20</v>
      </c>
      <c r="G32">
        <f>Raw!F32</f>
        <v>2560.3621119999993</v>
      </c>
      <c r="H32">
        <f>Raw!G32</f>
        <v>0</v>
      </c>
      <c r="I32" t="str">
        <f>Raw!H32</f>
        <v>A-Irr-Irr-Irrigation-All-All-E</v>
      </c>
      <c r="J32">
        <f>Raw!I32</f>
        <v>0</v>
      </c>
      <c r="K32">
        <f>Raw!J32</f>
        <v>0</v>
      </c>
      <c r="L32">
        <f>Raw!K32</f>
        <v>0</v>
      </c>
      <c r="M32">
        <f>Raw!L32</f>
        <v>0</v>
      </c>
      <c r="N32">
        <f>Raw!M32</f>
        <v>0</v>
      </c>
      <c r="O32">
        <f>Raw!N32</f>
        <v>0</v>
      </c>
      <c r="P32">
        <f>Raw!O32</f>
        <v>0</v>
      </c>
    </row>
    <row r="33" spans="1:107">
      <c r="A33" t="str">
        <f t="shared" si="0"/>
        <v>1750HP</v>
      </c>
      <c r="B33">
        <f t="shared" si="1"/>
        <v>1750</v>
      </c>
      <c r="C33" t="str">
        <f>LEFT(Raw!B33,FIND(",",Raw!B33)-1)</f>
        <v>Green Motors Program Rewind vs. Standard Practice:  Motor size 1750HP</v>
      </c>
      <c r="D33" t="str">
        <f>LEFT(Raw!C33,FIND(",",Raw!C33)-1)</f>
        <v>Green Motors Program Rewind vs. Standard Practice:  Motor size 1750HP</v>
      </c>
      <c r="E33">
        <f>Raw!D33</f>
        <v>14732.328290408477</v>
      </c>
      <c r="F33">
        <f>Raw!E33</f>
        <v>20</v>
      </c>
      <c r="G33">
        <f>Raw!F33</f>
        <v>3058.5360960000003</v>
      </c>
      <c r="H33">
        <f>Raw!G33</f>
        <v>0</v>
      </c>
      <c r="I33" t="str">
        <f>Raw!H33</f>
        <v>A-Irr-Irr-Irrigation-All-All-E</v>
      </c>
      <c r="J33">
        <f>Raw!I33</f>
        <v>0</v>
      </c>
      <c r="K33">
        <f>Raw!J33</f>
        <v>0</v>
      </c>
      <c r="L33">
        <f>Raw!K33</f>
        <v>0</v>
      </c>
      <c r="M33">
        <f>Raw!L33</f>
        <v>0</v>
      </c>
      <c r="N33">
        <f>Raw!M33</f>
        <v>0</v>
      </c>
      <c r="O33">
        <f>Raw!N33</f>
        <v>0</v>
      </c>
      <c r="P33">
        <f>Raw!O33</f>
        <v>0</v>
      </c>
    </row>
    <row r="34" spans="1:107">
      <c r="A34" t="str">
        <f t="shared" si="0"/>
        <v>2000HP</v>
      </c>
      <c r="B34">
        <f t="shared" si="1"/>
        <v>2000</v>
      </c>
      <c r="C34" t="str">
        <f>LEFT(Raw!B34,FIND(",",Raw!B34)-1)</f>
        <v>Green Motors Program Rewind vs. Standard Practice:  Motor size 2000HP</v>
      </c>
      <c r="D34" t="str">
        <f>LEFT(Raw!C34,FIND(",",Raw!C34)-1)</f>
        <v>Green Motors Program Rewind vs. Standard Practice:  Motor size 2000HP</v>
      </c>
      <c r="E34">
        <f>Raw!D34</f>
        <v>16766.314025902189</v>
      </c>
      <c r="F34">
        <f>Raw!E34</f>
        <v>20</v>
      </c>
      <c r="G34">
        <f>Raw!F34</f>
        <v>3503.6379840000009</v>
      </c>
      <c r="H34">
        <f>Raw!G34</f>
        <v>0</v>
      </c>
      <c r="I34" t="str">
        <f>Raw!H34</f>
        <v>A-Irr-Irr-Irrigation-All-All-E</v>
      </c>
      <c r="J34">
        <f>Raw!I34</f>
        <v>0</v>
      </c>
      <c r="K34">
        <f>Raw!J34</f>
        <v>0</v>
      </c>
      <c r="L34">
        <f>Raw!K34</f>
        <v>0</v>
      </c>
      <c r="M34">
        <f>Raw!L34</f>
        <v>0</v>
      </c>
      <c r="N34">
        <f>Raw!M34</f>
        <v>0</v>
      </c>
      <c r="O34">
        <f>Raw!N34</f>
        <v>0</v>
      </c>
      <c r="P34">
        <f>Raw!O34</f>
        <v>0</v>
      </c>
    </row>
    <row r="35" spans="1:107">
      <c r="A35" t="str">
        <f t="shared" si="0"/>
        <v>2250HP</v>
      </c>
      <c r="B35">
        <f t="shared" si="1"/>
        <v>2250</v>
      </c>
      <c r="C35" t="str">
        <f>LEFT(Raw!B35,FIND(",",Raw!B35)-1)</f>
        <v>Green Motors Program Rewind vs. Standard Practice:  Motor size 2250HP</v>
      </c>
      <c r="D35" t="str">
        <f>LEFT(Raw!C35,FIND(",",Raw!C35)-1)</f>
        <v>Green Motors Program Rewind vs. Standard Practice:  Motor size 2250HP</v>
      </c>
      <c r="E35">
        <f>Raw!D35</f>
        <v>18743.845060209744</v>
      </c>
      <c r="F35">
        <f>Raw!E35</f>
        <v>20</v>
      </c>
      <c r="G35">
        <f>Raw!F35</f>
        <v>3998.8798080000001</v>
      </c>
      <c r="H35">
        <f>Raw!G35</f>
        <v>0</v>
      </c>
      <c r="I35" t="str">
        <f>Raw!H35</f>
        <v>A-Irr-Irr-Irrigation-All-All-E</v>
      </c>
      <c r="J35">
        <f>Raw!I35</f>
        <v>0</v>
      </c>
      <c r="K35">
        <f>Raw!J35</f>
        <v>0</v>
      </c>
      <c r="L35">
        <f>Raw!K35</f>
        <v>0</v>
      </c>
      <c r="M35">
        <f>Raw!L35</f>
        <v>0</v>
      </c>
      <c r="N35">
        <f>Raw!M35</f>
        <v>0</v>
      </c>
      <c r="O35">
        <f>Raw!N35</f>
        <v>0</v>
      </c>
      <c r="P35">
        <f>Raw!O35</f>
        <v>0</v>
      </c>
    </row>
    <row r="36" spans="1:107">
      <c r="A36" t="str">
        <f t="shared" si="0"/>
        <v>2500HP</v>
      </c>
      <c r="B36">
        <f t="shared" si="1"/>
        <v>2500</v>
      </c>
      <c r="C36" t="str">
        <f>LEFT(Raw!B36,FIND(",",Raw!B36)-1)</f>
        <v>Green Motors Program Rewind vs. Standard Practice:  Motor size 2500HP</v>
      </c>
      <c r="D36" t="str">
        <f>LEFT(Raw!C36,FIND(",",Raw!C36)-1)</f>
        <v>Green Motors Program Rewind vs. Standard Practice:  Motor size 2500HP</v>
      </c>
      <c r="E36">
        <f>Raw!D36</f>
        <v>20782.969681468327</v>
      </c>
      <c r="F36">
        <f>Raw!E36</f>
        <v>20</v>
      </c>
      <c r="G36">
        <f>Raw!F36</f>
        <v>4485.7649759999995</v>
      </c>
      <c r="H36">
        <f>Raw!G36</f>
        <v>0</v>
      </c>
      <c r="I36" t="str">
        <f>Raw!H36</f>
        <v>A-Irr-Irr-Irrigation-All-All-E</v>
      </c>
      <c r="J36">
        <f>Raw!I36</f>
        <v>0</v>
      </c>
      <c r="K36">
        <f>Raw!J36</f>
        <v>0</v>
      </c>
      <c r="L36">
        <f>Raw!K36</f>
        <v>0</v>
      </c>
      <c r="M36">
        <f>Raw!L36</f>
        <v>0</v>
      </c>
      <c r="N36">
        <f>Raw!M36</f>
        <v>0</v>
      </c>
      <c r="O36">
        <f>Raw!N36</f>
        <v>0</v>
      </c>
      <c r="P36">
        <f>Raw!O36</f>
        <v>0</v>
      </c>
    </row>
    <row r="37" spans="1:107">
      <c r="A37" t="str">
        <f t="shared" si="0"/>
        <v>3000HP</v>
      </c>
      <c r="B37">
        <f t="shared" si="1"/>
        <v>3000</v>
      </c>
      <c r="C37" t="str">
        <f>LEFT(Raw!B37,FIND(",",Raw!B37)-1)</f>
        <v>Green Motors Program Rewind vs. Standard Practice:  Motor size 3000HP</v>
      </c>
      <c r="D37" t="str">
        <f>LEFT(Raw!C37,FIND(",",Raw!C37)-1)</f>
        <v>Green Motors Program Rewind vs. Standard Practice:  Motor size 3000HP</v>
      </c>
      <c r="E37">
        <f>Raw!D37</f>
        <v>24783.852866611443</v>
      </c>
      <c r="F37">
        <f>Raw!E37</f>
        <v>20</v>
      </c>
      <c r="G37">
        <f>Raw!F37</f>
        <v>4886.884463999997</v>
      </c>
      <c r="H37">
        <f>Raw!G37</f>
        <v>0</v>
      </c>
      <c r="I37" t="str">
        <f>Raw!H37</f>
        <v>A-Irr-Irr-Irrigation-All-All-E</v>
      </c>
      <c r="J37">
        <f>Raw!I37</f>
        <v>0</v>
      </c>
      <c r="K37">
        <f>Raw!J37</f>
        <v>0</v>
      </c>
      <c r="L37">
        <f>Raw!K37</f>
        <v>0</v>
      </c>
      <c r="M37">
        <f>Raw!L37</f>
        <v>0</v>
      </c>
      <c r="N37">
        <f>Raw!M37</f>
        <v>0</v>
      </c>
      <c r="O37">
        <f>Raw!N37</f>
        <v>0</v>
      </c>
      <c r="P37">
        <f>Raw!O37</f>
        <v>0</v>
      </c>
    </row>
    <row r="38" spans="1:107">
      <c r="A38" t="str">
        <f t="shared" si="0"/>
        <v>3500HP</v>
      </c>
      <c r="B38">
        <f t="shared" si="1"/>
        <v>3500</v>
      </c>
      <c r="C38" t="str">
        <f>LEFT(Raw!B38,FIND(",",Raw!B38)-1)</f>
        <v>Green Motors Program Rewind vs. Standard Practice:  Motor size 3500HP</v>
      </c>
      <c r="D38" t="str">
        <f>LEFT(Raw!C38,FIND(",",Raw!C38)-1)</f>
        <v>Green Motors Program Rewind vs. Standard Practice:  Motor size 3500HP</v>
      </c>
      <c r="E38">
        <f>Raw!D38</f>
        <v>28854.318771584891</v>
      </c>
      <c r="F38">
        <f>Raw!E38</f>
        <v>20</v>
      </c>
      <c r="G38">
        <f>Raw!F38</f>
        <v>5346.6471519999959</v>
      </c>
      <c r="H38">
        <f>Raw!G38</f>
        <v>0</v>
      </c>
      <c r="I38" t="str">
        <f>Raw!H38</f>
        <v>A-Irr-Irr-Irrigation-All-All-E</v>
      </c>
      <c r="J38">
        <f>Raw!I38</f>
        <v>0</v>
      </c>
      <c r="K38">
        <f>Raw!J38</f>
        <v>0</v>
      </c>
      <c r="L38">
        <f>Raw!K38</f>
        <v>0</v>
      </c>
      <c r="M38">
        <f>Raw!L38</f>
        <v>0</v>
      </c>
      <c r="N38">
        <f>Raw!M38</f>
        <v>0</v>
      </c>
      <c r="O38">
        <f>Raw!N38</f>
        <v>0</v>
      </c>
      <c r="P38">
        <f>Raw!O38</f>
        <v>0</v>
      </c>
    </row>
    <row r="39" spans="1:107">
      <c r="A39" t="str">
        <f t="shared" si="0"/>
        <v>4000HP</v>
      </c>
      <c r="B39">
        <f t="shared" si="1"/>
        <v>4000</v>
      </c>
      <c r="C39" t="str">
        <f>LEFT(Raw!B39,FIND(",",Raw!B39)-1)</f>
        <v>Green Motors Program Rewind vs. Standard Practice:  Motor size 4000HP</v>
      </c>
      <c r="D39" t="str">
        <f>LEFT(Raw!C39,FIND(",",Raw!C39)-1)</f>
        <v>Green Motors Program Rewind vs. Standard Practice:  Motor size 4000HP</v>
      </c>
      <c r="E39">
        <f>Raw!D39</f>
        <v>32976.364310381934</v>
      </c>
      <c r="F39">
        <f>Raw!E39</f>
        <v>20</v>
      </c>
      <c r="G39">
        <f>Raw!F39</f>
        <v>6251.2185119999949</v>
      </c>
      <c r="H39">
        <f>Raw!G39</f>
        <v>0</v>
      </c>
      <c r="I39" t="str">
        <f>Raw!H39</f>
        <v>A-Irr-Irr-Irrigation-All-All-E</v>
      </c>
      <c r="J39">
        <f>Raw!I39</f>
        <v>0</v>
      </c>
      <c r="K39">
        <f>Raw!J39</f>
        <v>0</v>
      </c>
      <c r="L39">
        <f>Raw!K39</f>
        <v>0</v>
      </c>
      <c r="M39">
        <f>Raw!L39</f>
        <v>0</v>
      </c>
      <c r="N39">
        <f>Raw!M39</f>
        <v>0</v>
      </c>
      <c r="O39">
        <f>Raw!N39</f>
        <v>0</v>
      </c>
      <c r="P39">
        <f>Raw!O39</f>
        <v>0</v>
      </c>
    </row>
    <row r="40" spans="1:107">
      <c r="A40" t="str">
        <f t="shared" si="0"/>
        <v>4500HP</v>
      </c>
      <c r="B40">
        <f t="shared" si="1"/>
        <v>4500</v>
      </c>
      <c r="C40" t="str">
        <f>LEFT(Raw!B40,FIND(",",Raw!B40)-1)</f>
        <v>Green Motors Program Rewind vs. Standard Practice:  Motor size 4500HP</v>
      </c>
      <c r="D40" t="str">
        <f>LEFT(Raw!C40,FIND(",",Raw!C40)-1)</f>
        <v>Green Motors Program Rewind vs. Standard Practice:  Motor size 4500HP</v>
      </c>
      <c r="E40">
        <f>Raw!D40</f>
        <v>37021.281677403487</v>
      </c>
      <c r="F40">
        <f>Raw!E40</f>
        <v>20</v>
      </c>
      <c r="G40">
        <f>Raw!F40</f>
        <v>6907.8757439999954</v>
      </c>
      <c r="H40">
        <f>Raw!G40</f>
        <v>0</v>
      </c>
      <c r="I40" t="str">
        <f>Raw!H40</f>
        <v>A-Irr-Irr-Irrigation-All-All-E</v>
      </c>
      <c r="J40">
        <f>Raw!I40</f>
        <v>0</v>
      </c>
      <c r="K40">
        <f>Raw!J40</f>
        <v>0</v>
      </c>
      <c r="L40">
        <f>Raw!K40</f>
        <v>0</v>
      </c>
      <c r="M40">
        <f>Raw!L40</f>
        <v>0</v>
      </c>
      <c r="N40">
        <f>Raw!M40</f>
        <v>0</v>
      </c>
      <c r="O40">
        <f>Raw!N40</f>
        <v>0</v>
      </c>
      <c r="P40">
        <f>Raw!O40</f>
        <v>0</v>
      </c>
    </row>
    <row r="41" spans="1:107">
      <c r="A41" t="str">
        <f t="shared" si="0"/>
        <v>5000HP</v>
      </c>
      <c r="B41">
        <f t="shared" si="1"/>
        <v>5000</v>
      </c>
      <c r="C41" t="str">
        <f>LEFT(Raw!B41,FIND(",",Raw!B41)-1)</f>
        <v>Green Motors Program Rewind vs. Standard Practice:  Motor size 5000HP</v>
      </c>
      <c r="D41" t="str">
        <f>LEFT(Raw!C41,FIND(",",Raw!C41)-1)</f>
        <v>Green Motors Program Rewind vs. Standard Practice:  Motor size 5000HP</v>
      </c>
      <c r="E41">
        <f>Raw!D41</f>
        <v>41049.32642487064</v>
      </c>
      <c r="F41">
        <f>Raw!E41</f>
        <v>20</v>
      </c>
      <c r="G41">
        <f>Raw!F41</f>
        <v>7712.3138399999989</v>
      </c>
      <c r="H41">
        <f>Raw!G41</f>
        <v>0</v>
      </c>
      <c r="I41" t="str">
        <f>Raw!H41</f>
        <v>A-Irr-Irr-Irrigation-All-All-E</v>
      </c>
      <c r="J41">
        <f>Raw!I41</f>
        <v>0</v>
      </c>
      <c r="K41">
        <f>Raw!J41</f>
        <v>0</v>
      </c>
      <c r="L41">
        <f>Raw!K41</f>
        <v>0</v>
      </c>
      <c r="M41">
        <f>Raw!L41</f>
        <v>0</v>
      </c>
      <c r="N41">
        <f>Raw!M41</f>
        <v>0</v>
      </c>
      <c r="O41">
        <f>Raw!N41</f>
        <v>0</v>
      </c>
      <c r="P41">
        <f>Raw!O41</f>
        <v>0</v>
      </c>
    </row>
    <row r="43" spans="1:107" s="7" customFormat="1">
      <c r="A43" s="7" t="s">
        <v>297</v>
      </c>
    </row>
    <row r="44" spans="1:107" s="7" customFormat="1">
      <c r="C44" s="11">
        <v>2</v>
      </c>
      <c r="D44" s="11">
        <v>3</v>
      </c>
      <c r="E44" s="11">
        <v>4</v>
      </c>
      <c r="F44" s="11">
        <v>5</v>
      </c>
      <c r="G44" s="11">
        <v>6</v>
      </c>
      <c r="H44" s="11">
        <v>7</v>
      </c>
      <c r="I44" s="11">
        <v>8</v>
      </c>
      <c r="J44" s="11">
        <v>9</v>
      </c>
      <c r="K44" s="11">
        <v>10</v>
      </c>
      <c r="L44" s="11">
        <v>11</v>
      </c>
      <c r="M44" s="11">
        <v>12</v>
      </c>
      <c r="N44" s="11">
        <v>13</v>
      </c>
      <c r="O44" s="11">
        <v>14</v>
      </c>
      <c r="P44" s="11">
        <v>15</v>
      </c>
      <c r="Q44" s="11">
        <v>16</v>
      </c>
      <c r="R44" s="11">
        <v>17</v>
      </c>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row>
    <row r="45" spans="1:107" s="7" customFormat="1">
      <c r="C45" s="12" t="s">
        <v>3</v>
      </c>
      <c r="D45" s="13"/>
      <c r="E45" s="13"/>
      <c r="F45" s="13"/>
      <c r="G45" s="13"/>
      <c r="H45" s="13"/>
      <c r="I45" s="14"/>
      <c r="J45" s="71"/>
      <c r="K45" s="295" t="s">
        <v>4</v>
      </c>
      <c r="L45" s="296"/>
      <c r="M45" s="296"/>
      <c r="N45" s="296"/>
      <c r="O45" s="296"/>
      <c r="P45" s="297"/>
      <c r="Q45" s="298" t="s">
        <v>5</v>
      </c>
      <c r="R45" s="299"/>
      <c r="S45" s="16"/>
      <c r="T45" s="17"/>
      <c r="U45" s="17"/>
      <c r="V45" s="17"/>
      <c r="W45" s="17"/>
      <c r="X45" s="17"/>
      <c r="Y45" s="17"/>
      <c r="Z45" s="18"/>
      <c r="AA45" s="19"/>
      <c r="AB45" s="17"/>
      <c r="AC45" s="17"/>
      <c r="AD45" s="17"/>
      <c r="AE45" s="17"/>
      <c r="AF45" s="17"/>
      <c r="AG45" s="20"/>
      <c r="AH45" s="20"/>
      <c r="AI45" s="20"/>
      <c r="AJ45" s="20"/>
      <c r="AK45" s="20"/>
      <c r="AL45" s="20"/>
      <c r="AM45" s="20"/>
      <c r="AN45" s="20"/>
      <c r="AO45" s="20"/>
      <c r="AP45" s="20"/>
      <c r="AQ45" s="20"/>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row>
    <row r="46" spans="1:107" s="7" customFormat="1" ht="38.25">
      <c r="A46" s="7" t="s">
        <v>306</v>
      </c>
      <c r="C46" s="72" t="s">
        <v>6</v>
      </c>
      <c r="D46" s="72" t="s">
        <v>7</v>
      </c>
      <c r="E46" s="72" t="s">
        <v>8</v>
      </c>
      <c r="F46" s="72" t="s">
        <v>9</v>
      </c>
      <c r="G46" s="72" t="s">
        <v>10</v>
      </c>
      <c r="H46" s="72" t="s">
        <v>11</v>
      </c>
      <c r="I46" s="73" t="s">
        <v>12</v>
      </c>
      <c r="J46" s="73" t="s">
        <v>13</v>
      </c>
      <c r="K46" s="73" t="s">
        <v>14</v>
      </c>
      <c r="L46" s="73" t="s">
        <v>15</v>
      </c>
      <c r="M46" s="73" t="s">
        <v>16</v>
      </c>
      <c r="N46" s="73" t="s">
        <v>17</v>
      </c>
      <c r="O46" s="73" t="s">
        <v>18</v>
      </c>
      <c r="P46" s="73" t="s">
        <v>19</v>
      </c>
      <c r="Q46" s="74" t="s">
        <v>20</v>
      </c>
      <c r="R46" s="73" t="s">
        <v>12</v>
      </c>
      <c r="S46" s="23"/>
      <c r="T46" s="23"/>
      <c r="U46" s="23"/>
      <c r="V46" s="23"/>
      <c r="W46" s="23"/>
      <c r="X46" s="23"/>
      <c r="Y46" s="23"/>
      <c r="Z46" s="23"/>
      <c r="AA46" s="23"/>
      <c r="AB46" s="23"/>
      <c r="AC46" s="23"/>
      <c r="AD46" s="23"/>
      <c r="AE46" s="23"/>
      <c r="AF46" s="23"/>
      <c r="AG46" s="20"/>
      <c r="AH46" s="20"/>
      <c r="AI46" s="20"/>
      <c r="AJ46" s="20"/>
      <c r="AK46" s="20"/>
      <c r="AL46" s="20"/>
      <c r="AM46" s="20"/>
      <c r="AN46" s="20"/>
      <c r="AO46" s="20"/>
      <c r="AP46" s="20"/>
      <c r="AQ46" s="20"/>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row>
    <row r="47" spans="1:107">
      <c r="A47" t="s">
        <v>298</v>
      </c>
      <c r="B47" s="110">
        <f>VLOOKUP(Composite!A47,'Pump Sizes'!$A$3:$C$10,3,FALSE)</f>
        <v>180</v>
      </c>
      <c r="C47" t="str">
        <f>VLOOKUP($B47,$B$8:$P$41,C$44,TRUE)</f>
        <v>Green Motors Program Rewind vs. Standard Practice:  Motor size 150HP</v>
      </c>
      <c r="D47" t="str">
        <f t="shared" ref="D47:P54" si="2">VLOOKUP($B47,$B$8:$P$41,D$44,TRUE)</f>
        <v>Green Motors Program Rewind vs. Standard Practice:  Motor size 150HP</v>
      </c>
      <c r="E47">
        <f t="shared" si="2"/>
        <v>1375.738818122496</v>
      </c>
      <c r="F47">
        <f t="shared" si="2"/>
        <v>20</v>
      </c>
      <c r="G47">
        <f t="shared" si="2"/>
        <v>446.65133333333335</v>
      </c>
      <c r="H47">
        <f t="shared" si="2"/>
        <v>0</v>
      </c>
      <c r="I47" t="str">
        <f t="shared" si="2"/>
        <v>A-Irr-Irr-Irrigation-All-All-E</v>
      </c>
      <c r="J47">
        <f t="shared" si="2"/>
        <v>0</v>
      </c>
      <c r="K47">
        <f t="shared" si="2"/>
        <v>0</v>
      </c>
      <c r="L47">
        <f t="shared" si="2"/>
        <v>0</v>
      </c>
      <c r="M47">
        <f t="shared" si="2"/>
        <v>0</v>
      </c>
      <c r="N47">
        <f t="shared" si="2"/>
        <v>0</v>
      </c>
      <c r="O47">
        <f t="shared" si="2"/>
        <v>0</v>
      </c>
      <c r="P47">
        <f t="shared" si="2"/>
        <v>0</v>
      </c>
    </row>
    <row r="48" spans="1:107">
      <c r="A48" t="s">
        <v>299</v>
      </c>
      <c r="B48" s="110">
        <f>VLOOKUP(Composite!A48,'Pump Sizes'!$A$3:$C$10,3,FALSE)</f>
        <v>50</v>
      </c>
      <c r="C48" t="str">
        <f t="shared" ref="C48:C54" si="3">VLOOKUP($B48,$B$8:$P$41,C$44,TRUE)</f>
        <v>Green Motors Program Rewind vs. Standard Practice:  Motor size 50HP</v>
      </c>
      <c r="D48" t="str">
        <f t="shared" si="2"/>
        <v>Green Motors Program Rewind vs. Standard Practice:  Motor size 50HP</v>
      </c>
      <c r="E48">
        <f t="shared" si="2"/>
        <v>745.77064709480817</v>
      </c>
      <c r="F48">
        <f t="shared" si="2"/>
        <v>17</v>
      </c>
      <c r="G48">
        <f t="shared" si="2"/>
        <v>190.08733333333336</v>
      </c>
      <c r="H48">
        <f t="shared" si="2"/>
        <v>0</v>
      </c>
      <c r="I48" t="str">
        <f t="shared" si="2"/>
        <v>A-Irr-Irr-Irrigation-All-All-E</v>
      </c>
      <c r="J48">
        <f t="shared" si="2"/>
        <v>0</v>
      </c>
      <c r="K48">
        <f t="shared" si="2"/>
        <v>0</v>
      </c>
      <c r="L48">
        <f t="shared" si="2"/>
        <v>0</v>
      </c>
      <c r="M48">
        <f t="shared" si="2"/>
        <v>0</v>
      </c>
      <c r="N48">
        <f t="shared" si="2"/>
        <v>0</v>
      </c>
      <c r="O48">
        <f t="shared" si="2"/>
        <v>0</v>
      </c>
      <c r="P48">
        <f t="shared" si="2"/>
        <v>0</v>
      </c>
    </row>
    <row r="49" spans="1:16">
      <c r="A49" t="s">
        <v>300</v>
      </c>
      <c r="B49" s="110">
        <f>VLOOKUP(Composite!A49,'Pump Sizes'!$A$3:$C$10,3,FALSE)</f>
        <v>60</v>
      </c>
      <c r="C49" t="str">
        <f t="shared" si="3"/>
        <v>Green Motors Program Rewind vs. Standard Practice:  Motor size 60HP</v>
      </c>
      <c r="D49" t="str">
        <f t="shared" si="2"/>
        <v>Green Motors Program Rewind vs. Standard Practice:  Motor size 60HP</v>
      </c>
      <c r="E49">
        <f t="shared" si="2"/>
        <v>801.85271513185091</v>
      </c>
      <c r="F49">
        <f t="shared" si="2"/>
        <v>17</v>
      </c>
      <c r="G49">
        <f t="shared" si="2"/>
        <v>208.77266666666668</v>
      </c>
      <c r="H49">
        <f t="shared" si="2"/>
        <v>0</v>
      </c>
      <c r="I49" t="str">
        <f t="shared" si="2"/>
        <v>A-Irr-Irr-Irrigation-All-All-E</v>
      </c>
      <c r="J49">
        <f t="shared" si="2"/>
        <v>0</v>
      </c>
      <c r="K49">
        <f t="shared" si="2"/>
        <v>0</v>
      </c>
      <c r="L49">
        <f t="shared" si="2"/>
        <v>0</v>
      </c>
      <c r="M49">
        <f t="shared" si="2"/>
        <v>0</v>
      </c>
      <c r="N49">
        <f t="shared" si="2"/>
        <v>0</v>
      </c>
      <c r="O49">
        <f t="shared" si="2"/>
        <v>0</v>
      </c>
      <c r="P49">
        <f t="shared" si="2"/>
        <v>0</v>
      </c>
    </row>
    <row r="50" spans="1:16">
      <c r="A50" t="s">
        <v>301</v>
      </c>
      <c r="B50" s="110">
        <f>VLOOKUP(Composite!A50,'Pump Sizes'!$A$3:$C$10,3,FALSE)</f>
        <v>110</v>
      </c>
      <c r="C50" t="str">
        <f t="shared" si="3"/>
        <v>Green Motors Program Rewind vs. Standard Practice:  Motor size 100HP</v>
      </c>
      <c r="D50" t="str">
        <f t="shared" si="2"/>
        <v>Green Motors Program Rewind vs. Standard Practice:  Motor size 100HP</v>
      </c>
      <c r="E50">
        <f t="shared" si="2"/>
        <v>1039.5442662823673</v>
      </c>
      <c r="F50">
        <f t="shared" si="2"/>
        <v>20</v>
      </c>
      <c r="G50">
        <f t="shared" si="2"/>
        <v>333.10200000000003</v>
      </c>
      <c r="H50">
        <f t="shared" si="2"/>
        <v>0</v>
      </c>
      <c r="I50" t="str">
        <f t="shared" si="2"/>
        <v>A-Irr-Irr-Irrigation-All-All-E</v>
      </c>
      <c r="J50">
        <f t="shared" si="2"/>
        <v>0</v>
      </c>
      <c r="K50">
        <f t="shared" si="2"/>
        <v>0</v>
      </c>
      <c r="L50">
        <f t="shared" si="2"/>
        <v>0</v>
      </c>
      <c r="M50">
        <f t="shared" si="2"/>
        <v>0</v>
      </c>
      <c r="N50">
        <f t="shared" si="2"/>
        <v>0</v>
      </c>
      <c r="O50">
        <f t="shared" si="2"/>
        <v>0</v>
      </c>
      <c r="P50">
        <f t="shared" si="2"/>
        <v>0</v>
      </c>
    </row>
    <row r="51" spans="1:16">
      <c r="A51" t="s">
        <v>302</v>
      </c>
      <c r="B51" s="110">
        <f>VLOOKUP(Composite!A51,'Pump Sizes'!$A$3:$C$10,3,FALSE)</f>
        <v>70</v>
      </c>
      <c r="C51" t="str">
        <f t="shared" si="3"/>
        <v>Green Motors Program Rewind vs. Standard Practice:  Motor size 60HP</v>
      </c>
      <c r="D51" t="str">
        <f t="shared" si="2"/>
        <v>Green Motors Program Rewind vs. Standard Practice:  Motor size 60HP</v>
      </c>
      <c r="E51">
        <f t="shared" si="2"/>
        <v>801.85271513185091</v>
      </c>
      <c r="F51">
        <f t="shared" si="2"/>
        <v>17</v>
      </c>
      <c r="G51">
        <f t="shared" si="2"/>
        <v>208.77266666666668</v>
      </c>
      <c r="H51">
        <f t="shared" si="2"/>
        <v>0</v>
      </c>
      <c r="I51" t="str">
        <f t="shared" si="2"/>
        <v>A-Irr-Irr-Irrigation-All-All-E</v>
      </c>
      <c r="J51">
        <f t="shared" si="2"/>
        <v>0</v>
      </c>
      <c r="K51">
        <f t="shared" si="2"/>
        <v>0</v>
      </c>
      <c r="L51">
        <f t="shared" si="2"/>
        <v>0</v>
      </c>
      <c r="M51">
        <f t="shared" si="2"/>
        <v>0</v>
      </c>
      <c r="N51">
        <f t="shared" si="2"/>
        <v>0</v>
      </c>
      <c r="O51">
        <f t="shared" si="2"/>
        <v>0</v>
      </c>
      <c r="P51">
        <f t="shared" si="2"/>
        <v>0</v>
      </c>
    </row>
    <row r="52" spans="1:16">
      <c r="A52" t="s">
        <v>303</v>
      </c>
      <c r="B52" s="110">
        <f>VLOOKUP(Composite!A52,'Pump Sizes'!$A$3:$C$10,3,FALSE)</f>
        <v>40</v>
      </c>
      <c r="C52" t="str">
        <f t="shared" si="3"/>
        <v>Green Motors Program Rewind vs. Standard Practice:  Motor size 40HP</v>
      </c>
      <c r="D52" t="str">
        <f t="shared" si="2"/>
        <v>Green Motors Program Rewind vs. Standard Practice:  Motor size 40HP</v>
      </c>
      <c r="E52">
        <f t="shared" si="2"/>
        <v>765.28971916213288</v>
      </c>
      <c r="F52">
        <f t="shared" si="2"/>
        <v>20</v>
      </c>
      <c r="G52">
        <f t="shared" si="2"/>
        <v>255.12666666666667</v>
      </c>
      <c r="H52">
        <f t="shared" si="2"/>
        <v>0</v>
      </c>
      <c r="I52" t="str">
        <f t="shared" si="2"/>
        <v>A-Irr-Irr-Irrigation-All-All-E</v>
      </c>
      <c r="J52">
        <f t="shared" si="2"/>
        <v>0</v>
      </c>
      <c r="K52">
        <f t="shared" si="2"/>
        <v>0</v>
      </c>
      <c r="L52">
        <f t="shared" si="2"/>
        <v>0</v>
      </c>
      <c r="M52">
        <f t="shared" si="2"/>
        <v>0</v>
      </c>
      <c r="N52">
        <f t="shared" si="2"/>
        <v>0</v>
      </c>
      <c r="O52">
        <f t="shared" si="2"/>
        <v>0</v>
      </c>
      <c r="P52">
        <f t="shared" si="2"/>
        <v>0</v>
      </c>
    </row>
    <row r="53" spans="1:16">
      <c r="A53" t="s">
        <v>304</v>
      </c>
      <c r="B53" s="110">
        <f>VLOOKUP(Composite!A53,'Pump Sizes'!$A$3:$C$10,3,FALSE)</f>
        <v>50</v>
      </c>
      <c r="C53" t="str">
        <f t="shared" si="3"/>
        <v>Green Motors Program Rewind vs. Standard Practice:  Motor size 50HP</v>
      </c>
      <c r="D53" t="str">
        <f t="shared" si="2"/>
        <v>Green Motors Program Rewind vs. Standard Practice:  Motor size 50HP</v>
      </c>
      <c r="E53">
        <f t="shared" si="2"/>
        <v>745.77064709480817</v>
      </c>
      <c r="F53">
        <f t="shared" si="2"/>
        <v>17</v>
      </c>
      <c r="G53">
        <f t="shared" si="2"/>
        <v>190.08733333333336</v>
      </c>
      <c r="H53">
        <f t="shared" si="2"/>
        <v>0</v>
      </c>
      <c r="I53" t="str">
        <f t="shared" si="2"/>
        <v>A-Irr-Irr-Irrigation-All-All-E</v>
      </c>
      <c r="J53">
        <f t="shared" si="2"/>
        <v>0</v>
      </c>
      <c r="K53">
        <f t="shared" si="2"/>
        <v>0</v>
      </c>
      <c r="L53">
        <f t="shared" si="2"/>
        <v>0</v>
      </c>
      <c r="M53">
        <f t="shared" si="2"/>
        <v>0</v>
      </c>
      <c r="N53">
        <f t="shared" si="2"/>
        <v>0</v>
      </c>
      <c r="O53">
        <f t="shared" si="2"/>
        <v>0</v>
      </c>
      <c r="P53">
        <f t="shared" si="2"/>
        <v>0</v>
      </c>
    </row>
    <row r="54" spans="1:16">
      <c r="A54" t="s">
        <v>305</v>
      </c>
      <c r="B54" s="110">
        <f>VLOOKUP(Composite!A54,'Pump Sizes'!$A$3:$C$10,3,FALSE)</f>
        <v>80</v>
      </c>
      <c r="C54" t="str">
        <f t="shared" si="3"/>
        <v>Green Motors Program Rewind vs. Standard Practice:  Motor size 75HP</v>
      </c>
      <c r="D54" t="str">
        <f t="shared" si="2"/>
        <v>Green Motors Program Rewind vs. Standard Practice:  Motor size 75HP</v>
      </c>
      <c r="E54">
        <f t="shared" si="2"/>
        <v>787.56249081075168</v>
      </c>
      <c r="F54">
        <f t="shared" si="2"/>
        <v>20</v>
      </c>
      <c r="G54">
        <f t="shared" si="2"/>
        <v>282.43600000000004</v>
      </c>
      <c r="H54">
        <f t="shared" si="2"/>
        <v>0</v>
      </c>
      <c r="I54" t="str">
        <f t="shared" si="2"/>
        <v>A-Irr-Irr-Irrigation-All-All-E</v>
      </c>
      <c r="J54">
        <f t="shared" si="2"/>
        <v>0</v>
      </c>
      <c r="K54">
        <f t="shared" si="2"/>
        <v>0</v>
      </c>
      <c r="L54">
        <f t="shared" si="2"/>
        <v>0</v>
      </c>
      <c r="M54">
        <f t="shared" si="2"/>
        <v>0</v>
      </c>
      <c r="N54">
        <f t="shared" si="2"/>
        <v>0</v>
      </c>
      <c r="O54">
        <f t="shared" si="2"/>
        <v>0</v>
      </c>
      <c r="P54">
        <f t="shared" si="2"/>
        <v>0</v>
      </c>
    </row>
  </sheetData>
  <mergeCells count="4">
    <mergeCell ref="K6:P6"/>
    <mergeCell ref="Q6:R6"/>
    <mergeCell ref="K45:P45"/>
    <mergeCell ref="Q45:R4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2:C10"/>
  <sheetViews>
    <sheetView workbookViewId="0">
      <selection activeCell="C3" sqref="C3:C10"/>
    </sheetView>
  </sheetViews>
  <sheetFormatPr defaultRowHeight="12.75"/>
  <cols>
    <col min="1" max="1" width="16.28515625" bestFit="1" customWidth="1"/>
  </cols>
  <sheetData>
    <row r="2" spans="1:3">
      <c r="A2" t="s">
        <v>307</v>
      </c>
      <c r="B2" t="s">
        <v>308</v>
      </c>
      <c r="C2" t="s">
        <v>309</v>
      </c>
    </row>
    <row r="3" spans="1:3">
      <c r="A3" t="s">
        <v>298</v>
      </c>
      <c r="B3">
        <f>'[3]Depth of Wells'!$I33</f>
        <v>181</v>
      </c>
      <c r="C3">
        <f>ROUND(B3,-1)</f>
        <v>180</v>
      </c>
    </row>
    <row r="4" spans="1:3">
      <c r="A4" t="s">
        <v>299</v>
      </c>
      <c r="B4">
        <f>'[3]Depth of Wells'!$I34</f>
        <v>53</v>
      </c>
      <c r="C4">
        <f t="shared" ref="C4:C10" si="0">ROUND(B4,-1)</f>
        <v>50</v>
      </c>
    </row>
    <row r="5" spans="1:3">
      <c r="A5" t="s">
        <v>300</v>
      </c>
      <c r="B5">
        <f>'[3]Depth of Wells'!$I35</f>
        <v>56</v>
      </c>
      <c r="C5">
        <f t="shared" si="0"/>
        <v>60</v>
      </c>
    </row>
    <row r="6" spans="1:3">
      <c r="A6" t="s">
        <v>301</v>
      </c>
      <c r="B6">
        <f>'[3]Depth of Wells'!$I36</f>
        <v>110</v>
      </c>
      <c r="C6">
        <f t="shared" si="0"/>
        <v>110</v>
      </c>
    </row>
    <row r="7" spans="1:3">
      <c r="A7" t="s">
        <v>302</v>
      </c>
      <c r="B7" s="110">
        <f>'[3]Depth of Wells'!$Q22</f>
        <v>65.656287878787879</v>
      </c>
      <c r="C7">
        <f t="shared" si="0"/>
        <v>70</v>
      </c>
    </row>
    <row r="8" spans="1:3">
      <c r="A8" t="s">
        <v>303</v>
      </c>
      <c r="B8" s="110">
        <f>'[3]Depth of Wells'!$Q23</f>
        <v>38.556666666666665</v>
      </c>
      <c r="C8">
        <f t="shared" si="0"/>
        <v>40</v>
      </c>
    </row>
    <row r="9" spans="1:3">
      <c r="A9" t="s">
        <v>304</v>
      </c>
      <c r="B9" s="110">
        <f>'[3]Depth of Wells'!$Q24</f>
        <v>48.355151515151512</v>
      </c>
      <c r="C9">
        <f t="shared" si="0"/>
        <v>50</v>
      </c>
    </row>
    <row r="10" spans="1:3">
      <c r="A10" t="s">
        <v>305</v>
      </c>
      <c r="B10" s="110">
        <f>'[3]Depth of Wells'!$Q25</f>
        <v>82.12893939393939</v>
      </c>
      <c r="C10">
        <f t="shared" si="0"/>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0"/>
  <dimension ref="A1:DB187"/>
  <sheetViews>
    <sheetView workbookViewId="0">
      <selection activeCell="B14" sqref="B14"/>
    </sheetView>
  </sheetViews>
  <sheetFormatPr defaultRowHeight="12.75"/>
  <cols>
    <col min="1" max="1" width="29.85546875" customWidth="1"/>
    <col min="2" max="2" width="105.140625" customWidth="1"/>
    <col min="3" max="3" width="81.42578125" customWidth="1"/>
    <col min="6" max="6" width="10.28515625" bestFit="1" customWidth="1"/>
    <col min="16" max="16" width="9.85546875" customWidth="1"/>
  </cols>
  <sheetData>
    <row r="1" spans="1:106" s="68" customFormat="1" ht="14.25">
      <c r="B1" s="64" t="s">
        <v>0</v>
      </c>
      <c r="C1" s="65"/>
      <c r="D1" s="65"/>
      <c r="E1" s="65"/>
      <c r="F1" s="65"/>
      <c r="G1" s="65"/>
      <c r="H1" s="65"/>
      <c r="I1" s="65"/>
      <c r="J1" s="66"/>
      <c r="K1" s="66"/>
      <c r="L1" s="66"/>
      <c r="M1" s="66"/>
      <c r="N1" s="66"/>
      <c r="O1" s="67"/>
    </row>
    <row r="2" spans="1:106" s="68" customFormat="1">
      <c r="B2" s="69" t="s">
        <v>296</v>
      </c>
      <c r="C2" s="65"/>
      <c r="D2" s="65"/>
      <c r="E2" s="65"/>
      <c r="F2" s="65"/>
      <c r="G2" s="65"/>
      <c r="H2" s="65"/>
      <c r="I2" s="65"/>
      <c r="J2" s="66"/>
      <c r="K2" s="66"/>
      <c r="L2" s="66"/>
      <c r="M2" s="66"/>
      <c r="N2" s="66"/>
      <c r="O2" s="67"/>
      <c r="Q2" s="70"/>
    </row>
    <row r="3" spans="1:106" s="7" customFormat="1">
      <c r="B3" s="8" t="s">
        <v>2</v>
      </c>
      <c r="D3" s="8">
        <v>2012</v>
      </c>
      <c r="K3" s="9"/>
      <c r="L3" s="10"/>
      <c r="CP3" s="10"/>
      <c r="CQ3" s="10"/>
    </row>
    <row r="4" spans="1:106" s="7" customFormat="1"/>
    <row r="5" spans="1:106" s="7" customFormat="1">
      <c r="B5" s="11">
        <v>1</v>
      </c>
      <c r="C5" s="11">
        <v>2</v>
      </c>
      <c r="D5" s="11">
        <v>3</v>
      </c>
      <c r="E5" s="11">
        <v>4</v>
      </c>
      <c r="F5" s="11">
        <v>5</v>
      </c>
      <c r="G5" s="11">
        <v>6</v>
      </c>
      <c r="H5" s="11">
        <v>7</v>
      </c>
      <c r="I5" s="11">
        <v>8</v>
      </c>
      <c r="J5" s="11">
        <v>9</v>
      </c>
      <c r="K5" s="11">
        <v>10</v>
      </c>
      <c r="L5" s="11">
        <v>11</v>
      </c>
      <c r="M5" s="11">
        <v>12</v>
      </c>
      <c r="N5" s="11">
        <v>13</v>
      </c>
      <c r="O5" s="11">
        <v>14</v>
      </c>
      <c r="P5" s="11">
        <v>15</v>
      </c>
      <c r="Q5" s="11">
        <v>16</v>
      </c>
      <c r="R5" s="11">
        <v>17</v>
      </c>
      <c r="S5" s="11">
        <v>18</v>
      </c>
      <c r="T5" s="11">
        <v>19</v>
      </c>
      <c r="U5" s="11">
        <v>20</v>
      </c>
      <c r="V5" s="11">
        <v>21</v>
      </c>
      <c r="W5" s="11">
        <v>22</v>
      </c>
      <c r="X5" s="11">
        <v>23</v>
      </c>
      <c r="Y5" s="11">
        <v>24</v>
      </c>
      <c r="Z5" s="11">
        <v>25</v>
      </c>
      <c r="AA5" s="11">
        <v>26</v>
      </c>
      <c r="AB5" s="11">
        <v>27</v>
      </c>
      <c r="AC5" s="11">
        <v>28</v>
      </c>
      <c r="AD5" s="11">
        <v>29</v>
      </c>
      <c r="AE5" s="11">
        <v>30</v>
      </c>
      <c r="AF5" s="11">
        <v>31</v>
      </c>
      <c r="AG5" s="11">
        <v>32</v>
      </c>
      <c r="AH5" s="11">
        <v>33</v>
      </c>
      <c r="AI5" s="11">
        <v>34</v>
      </c>
      <c r="AJ5" s="11">
        <v>35</v>
      </c>
      <c r="AK5" s="11">
        <v>36</v>
      </c>
      <c r="AL5" s="11">
        <v>37</v>
      </c>
      <c r="AM5" s="11">
        <v>38</v>
      </c>
      <c r="AN5" s="11">
        <v>39</v>
      </c>
      <c r="AO5" s="11">
        <v>40</v>
      </c>
      <c r="AP5" s="11">
        <v>41</v>
      </c>
      <c r="AQ5" s="11">
        <v>42</v>
      </c>
      <c r="AR5" s="11">
        <v>43</v>
      </c>
      <c r="AS5" s="11">
        <v>44</v>
      </c>
      <c r="AT5" s="11">
        <v>45</v>
      </c>
      <c r="AU5" s="11">
        <v>46</v>
      </c>
      <c r="AV5" s="11">
        <v>47</v>
      </c>
      <c r="AW5" s="11">
        <v>48</v>
      </c>
      <c r="AX5" s="11">
        <v>49</v>
      </c>
      <c r="AY5" s="11">
        <v>50</v>
      </c>
      <c r="AZ5" s="11">
        <v>51</v>
      </c>
      <c r="BA5" s="11">
        <v>52</v>
      </c>
      <c r="BB5" s="11">
        <v>53</v>
      </c>
      <c r="BC5" s="11">
        <v>54</v>
      </c>
      <c r="BD5" s="11">
        <v>55</v>
      </c>
      <c r="BE5" s="11">
        <v>56</v>
      </c>
      <c r="BF5" s="11">
        <v>57</v>
      </c>
      <c r="BG5" s="11">
        <v>58</v>
      </c>
      <c r="BH5" s="11">
        <v>59</v>
      </c>
      <c r="BI5" s="11">
        <v>60</v>
      </c>
      <c r="BJ5" s="11">
        <v>61</v>
      </c>
      <c r="BK5" s="11">
        <v>62</v>
      </c>
      <c r="BL5" s="11">
        <v>63</v>
      </c>
      <c r="BM5" s="11">
        <v>64</v>
      </c>
      <c r="BN5" s="11">
        <v>65</v>
      </c>
      <c r="BO5" s="11">
        <v>66</v>
      </c>
      <c r="BP5" s="11">
        <v>67</v>
      </c>
      <c r="BQ5" s="11">
        <v>68</v>
      </c>
      <c r="BR5" s="11">
        <v>69</v>
      </c>
      <c r="BS5" s="11">
        <v>70</v>
      </c>
      <c r="BT5" s="11">
        <v>71</v>
      </c>
      <c r="BU5" s="11">
        <v>72</v>
      </c>
      <c r="BV5" s="11">
        <v>73</v>
      </c>
      <c r="BW5" s="11">
        <v>74</v>
      </c>
      <c r="BX5" s="11">
        <v>75</v>
      </c>
      <c r="BY5" s="11">
        <v>76</v>
      </c>
      <c r="BZ5" s="11">
        <v>77</v>
      </c>
      <c r="CA5" s="11">
        <v>78</v>
      </c>
      <c r="CB5" s="11">
        <v>79</v>
      </c>
      <c r="CC5" s="11">
        <v>80</v>
      </c>
      <c r="CD5" s="11">
        <v>81</v>
      </c>
      <c r="CE5" s="11">
        <v>82</v>
      </c>
      <c r="CF5" s="11">
        <v>83</v>
      </c>
      <c r="CG5" s="11">
        <v>84</v>
      </c>
      <c r="CH5" s="11">
        <v>85</v>
      </c>
      <c r="CI5" s="11">
        <v>86</v>
      </c>
      <c r="CJ5" s="11">
        <v>87</v>
      </c>
      <c r="CK5" s="11">
        <v>88</v>
      </c>
      <c r="CL5" s="11">
        <v>89</v>
      </c>
      <c r="CM5" s="11">
        <v>90</v>
      </c>
      <c r="CN5" s="11">
        <v>91</v>
      </c>
      <c r="CO5" s="11">
        <v>92</v>
      </c>
      <c r="CP5" s="11">
        <v>93</v>
      </c>
      <c r="CQ5" s="11">
        <v>94</v>
      </c>
      <c r="CR5" s="11">
        <v>95</v>
      </c>
      <c r="CS5" s="11">
        <v>96</v>
      </c>
      <c r="CT5" s="11">
        <v>97</v>
      </c>
      <c r="CU5" s="11">
        <v>98</v>
      </c>
      <c r="CV5" s="11">
        <v>99</v>
      </c>
      <c r="CW5" s="11">
        <v>100</v>
      </c>
      <c r="CX5" s="11">
        <v>101</v>
      </c>
      <c r="CY5" s="11">
        <v>102</v>
      </c>
      <c r="CZ5" s="11">
        <v>103</v>
      </c>
      <c r="DA5" s="11">
        <v>104</v>
      </c>
      <c r="DB5" s="11">
        <v>105</v>
      </c>
    </row>
    <row r="6" spans="1:106" s="7" customFormat="1">
      <c r="B6" s="12" t="s">
        <v>3</v>
      </c>
      <c r="C6" s="13"/>
      <c r="D6" s="13"/>
      <c r="E6" s="13"/>
      <c r="F6" s="13"/>
      <c r="G6" s="13"/>
      <c r="H6" s="14"/>
      <c r="I6" s="71"/>
      <c r="J6" s="295" t="s">
        <v>4</v>
      </c>
      <c r="K6" s="296"/>
      <c r="L6" s="296"/>
      <c r="M6" s="296"/>
      <c r="N6" s="296"/>
      <c r="O6" s="297"/>
      <c r="P6" s="298" t="s">
        <v>5</v>
      </c>
      <c r="Q6" s="299"/>
      <c r="R6" s="16"/>
      <c r="S6" s="17"/>
      <c r="T6" s="17"/>
      <c r="U6" s="17"/>
      <c r="V6" s="17"/>
      <c r="W6" s="17"/>
      <c r="X6" s="17"/>
      <c r="Y6" s="18"/>
      <c r="Z6" s="19"/>
      <c r="AA6" s="17"/>
      <c r="AB6" s="17"/>
      <c r="AC6" s="17"/>
      <c r="AD6" s="17"/>
      <c r="AE6" s="17"/>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s="7" customFormat="1" ht="39" thickBot="1">
      <c r="A7" s="7" t="s">
        <v>107</v>
      </c>
      <c r="B7" s="72" t="s">
        <v>6</v>
      </c>
      <c r="C7" s="72" t="s">
        <v>7</v>
      </c>
      <c r="D7" s="72" t="s">
        <v>8</v>
      </c>
      <c r="E7" s="72" t="s">
        <v>9</v>
      </c>
      <c r="F7" s="72" t="s">
        <v>10</v>
      </c>
      <c r="G7" s="72" t="s">
        <v>11</v>
      </c>
      <c r="H7" s="73" t="s">
        <v>12</v>
      </c>
      <c r="I7" s="73" t="s">
        <v>13</v>
      </c>
      <c r="J7" s="73" t="s">
        <v>14</v>
      </c>
      <c r="K7" s="73" t="s">
        <v>15</v>
      </c>
      <c r="L7" s="73" t="s">
        <v>16</v>
      </c>
      <c r="M7" s="73" t="s">
        <v>17</v>
      </c>
      <c r="N7" s="73" t="s">
        <v>18</v>
      </c>
      <c r="O7" s="73" t="s">
        <v>19</v>
      </c>
      <c r="P7" s="74" t="s">
        <v>20</v>
      </c>
      <c r="Q7" s="73" t="s">
        <v>12</v>
      </c>
      <c r="R7" s="23"/>
      <c r="S7" s="23"/>
      <c r="T7" s="23"/>
      <c r="U7" s="23"/>
      <c r="V7" s="23"/>
      <c r="W7" s="23"/>
      <c r="X7" s="23"/>
      <c r="Y7" s="23"/>
      <c r="Z7" s="23"/>
      <c r="AA7" s="23"/>
      <c r="AB7" s="23"/>
      <c r="AC7" s="23"/>
      <c r="AD7" s="23"/>
      <c r="AE7" s="23"/>
      <c r="AF7" s="20"/>
      <c r="AG7" s="20"/>
      <c r="AH7" s="20"/>
      <c r="AI7" s="20"/>
      <c r="AJ7" s="20"/>
      <c r="AK7" s="20"/>
      <c r="AL7" s="20"/>
      <c r="AM7" s="20"/>
      <c r="AN7" s="20"/>
      <c r="AO7" s="20"/>
      <c r="AP7" s="20"/>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1:106" ht="13.5" thickBot="1">
      <c r="B8" s="95" t="str">
        <f>C8</f>
        <v>Green Motors Program Rewind vs. Standard Practice:  Motor size 15HP, Agricultural</v>
      </c>
      <c r="C8" s="233" t="s">
        <v>258</v>
      </c>
      <c r="D8" s="102">
        <f>SavingsAnalysis!AI13</f>
        <v>317.20063698333979</v>
      </c>
      <c r="E8">
        <f>Life!D11</f>
        <v>18</v>
      </c>
      <c r="F8">
        <f>CostAnalysis!N11</f>
        <v>115.346</v>
      </c>
      <c r="G8" s="96"/>
      <c r="H8" t="s">
        <v>137</v>
      </c>
      <c r="J8" s="96"/>
      <c r="K8" s="96"/>
      <c r="P8" s="75"/>
    </row>
    <row r="9" spans="1:106" ht="13.5" thickBot="1">
      <c r="B9" s="95" t="str">
        <f t="shared" ref="B9:B41" si="0">C9</f>
        <v>Green Motors Program Rewind vs. Standard Practice:  Motor size 20HP, Agricultural</v>
      </c>
      <c r="C9" s="233" t="s">
        <v>259</v>
      </c>
      <c r="D9" s="102">
        <f>SavingsAnalysis!AI14</f>
        <v>424.74405122567379</v>
      </c>
      <c r="E9">
        <f>Life!D12</f>
        <v>18</v>
      </c>
      <c r="F9">
        <f>CostAnalysis!N12</f>
        <v>114.98666666666668</v>
      </c>
      <c r="G9" s="98"/>
      <c r="H9" s="98" t="s">
        <v>137</v>
      </c>
      <c r="J9" s="98"/>
      <c r="K9" s="98"/>
      <c r="P9" s="75"/>
    </row>
    <row r="10" spans="1:106" ht="13.5" thickBot="1">
      <c r="B10" s="95" t="str">
        <f t="shared" si="0"/>
        <v>Green Motors Program Rewind vs. Standard Practice:  Motor size 25HP, Agricultural</v>
      </c>
      <c r="C10" s="233" t="s">
        <v>260</v>
      </c>
      <c r="D10" s="102">
        <f>SavingsAnalysis!AI15</f>
        <v>594.72164703874898</v>
      </c>
      <c r="E10">
        <f>Life!D13</f>
        <v>17</v>
      </c>
      <c r="F10">
        <f>CostAnalysis!N13</f>
        <v>149.12333333333336</v>
      </c>
      <c r="G10" s="98"/>
      <c r="H10" s="98" t="s">
        <v>137</v>
      </c>
      <c r="J10" s="98"/>
      <c r="K10" s="98"/>
      <c r="P10" s="75"/>
    </row>
    <row r="11" spans="1:106" ht="13.5" thickBot="1">
      <c r="B11" s="95" t="str">
        <f t="shared" si="0"/>
        <v>Green Motors Program Rewind vs. Standard Practice:  Motor size 30HP, Agricultural</v>
      </c>
      <c r="C11" s="233" t="s">
        <v>261</v>
      </c>
      <c r="D11" s="102">
        <f>SavingsAnalysis!AI16</f>
        <v>640.45084575817361</v>
      </c>
      <c r="E11">
        <f>Life!D14</f>
        <v>17</v>
      </c>
      <c r="F11">
        <f>CostAnalysis!N14</f>
        <v>166.37133333333335</v>
      </c>
      <c r="G11" s="98"/>
      <c r="H11" s="98" t="s">
        <v>137</v>
      </c>
      <c r="J11" s="98"/>
      <c r="K11" s="98"/>
    </row>
    <row r="12" spans="1:106" ht="13.5" thickBot="1">
      <c r="B12" s="95" t="str">
        <f t="shared" si="0"/>
        <v>Green Motors Program Rewind vs. Standard Practice:  Motor size 40HP, Agricultural</v>
      </c>
      <c r="C12" s="233" t="s">
        <v>262</v>
      </c>
      <c r="D12" s="102">
        <f>SavingsAnalysis!AI17</f>
        <v>745.77064709480817</v>
      </c>
      <c r="E12">
        <f>Life!D15</f>
        <v>17</v>
      </c>
      <c r="F12">
        <f>CostAnalysis!N15</f>
        <v>190.08733333333336</v>
      </c>
      <c r="G12" s="98"/>
      <c r="H12" s="98" t="s">
        <v>137</v>
      </c>
      <c r="J12" s="98"/>
      <c r="K12" s="98"/>
    </row>
    <row r="13" spans="1:106" ht="13.5" thickBot="1">
      <c r="B13" s="95" t="str">
        <f t="shared" si="0"/>
        <v>Green Motors Program Rewind vs. Standard Practice:  Motor size 50HP, Agricultural</v>
      </c>
      <c r="C13" s="233" t="s">
        <v>263</v>
      </c>
      <c r="D13" s="102">
        <f>SavingsAnalysis!AI18</f>
        <v>801.85271513185091</v>
      </c>
      <c r="E13">
        <f>Life!D16</f>
        <v>17</v>
      </c>
      <c r="F13">
        <f>CostAnalysis!N16</f>
        <v>208.77266666666668</v>
      </c>
      <c r="G13" s="98"/>
      <c r="H13" s="98" t="s">
        <v>137</v>
      </c>
      <c r="J13" s="98"/>
      <c r="K13" s="98"/>
    </row>
    <row r="14" spans="1:106" ht="13.5" thickBot="1">
      <c r="B14" s="95" t="str">
        <f t="shared" si="0"/>
        <v>Green Motors Program Rewind vs. Standard Practice:  Motor size 60HP, Agricultural</v>
      </c>
      <c r="C14" s="233" t="s">
        <v>264</v>
      </c>
      <c r="D14" s="102">
        <f>SavingsAnalysis!AI19</f>
        <v>765.28971916213288</v>
      </c>
      <c r="E14">
        <f>Life!D17</f>
        <v>20</v>
      </c>
      <c r="F14">
        <f>CostAnalysis!N17</f>
        <v>255.12666666666667</v>
      </c>
      <c r="G14" s="98"/>
      <c r="H14" s="98" t="s">
        <v>137</v>
      </c>
      <c r="J14" s="98"/>
      <c r="K14" s="98"/>
    </row>
    <row r="15" spans="1:106" ht="13.5" thickBot="1">
      <c r="B15" s="95" t="str">
        <f t="shared" si="0"/>
        <v>Green Motors Program Rewind vs. Standard Practice:  Motor size 75HP, Agricultural</v>
      </c>
      <c r="C15" s="233" t="s">
        <v>265</v>
      </c>
      <c r="D15" s="102">
        <f>SavingsAnalysis!AI20</f>
        <v>787.56249081075168</v>
      </c>
      <c r="E15">
        <f>Life!D18</f>
        <v>20</v>
      </c>
      <c r="F15">
        <f>CostAnalysis!N18</f>
        <v>282.43600000000004</v>
      </c>
      <c r="G15" s="98"/>
      <c r="H15" s="98" t="s">
        <v>137</v>
      </c>
      <c r="J15" s="98"/>
      <c r="K15" s="98"/>
    </row>
    <row r="16" spans="1:106" ht="13.5" thickBot="1">
      <c r="B16" s="95" t="str">
        <f t="shared" si="0"/>
        <v>Green Motors Program Rewind vs. Standard Practice:  Motor size 100HP, Agricultural</v>
      </c>
      <c r="C16" s="233" t="s">
        <v>266</v>
      </c>
      <c r="D16" s="102">
        <f>SavingsAnalysis!AI21</f>
        <v>1039.5442662823673</v>
      </c>
      <c r="E16">
        <f>Life!D19</f>
        <v>20</v>
      </c>
      <c r="F16">
        <f>CostAnalysis!N19</f>
        <v>333.10200000000003</v>
      </c>
      <c r="G16" s="98"/>
      <c r="H16" s="98" t="s">
        <v>137</v>
      </c>
      <c r="J16" s="98"/>
      <c r="K16" s="98"/>
    </row>
    <row r="17" spans="2:16" ht="13.5" thickBot="1">
      <c r="B17" s="95" t="str">
        <f t="shared" si="0"/>
        <v>Green Motors Program Rewind vs. Standard Practice:  Motor size 125HP, Agricultural</v>
      </c>
      <c r="C17" s="233" t="s">
        <v>267</v>
      </c>
      <c r="D17" s="102">
        <f>SavingsAnalysis!AI22</f>
        <v>1157.1149728950259</v>
      </c>
      <c r="E17">
        <f>Life!D20</f>
        <v>20</v>
      </c>
      <c r="F17">
        <f>CostAnalysis!N20</f>
        <v>360.05200000000002</v>
      </c>
      <c r="G17" s="98"/>
      <c r="H17" s="98" t="s">
        <v>137</v>
      </c>
      <c r="J17" s="98"/>
      <c r="K17" s="98"/>
    </row>
    <row r="18" spans="2:16" ht="13.5" thickBot="1">
      <c r="B18" s="95" t="str">
        <f t="shared" si="0"/>
        <v>Green Motors Program Rewind vs. Standard Practice:  Motor size 150HP, Agricultural</v>
      </c>
      <c r="C18" s="233" t="s">
        <v>268</v>
      </c>
      <c r="D18" s="102">
        <f>SavingsAnalysis!AI23</f>
        <v>1375.738818122496</v>
      </c>
      <c r="E18">
        <f>Life!D21</f>
        <v>20</v>
      </c>
      <c r="F18">
        <f>CostAnalysis!N21</f>
        <v>446.65133333333335</v>
      </c>
      <c r="G18" s="98"/>
      <c r="H18" s="98" t="s">
        <v>137</v>
      </c>
      <c r="J18" s="98"/>
      <c r="K18" s="98"/>
    </row>
    <row r="19" spans="2:16" ht="13.5" thickBot="1">
      <c r="B19" s="95" t="str">
        <f t="shared" si="0"/>
        <v>Green Motors Program Rewind vs. Standard Practice:  Motor size 200HP, Agricultural</v>
      </c>
      <c r="C19" s="233" t="s">
        <v>269</v>
      </c>
      <c r="D19" s="102">
        <f>SavingsAnalysis!AI24</f>
        <v>1820.5989174882707</v>
      </c>
      <c r="E19">
        <f>Life!D22</f>
        <v>20</v>
      </c>
      <c r="F19">
        <f>CostAnalysis!N22</f>
        <v>501.62933333333336</v>
      </c>
      <c r="G19" s="100"/>
      <c r="H19" s="100" t="s">
        <v>137</v>
      </c>
      <c r="J19" s="100"/>
      <c r="K19" s="100"/>
    </row>
    <row r="20" spans="2:16" ht="13.5" thickBot="1">
      <c r="B20" s="95" t="str">
        <f t="shared" si="0"/>
        <v>Green Motors Program Rewind vs. Standard Practice:  Motor size 250HP, Agricultural</v>
      </c>
      <c r="C20" s="233" t="s">
        <v>270</v>
      </c>
      <c r="D20" s="102">
        <f>SavingsAnalysis!AI25</f>
        <v>2822.9975622897232</v>
      </c>
      <c r="E20">
        <f>Life!D23</f>
        <v>19</v>
      </c>
      <c r="F20">
        <f>CostAnalysis!N23</f>
        <v>558.76333333333343</v>
      </c>
      <c r="G20" s="96"/>
      <c r="H20" t="s">
        <v>137</v>
      </c>
      <c r="J20" s="96"/>
      <c r="K20" s="96"/>
      <c r="P20" s="75"/>
    </row>
    <row r="21" spans="2:16" ht="13.5" thickBot="1">
      <c r="B21" s="95" t="str">
        <f t="shared" si="0"/>
        <v>Green Motors Program Rewind vs. Standard Practice:  Motor size 300HP, Agricultural</v>
      </c>
      <c r="C21" s="233" t="s">
        <v>271</v>
      </c>
      <c r="D21" s="102">
        <f>SavingsAnalysis!AI26</f>
        <v>3370.0326425555781</v>
      </c>
      <c r="E21">
        <f>Life!D24</f>
        <v>19</v>
      </c>
      <c r="F21">
        <f>CostAnalysis!N24</f>
        <v>672.67200000000003</v>
      </c>
      <c r="G21" s="98"/>
      <c r="H21" s="98" t="s">
        <v>137</v>
      </c>
      <c r="J21" s="98"/>
      <c r="K21" s="98"/>
      <c r="P21" s="75"/>
    </row>
    <row r="22" spans="2:16" ht="13.5" thickBot="1">
      <c r="B22" s="95" t="str">
        <f t="shared" si="0"/>
        <v>Green Motors Program Rewind vs. Standard Practice:  Motor size 350HP, Agricultural</v>
      </c>
      <c r="C22" s="233" t="s">
        <v>272</v>
      </c>
      <c r="D22" s="102">
        <f>SavingsAnalysis!AI27</f>
        <v>3928.7782271476267</v>
      </c>
      <c r="E22">
        <f>Life!D25</f>
        <v>19</v>
      </c>
      <c r="F22">
        <f>CostAnalysis!N25</f>
        <v>864.55600000000004</v>
      </c>
      <c r="G22" s="98"/>
      <c r="H22" s="98" t="s">
        <v>137</v>
      </c>
      <c r="J22" s="98"/>
      <c r="K22" s="98"/>
      <c r="P22" s="75"/>
    </row>
    <row r="23" spans="2:16" ht="13.5" thickBot="1">
      <c r="B23" s="95" t="str">
        <f t="shared" si="0"/>
        <v>Green Motors Program Rewind vs. Standard Practice:  Motor size 400HP, Agricultural</v>
      </c>
      <c r="C23" s="233" t="s">
        <v>273</v>
      </c>
      <c r="D23" s="102">
        <f>SavingsAnalysis!AI28</f>
        <v>4456.2927495024824</v>
      </c>
      <c r="E23">
        <f>Life!D26</f>
        <v>19</v>
      </c>
      <c r="F23">
        <f>CostAnalysis!N26</f>
        <v>873.89866666666671</v>
      </c>
      <c r="G23" s="98"/>
      <c r="H23" s="98" t="s">
        <v>137</v>
      </c>
      <c r="J23" s="98"/>
      <c r="K23" s="98"/>
    </row>
    <row r="24" spans="2:16" ht="13.5" thickBot="1">
      <c r="B24" s="95" t="str">
        <f t="shared" si="0"/>
        <v>Green Motors Program Rewind vs. Standard Practice:  Motor size 450HP, Agricultural</v>
      </c>
      <c r="C24" s="233" t="s">
        <v>274</v>
      </c>
      <c r="D24" s="102">
        <f>SavingsAnalysis!AI29</f>
        <v>5003.1640456837094</v>
      </c>
      <c r="E24">
        <f>Life!D27</f>
        <v>19</v>
      </c>
      <c r="F24">
        <f>CostAnalysis!N27</f>
        <v>915.94066666666663</v>
      </c>
      <c r="G24" s="98"/>
      <c r="H24" s="98" t="s">
        <v>137</v>
      </c>
      <c r="J24" s="98"/>
      <c r="K24" s="98"/>
    </row>
    <row r="25" spans="2:16" ht="13.5" thickBot="1">
      <c r="B25" s="95" t="str">
        <f t="shared" si="0"/>
        <v>Green Motors Program Rewind vs. Standard Practice:  Motor size 500HP, Agricultural</v>
      </c>
      <c r="C25" s="233" t="s">
        <v>275</v>
      </c>
      <c r="D25" s="102">
        <f>SavingsAnalysis!AI30</f>
        <v>5566.9154426317937</v>
      </c>
      <c r="E25">
        <f>Life!D28</f>
        <v>19</v>
      </c>
      <c r="F25">
        <f>CostAnalysis!N28</f>
        <v>1023.022</v>
      </c>
      <c r="G25" s="98"/>
      <c r="H25" s="98" t="s">
        <v>137</v>
      </c>
      <c r="J25" s="98"/>
      <c r="K25" s="98"/>
    </row>
    <row r="26" spans="2:16" ht="13.5" thickBot="1">
      <c r="B26" s="95" t="str">
        <f t="shared" si="0"/>
        <v>Green Motors Program Rewind vs. Standard Practice:  Motor size 600HP, Agricultural</v>
      </c>
      <c r="C26" s="233" t="s">
        <v>276</v>
      </c>
      <c r="D26" s="102">
        <f>SavingsAnalysis!AI31</f>
        <v>6193.2974868977908</v>
      </c>
      <c r="E26">
        <f>Life!D29</f>
        <v>20</v>
      </c>
      <c r="F26">
        <f>CostAnalysis!N29</f>
        <v>1118.2453333333333</v>
      </c>
      <c r="G26" s="98"/>
      <c r="H26" s="98" t="s">
        <v>137</v>
      </c>
      <c r="J26" s="98"/>
      <c r="K26" s="98"/>
    </row>
    <row r="27" spans="2:16" ht="13.5" thickBot="1">
      <c r="B27" s="95" t="str">
        <f t="shared" si="0"/>
        <v>Green Motors Program Rewind vs. Standard Practice:  Motor size 700HP, Agricultural</v>
      </c>
      <c r="C27" s="233" t="s">
        <v>277</v>
      </c>
      <c r="D27" s="102">
        <f>SavingsAnalysis!AI32</f>
        <v>7194.848242811393</v>
      </c>
      <c r="E27">
        <f>Life!D30</f>
        <v>20</v>
      </c>
      <c r="F27">
        <f>CostAnalysis!N30</f>
        <v>1208.0786666666668</v>
      </c>
      <c r="G27" s="98"/>
      <c r="H27" s="98" t="s">
        <v>137</v>
      </c>
      <c r="J27" s="98"/>
      <c r="K27" s="98"/>
    </row>
    <row r="28" spans="2:16" ht="13.5" thickBot="1">
      <c r="B28" s="95" t="str">
        <f t="shared" si="0"/>
        <v>Green Motors Program Rewind vs. Standard Practice:  Motor size 800HP, Agricultural</v>
      </c>
      <c r="C28" s="233" t="s">
        <v>278</v>
      </c>
      <c r="D28" s="102">
        <f>SavingsAnalysis!AI33</f>
        <v>8205.2441742653027</v>
      </c>
      <c r="E28">
        <f>Life!D31</f>
        <v>20</v>
      </c>
      <c r="F28">
        <f>CostAnalysis!N31</f>
        <v>1780.2609439999985</v>
      </c>
      <c r="G28" s="98"/>
      <c r="H28" s="98" t="s">
        <v>137</v>
      </c>
      <c r="J28" s="98"/>
      <c r="K28" s="98"/>
    </row>
    <row r="29" spans="2:16" ht="13.5" thickBot="1">
      <c r="B29" s="95" t="str">
        <f t="shared" si="0"/>
        <v>Green Motors Program Rewind vs. Standard Practice:  Motor size 900HP, Agricultural</v>
      </c>
      <c r="C29" s="233" t="s">
        <v>279</v>
      </c>
      <c r="D29" s="102">
        <f>SavingsAnalysis!AI34</f>
        <v>9211.3425733500626</v>
      </c>
      <c r="E29">
        <f>Life!D32</f>
        <v>20</v>
      </c>
      <c r="F29">
        <f>CostAnalysis!N32</f>
        <v>1942.2627839999993</v>
      </c>
      <c r="G29" s="98"/>
      <c r="H29" s="98" t="s">
        <v>137</v>
      </c>
      <c r="J29" s="98"/>
      <c r="K29" s="98"/>
    </row>
    <row r="30" spans="2:16" ht="13.5" thickBot="1">
      <c r="B30" s="95" t="str">
        <f t="shared" si="0"/>
        <v>Green Motors Program Rewind vs. Standard Practice:  Motor size 1000HP, Agricultural</v>
      </c>
      <c r="C30" s="233" t="s">
        <v>280</v>
      </c>
      <c r="D30" s="102">
        <f>SavingsAnalysis!AI35</f>
        <v>10191.571472676937</v>
      </c>
      <c r="E30">
        <f>Life!D33</f>
        <v>20</v>
      </c>
      <c r="F30">
        <f>CostAnalysis!N33</f>
        <v>2154.9909919999986</v>
      </c>
      <c r="G30" s="98"/>
      <c r="H30" s="98" t="s">
        <v>137</v>
      </c>
      <c r="J30" s="98"/>
      <c r="K30" s="98"/>
    </row>
    <row r="31" spans="2:16" ht="13.5" thickBot="1">
      <c r="B31" s="95" t="str">
        <f t="shared" si="0"/>
        <v>Green Motors Program Rewind vs. Standard Practice:  Motor size 1250HP, Agricultural</v>
      </c>
      <c r="C31" s="233" t="s">
        <v>281</v>
      </c>
      <c r="D31" s="102">
        <f>SavingsAnalysis!AI36</f>
        <v>10589.834586466663</v>
      </c>
      <c r="E31">
        <f>Life!D34</f>
        <v>20</v>
      </c>
      <c r="F31">
        <f>CostAnalysis!N34</f>
        <v>2375.7826399999994</v>
      </c>
      <c r="G31" s="100"/>
      <c r="H31" s="100" t="s">
        <v>137</v>
      </c>
      <c r="J31" s="100"/>
      <c r="K31" s="100"/>
    </row>
    <row r="32" spans="2:16" ht="13.5" thickBot="1">
      <c r="B32" s="95" t="str">
        <f t="shared" si="0"/>
        <v>Green Motors Program Rewind vs. Standard Practice:  Motor size 1500HP, Agricultural</v>
      </c>
      <c r="C32" s="233" t="s">
        <v>282</v>
      </c>
      <c r="D32" s="102">
        <f>SavingsAnalysis!AI37</f>
        <v>12681.019867814612</v>
      </c>
      <c r="E32">
        <f>Life!D35</f>
        <v>20</v>
      </c>
      <c r="F32">
        <f>CostAnalysis!N35</f>
        <v>2560.3621119999993</v>
      </c>
      <c r="G32" s="96"/>
      <c r="H32" s="96" t="s">
        <v>137</v>
      </c>
      <c r="J32" s="96"/>
      <c r="K32" s="96"/>
    </row>
    <row r="33" spans="2:11" ht="13.5" thickBot="1">
      <c r="B33" s="95" t="str">
        <f t="shared" si="0"/>
        <v>Green Motors Program Rewind vs. Standard Practice:  Motor size 1750HP, Agricultural</v>
      </c>
      <c r="C33" s="233" t="s">
        <v>283</v>
      </c>
      <c r="D33" s="102">
        <f>SavingsAnalysis!AI38</f>
        <v>14732.328290408477</v>
      </c>
      <c r="E33">
        <f>Life!D36</f>
        <v>20</v>
      </c>
      <c r="F33">
        <f>CostAnalysis!N36</f>
        <v>3058.5360960000003</v>
      </c>
      <c r="G33" s="98"/>
      <c r="H33" s="98" t="s">
        <v>137</v>
      </c>
      <c r="J33" s="98"/>
      <c r="K33" s="98"/>
    </row>
    <row r="34" spans="2:11" ht="13.5" thickBot="1">
      <c r="B34" s="95" t="str">
        <f t="shared" si="0"/>
        <v>Green Motors Program Rewind vs. Standard Practice:  Motor size 2000HP, Agricultural</v>
      </c>
      <c r="C34" s="233" t="s">
        <v>284</v>
      </c>
      <c r="D34" s="102">
        <f>SavingsAnalysis!AI39</f>
        <v>16766.314025902189</v>
      </c>
      <c r="E34">
        <f>Life!D37</f>
        <v>20</v>
      </c>
      <c r="F34">
        <f>CostAnalysis!N37</f>
        <v>3503.6379840000009</v>
      </c>
      <c r="G34" s="98"/>
      <c r="H34" s="98" t="s">
        <v>137</v>
      </c>
      <c r="J34" s="98"/>
      <c r="K34" s="98"/>
    </row>
    <row r="35" spans="2:11" ht="13.5" thickBot="1">
      <c r="B35" s="95" t="str">
        <f t="shared" si="0"/>
        <v>Green Motors Program Rewind vs. Standard Practice:  Motor size 2250HP, Agricultural</v>
      </c>
      <c r="C35" s="233" t="s">
        <v>285</v>
      </c>
      <c r="D35" s="102">
        <f>SavingsAnalysis!AI40</f>
        <v>18743.845060209744</v>
      </c>
      <c r="E35">
        <f>Life!D38</f>
        <v>20</v>
      </c>
      <c r="F35">
        <f>CostAnalysis!N38</f>
        <v>3998.8798080000001</v>
      </c>
      <c r="G35" s="98"/>
      <c r="H35" s="98" t="s">
        <v>137</v>
      </c>
      <c r="J35" s="98"/>
      <c r="K35" s="98"/>
    </row>
    <row r="36" spans="2:11" ht="13.5" thickBot="1">
      <c r="B36" s="95" t="str">
        <f t="shared" si="0"/>
        <v>Green Motors Program Rewind vs. Standard Practice:  Motor size 2500HP, Agricultural</v>
      </c>
      <c r="C36" s="233" t="s">
        <v>286</v>
      </c>
      <c r="D36" s="102">
        <f>SavingsAnalysis!AI41</f>
        <v>20782.969681468327</v>
      </c>
      <c r="E36">
        <f>Life!D39</f>
        <v>20</v>
      </c>
      <c r="F36">
        <f>CostAnalysis!N39</f>
        <v>4485.7649759999995</v>
      </c>
      <c r="G36" s="98"/>
      <c r="H36" s="98" t="s">
        <v>137</v>
      </c>
      <c r="J36" s="98"/>
      <c r="K36" s="98"/>
    </row>
    <row r="37" spans="2:11" ht="13.5" thickBot="1">
      <c r="B37" s="95" t="str">
        <f t="shared" si="0"/>
        <v>Green Motors Program Rewind vs. Standard Practice:  Motor size 3000HP, Agricultural</v>
      </c>
      <c r="C37" s="233" t="s">
        <v>287</v>
      </c>
      <c r="D37" s="102">
        <f>SavingsAnalysis!AI42</f>
        <v>24783.852866611443</v>
      </c>
      <c r="E37">
        <f>Life!D40</f>
        <v>20</v>
      </c>
      <c r="F37">
        <f>CostAnalysis!N40</f>
        <v>4886.884463999997</v>
      </c>
      <c r="G37" s="98"/>
      <c r="H37" s="98" t="s">
        <v>137</v>
      </c>
      <c r="J37" s="98"/>
      <c r="K37" s="98"/>
    </row>
    <row r="38" spans="2:11" ht="13.5" thickBot="1">
      <c r="B38" s="95" t="str">
        <f t="shared" si="0"/>
        <v>Green Motors Program Rewind vs. Standard Practice:  Motor size 3500HP, Agricultural</v>
      </c>
      <c r="C38" s="233" t="s">
        <v>288</v>
      </c>
      <c r="D38" s="102">
        <f>SavingsAnalysis!AI43</f>
        <v>28854.318771584891</v>
      </c>
      <c r="E38">
        <f>Life!D41</f>
        <v>20</v>
      </c>
      <c r="F38">
        <f>CostAnalysis!N41</f>
        <v>5346.6471519999959</v>
      </c>
      <c r="G38" s="98"/>
      <c r="H38" s="98" t="s">
        <v>137</v>
      </c>
      <c r="J38" s="98"/>
      <c r="K38" s="98"/>
    </row>
    <row r="39" spans="2:11" ht="13.5" thickBot="1">
      <c r="B39" s="95" t="str">
        <f t="shared" si="0"/>
        <v>Green Motors Program Rewind vs. Standard Practice:  Motor size 4000HP, Agricultural</v>
      </c>
      <c r="C39" s="233" t="s">
        <v>289</v>
      </c>
      <c r="D39" s="102">
        <f>SavingsAnalysis!AI44</f>
        <v>32976.364310381934</v>
      </c>
      <c r="E39">
        <f>Life!D42</f>
        <v>20</v>
      </c>
      <c r="F39">
        <f>CostAnalysis!N42</f>
        <v>6251.2185119999949</v>
      </c>
      <c r="G39" s="98"/>
      <c r="H39" s="98" t="s">
        <v>137</v>
      </c>
      <c r="J39" s="98"/>
      <c r="K39" s="98"/>
    </row>
    <row r="40" spans="2:11" ht="13.5" thickBot="1">
      <c r="B40" s="95" t="str">
        <f t="shared" si="0"/>
        <v>Green Motors Program Rewind vs. Standard Practice:  Motor size 4500HP, Agricultural</v>
      </c>
      <c r="C40" s="233" t="s">
        <v>290</v>
      </c>
      <c r="D40" s="102">
        <f>SavingsAnalysis!AI45</f>
        <v>37021.281677403487</v>
      </c>
      <c r="E40">
        <f>Life!D43</f>
        <v>20</v>
      </c>
      <c r="F40">
        <f>CostAnalysis!N43</f>
        <v>6907.8757439999954</v>
      </c>
      <c r="G40" s="98"/>
      <c r="H40" s="98" t="s">
        <v>137</v>
      </c>
      <c r="J40" s="98"/>
      <c r="K40" s="98"/>
    </row>
    <row r="41" spans="2:11">
      <c r="B41" s="95" t="str">
        <f t="shared" si="0"/>
        <v>Green Motors Program Rewind vs. Standard Practice:  Motor size 5000HP, Agricultural</v>
      </c>
      <c r="C41" s="233" t="s">
        <v>291</v>
      </c>
      <c r="D41" s="102">
        <f>SavingsAnalysis!AI46</f>
        <v>41049.32642487064</v>
      </c>
      <c r="E41">
        <f>Life!D44</f>
        <v>20</v>
      </c>
      <c r="F41">
        <f>CostAnalysis!N44</f>
        <v>7712.3138399999989</v>
      </c>
      <c r="G41" s="98"/>
      <c r="H41" s="98" t="s">
        <v>137</v>
      </c>
      <c r="J41" s="98"/>
      <c r="K41" s="98"/>
    </row>
    <row r="42" spans="2:11">
      <c r="B42" s="97"/>
      <c r="C42" s="98"/>
      <c r="D42" s="103"/>
      <c r="E42" s="98"/>
      <c r="F42" s="106"/>
      <c r="G42" s="98"/>
      <c r="H42" s="98"/>
      <c r="I42" s="108"/>
      <c r="J42" s="98"/>
      <c r="K42" s="98"/>
    </row>
    <row r="43" spans="2:11" ht="13.5" thickBot="1">
      <c r="B43" s="99"/>
      <c r="C43" s="100"/>
      <c r="D43" s="104"/>
      <c r="E43" s="100"/>
      <c r="F43" s="107"/>
      <c r="G43" s="100"/>
      <c r="H43" s="100"/>
      <c r="I43" s="109"/>
      <c r="J43" s="100"/>
      <c r="K43" s="100"/>
    </row>
    <row r="44" spans="2:11">
      <c r="B44" s="95"/>
      <c r="C44" s="96"/>
      <c r="D44" s="102"/>
      <c r="E44" s="96"/>
      <c r="F44" s="105"/>
      <c r="G44" s="96"/>
      <c r="H44" s="96"/>
      <c r="I44" s="101"/>
      <c r="J44" s="96"/>
      <c r="K44" s="96"/>
    </row>
    <row r="45" spans="2:11">
      <c r="B45" s="97"/>
      <c r="C45" s="98"/>
      <c r="D45" s="103"/>
      <c r="E45" s="98"/>
      <c r="F45" s="106"/>
      <c r="G45" s="98"/>
      <c r="H45" s="98"/>
      <c r="I45" s="108"/>
      <c r="J45" s="98"/>
      <c r="K45" s="98"/>
    </row>
    <row r="46" spans="2:11">
      <c r="B46" s="97"/>
      <c r="C46" s="98"/>
      <c r="D46" s="103"/>
      <c r="E46" s="98"/>
      <c r="F46" s="106"/>
      <c r="G46" s="98"/>
      <c r="H46" s="98"/>
      <c r="I46" s="108"/>
      <c r="J46" s="98"/>
      <c r="K46" s="98"/>
    </row>
    <row r="47" spans="2:11">
      <c r="B47" s="97"/>
      <c r="C47" s="98"/>
      <c r="D47" s="103"/>
      <c r="E47" s="98"/>
      <c r="F47" s="106"/>
      <c r="G47" s="98"/>
      <c r="H47" s="98"/>
      <c r="I47" s="108"/>
      <c r="J47" s="98"/>
      <c r="K47" s="98"/>
    </row>
    <row r="48" spans="2:11">
      <c r="B48" s="97"/>
      <c r="C48" s="98"/>
      <c r="D48" s="103"/>
      <c r="E48" s="98"/>
      <c r="F48" s="106"/>
      <c r="G48" s="98"/>
      <c r="H48" s="98"/>
      <c r="I48" s="108"/>
      <c r="J48" s="98"/>
      <c r="K48" s="98"/>
    </row>
    <row r="49" spans="2:11">
      <c r="B49" s="97"/>
      <c r="C49" s="98"/>
      <c r="D49" s="103"/>
      <c r="E49" s="98"/>
      <c r="F49" s="106"/>
      <c r="G49" s="98"/>
      <c r="H49" s="98"/>
      <c r="I49" s="108"/>
      <c r="J49" s="98"/>
      <c r="K49" s="98"/>
    </row>
    <row r="50" spans="2:11">
      <c r="B50" s="97"/>
      <c r="C50" s="98"/>
      <c r="D50" s="103"/>
      <c r="E50" s="98"/>
      <c r="F50" s="106"/>
      <c r="G50" s="98"/>
      <c r="H50" s="98"/>
      <c r="I50" s="108"/>
      <c r="J50" s="98"/>
      <c r="K50" s="98"/>
    </row>
    <row r="51" spans="2:11">
      <c r="B51" s="97"/>
      <c r="C51" s="98"/>
      <c r="D51" s="103"/>
      <c r="E51" s="98"/>
      <c r="F51" s="106"/>
      <c r="G51" s="98"/>
      <c r="H51" s="98"/>
      <c r="I51" s="108"/>
      <c r="J51" s="98"/>
      <c r="K51" s="98"/>
    </row>
    <row r="52" spans="2:11">
      <c r="B52" s="97"/>
      <c r="C52" s="98"/>
      <c r="D52" s="103"/>
      <c r="E52" s="98"/>
      <c r="F52" s="106"/>
      <c r="G52" s="98"/>
      <c r="H52" s="98"/>
      <c r="I52" s="108"/>
      <c r="J52" s="98"/>
      <c r="K52" s="98"/>
    </row>
    <row r="53" spans="2:11">
      <c r="B53" s="97"/>
      <c r="C53" s="98"/>
      <c r="D53" s="103"/>
      <c r="E53" s="98"/>
      <c r="F53" s="106"/>
      <c r="G53" s="98"/>
      <c r="H53" s="98"/>
      <c r="I53" s="108"/>
      <c r="J53" s="98"/>
      <c r="K53" s="98"/>
    </row>
    <row r="54" spans="2:11">
      <c r="B54" s="97"/>
      <c r="C54" s="98"/>
      <c r="D54" s="103"/>
      <c r="E54" s="98"/>
      <c r="F54" s="106"/>
      <c r="G54" s="98"/>
      <c r="H54" s="98"/>
      <c r="I54" s="108"/>
      <c r="J54" s="98"/>
      <c r="K54" s="98"/>
    </row>
    <row r="55" spans="2:11" ht="13.5" thickBot="1">
      <c r="B55" s="99"/>
      <c r="C55" s="100"/>
      <c r="D55" s="104"/>
      <c r="E55" s="100"/>
      <c r="F55" s="107"/>
      <c r="G55" s="100"/>
      <c r="H55" s="100"/>
      <c r="I55" s="109"/>
      <c r="J55" s="100"/>
      <c r="K55" s="100"/>
    </row>
    <row r="56" spans="2:11">
      <c r="B56" s="95"/>
      <c r="C56" s="96"/>
      <c r="D56" s="102"/>
      <c r="E56" s="96"/>
      <c r="F56" s="105"/>
      <c r="G56" s="96"/>
      <c r="H56" s="96"/>
      <c r="I56" s="101"/>
      <c r="J56" s="96"/>
      <c r="K56" s="96"/>
    </row>
    <row r="57" spans="2:11">
      <c r="B57" s="97"/>
      <c r="C57" s="98"/>
      <c r="D57" s="103"/>
      <c r="E57" s="98"/>
      <c r="F57" s="106"/>
      <c r="G57" s="98"/>
      <c r="H57" s="98"/>
      <c r="I57" s="108"/>
      <c r="J57" s="98"/>
      <c r="K57" s="98"/>
    </row>
    <row r="58" spans="2:11">
      <c r="B58" s="97"/>
      <c r="C58" s="98"/>
      <c r="D58" s="103"/>
      <c r="E58" s="98"/>
      <c r="F58" s="106"/>
      <c r="G58" s="98"/>
      <c r="H58" s="98"/>
      <c r="I58" s="108"/>
      <c r="J58" s="98"/>
      <c r="K58" s="98"/>
    </row>
    <row r="59" spans="2:11">
      <c r="B59" s="97"/>
      <c r="C59" s="98"/>
      <c r="D59" s="103"/>
      <c r="E59" s="98"/>
      <c r="F59" s="106"/>
      <c r="G59" s="98"/>
      <c r="H59" s="98"/>
      <c r="I59" s="108"/>
      <c r="J59" s="98"/>
      <c r="K59" s="98"/>
    </row>
    <row r="60" spans="2:11">
      <c r="B60" s="97"/>
      <c r="C60" s="98"/>
      <c r="D60" s="103"/>
      <c r="E60" s="98"/>
      <c r="F60" s="106"/>
      <c r="G60" s="98"/>
      <c r="H60" s="98"/>
      <c r="I60" s="108"/>
      <c r="J60" s="98"/>
      <c r="K60" s="98"/>
    </row>
    <row r="61" spans="2:11">
      <c r="B61" s="97"/>
      <c r="C61" s="98"/>
      <c r="D61" s="103"/>
      <c r="E61" s="98"/>
      <c r="F61" s="106"/>
      <c r="G61" s="98"/>
      <c r="H61" s="98"/>
      <c r="I61" s="108"/>
      <c r="J61" s="98"/>
      <c r="K61" s="98"/>
    </row>
    <row r="62" spans="2:11">
      <c r="B62" s="97"/>
      <c r="C62" s="98"/>
      <c r="D62" s="103"/>
      <c r="E62" s="98"/>
      <c r="F62" s="106"/>
      <c r="G62" s="98"/>
      <c r="H62" s="98"/>
      <c r="I62" s="108"/>
      <c r="J62" s="98"/>
      <c r="K62" s="98"/>
    </row>
    <row r="63" spans="2:11">
      <c r="B63" s="97"/>
      <c r="C63" s="98"/>
      <c r="D63" s="103"/>
      <c r="E63" s="98"/>
      <c r="F63" s="106"/>
      <c r="G63" s="98"/>
      <c r="H63" s="98"/>
      <c r="I63" s="108"/>
      <c r="J63" s="98"/>
      <c r="K63" s="98"/>
    </row>
    <row r="64" spans="2:11">
      <c r="B64" s="97"/>
      <c r="C64" s="98"/>
      <c r="D64" s="103"/>
      <c r="E64" s="98"/>
      <c r="F64" s="106"/>
      <c r="G64" s="98"/>
      <c r="H64" s="98"/>
      <c r="I64" s="108"/>
      <c r="J64" s="98"/>
      <c r="K64" s="98"/>
    </row>
    <row r="65" spans="2:11">
      <c r="B65" s="97"/>
      <c r="C65" s="98"/>
      <c r="D65" s="103"/>
      <c r="E65" s="98"/>
      <c r="F65" s="106"/>
      <c r="G65" s="98"/>
      <c r="H65" s="98"/>
      <c r="I65" s="108"/>
      <c r="J65" s="98"/>
      <c r="K65" s="98"/>
    </row>
    <row r="66" spans="2:11">
      <c r="B66" s="97"/>
      <c r="C66" s="98"/>
      <c r="D66" s="103"/>
      <c r="E66" s="98"/>
      <c r="F66" s="106"/>
      <c r="G66" s="98"/>
      <c r="H66" s="98"/>
      <c r="I66" s="108"/>
      <c r="J66" s="98"/>
      <c r="K66" s="98"/>
    </row>
    <row r="67" spans="2:11" ht="13.5" thickBot="1">
      <c r="B67" s="99"/>
      <c r="C67" s="100"/>
      <c r="D67" s="104"/>
      <c r="E67" s="100"/>
      <c r="F67" s="107"/>
      <c r="G67" s="100"/>
      <c r="H67" s="100"/>
      <c r="I67" s="109"/>
      <c r="J67" s="100"/>
      <c r="K67" s="100"/>
    </row>
    <row r="68" spans="2:11">
      <c r="B68" s="95"/>
      <c r="C68" s="96"/>
      <c r="D68" s="102"/>
      <c r="E68" s="96"/>
      <c r="F68" s="105"/>
      <c r="G68" s="96"/>
      <c r="H68" s="96"/>
      <c r="I68" s="101"/>
      <c r="J68" s="96"/>
      <c r="K68" s="96"/>
    </row>
    <row r="69" spans="2:11">
      <c r="B69" s="97"/>
      <c r="C69" s="98"/>
      <c r="D69" s="103"/>
      <c r="E69" s="98"/>
      <c r="F69" s="106"/>
      <c r="G69" s="98"/>
      <c r="H69" s="98"/>
      <c r="I69" s="108"/>
      <c r="J69" s="98"/>
      <c r="K69" s="98"/>
    </row>
    <row r="70" spans="2:11">
      <c r="B70" s="97"/>
      <c r="C70" s="98"/>
      <c r="D70" s="103"/>
      <c r="E70" s="98"/>
      <c r="F70" s="106"/>
      <c r="G70" s="98"/>
      <c r="H70" s="98"/>
      <c r="I70" s="108"/>
      <c r="J70" s="98"/>
      <c r="K70" s="98"/>
    </row>
    <row r="71" spans="2:11">
      <c r="B71" s="97"/>
      <c r="C71" s="98"/>
      <c r="D71" s="103"/>
      <c r="E71" s="98"/>
      <c r="F71" s="106"/>
      <c r="G71" s="98"/>
      <c r="H71" s="98"/>
      <c r="I71" s="108"/>
      <c r="J71" s="98"/>
      <c r="K71" s="98"/>
    </row>
    <row r="72" spans="2:11">
      <c r="B72" s="97"/>
      <c r="C72" s="98"/>
      <c r="D72" s="103"/>
      <c r="E72" s="98"/>
      <c r="F72" s="106"/>
      <c r="G72" s="98"/>
      <c r="H72" s="98"/>
      <c r="I72" s="108"/>
      <c r="J72" s="98"/>
      <c r="K72" s="98"/>
    </row>
    <row r="73" spans="2:11">
      <c r="B73" s="97"/>
      <c r="C73" s="98"/>
      <c r="D73" s="103"/>
      <c r="E73" s="98"/>
      <c r="F73" s="106"/>
      <c r="G73" s="98"/>
      <c r="H73" s="98"/>
      <c r="I73" s="108"/>
      <c r="J73" s="98"/>
      <c r="K73" s="98"/>
    </row>
    <row r="74" spans="2:11">
      <c r="B74" s="97"/>
      <c r="C74" s="98"/>
      <c r="D74" s="103"/>
      <c r="E74" s="98"/>
      <c r="F74" s="106"/>
      <c r="G74" s="98"/>
      <c r="H74" s="98"/>
      <c r="I74" s="108"/>
      <c r="J74" s="98"/>
      <c r="K74" s="98"/>
    </row>
    <row r="75" spans="2:11">
      <c r="B75" s="97"/>
      <c r="C75" s="98"/>
      <c r="D75" s="103"/>
      <c r="E75" s="98"/>
      <c r="F75" s="106"/>
      <c r="G75" s="98"/>
      <c r="H75" s="98"/>
      <c r="I75" s="108"/>
      <c r="J75" s="98"/>
      <c r="K75" s="98"/>
    </row>
    <row r="76" spans="2:11">
      <c r="B76" s="97"/>
      <c r="C76" s="98"/>
      <c r="D76" s="103"/>
      <c r="E76" s="98"/>
      <c r="F76" s="106"/>
      <c r="G76" s="98"/>
      <c r="H76" s="98"/>
      <c r="I76" s="108"/>
      <c r="J76" s="98"/>
      <c r="K76" s="98"/>
    </row>
    <row r="77" spans="2:11">
      <c r="B77" s="97"/>
      <c r="C77" s="98"/>
      <c r="D77" s="103"/>
      <c r="E77" s="98"/>
      <c r="F77" s="106"/>
      <c r="G77" s="98"/>
      <c r="H77" s="98"/>
      <c r="I77" s="108"/>
      <c r="J77" s="98"/>
      <c r="K77" s="98"/>
    </row>
    <row r="78" spans="2:11">
      <c r="B78" s="97"/>
      <c r="C78" s="98"/>
      <c r="D78" s="103"/>
      <c r="E78" s="98"/>
      <c r="F78" s="106"/>
      <c r="G78" s="98"/>
      <c r="H78" s="98"/>
      <c r="I78" s="108"/>
      <c r="J78" s="98"/>
      <c r="K78" s="98"/>
    </row>
    <row r="79" spans="2:11" ht="13.5" thickBot="1">
      <c r="B79" s="99"/>
      <c r="C79" s="100"/>
      <c r="D79" s="104"/>
      <c r="E79" s="100"/>
      <c r="F79" s="107"/>
      <c r="G79" s="100"/>
      <c r="H79" s="100"/>
      <c r="I79" s="109"/>
      <c r="J79" s="100"/>
      <c r="K79" s="100"/>
    </row>
    <row r="80" spans="2:11">
      <c r="B80" s="95"/>
      <c r="C80" s="96"/>
      <c r="D80" s="102"/>
      <c r="E80" s="96"/>
      <c r="F80" s="105"/>
      <c r="G80" s="96"/>
      <c r="H80" s="96"/>
      <c r="I80" s="101"/>
      <c r="J80" s="96"/>
      <c r="K80" s="96"/>
    </row>
    <row r="81" spans="2:11">
      <c r="B81" s="97"/>
      <c r="C81" s="98"/>
      <c r="D81" s="103"/>
      <c r="E81" s="98"/>
      <c r="F81" s="106"/>
      <c r="G81" s="98"/>
      <c r="H81" s="98"/>
      <c r="I81" s="108"/>
      <c r="J81" s="98"/>
      <c r="K81" s="98"/>
    </row>
    <row r="82" spans="2:11">
      <c r="B82" s="97"/>
      <c r="C82" s="98"/>
      <c r="D82" s="103"/>
      <c r="E82" s="98"/>
      <c r="F82" s="106"/>
      <c r="G82" s="98"/>
      <c r="H82" s="98"/>
      <c r="I82" s="108"/>
      <c r="J82" s="98"/>
      <c r="K82" s="98"/>
    </row>
    <row r="83" spans="2:11">
      <c r="B83" s="97"/>
      <c r="C83" s="98"/>
      <c r="D83" s="103"/>
      <c r="E83" s="98"/>
      <c r="F83" s="106"/>
      <c r="G83" s="98"/>
      <c r="H83" s="98"/>
      <c r="I83" s="108"/>
      <c r="J83" s="98"/>
      <c r="K83" s="98"/>
    </row>
    <row r="84" spans="2:11">
      <c r="B84" s="97"/>
      <c r="C84" s="98"/>
      <c r="D84" s="103"/>
      <c r="E84" s="98"/>
      <c r="F84" s="106"/>
      <c r="G84" s="98"/>
      <c r="H84" s="98"/>
      <c r="I84" s="108"/>
      <c r="J84" s="98"/>
      <c r="K84" s="98"/>
    </row>
    <row r="85" spans="2:11">
      <c r="B85" s="97"/>
      <c r="C85" s="98"/>
      <c r="D85" s="103"/>
      <c r="E85" s="98"/>
      <c r="F85" s="106"/>
      <c r="G85" s="98"/>
      <c r="H85" s="98"/>
      <c r="I85" s="98"/>
      <c r="J85" s="98"/>
      <c r="K85" s="98"/>
    </row>
    <row r="86" spans="2:11">
      <c r="B86" s="97"/>
      <c r="C86" s="98"/>
      <c r="D86" s="103"/>
      <c r="E86" s="98"/>
      <c r="F86" s="106"/>
      <c r="G86" s="98"/>
      <c r="H86" s="98"/>
      <c r="I86" s="98"/>
      <c r="J86" s="98"/>
      <c r="K86" s="98"/>
    </row>
    <row r="87" spans="2:11">
      <c r="B87" s="97"/>
      <c r="C87" s="98"/>
      <c r="D87" s="103"/>
      <c r="E87" s="98"/>
      <c r="F87" s="106"/>
      <c r="G87" s="98"/>
      <c r="H87" s="98"/>
      <c r="I87" s="98"/>
      <c r="J87" s="98"/>
      <c r="K87" s="98"/>
    </row>
    <row r="88" spans="2:11">
      <c r="B88" s="97"/>
      <c r="C88" s="98"/>
      <c r="D88" s="103"/>
      <c r="E88" s="98"/>
      <c r="F88" s="106"/>
      <c r="G88" s="98"/>
      <c r="H88" s="98"/>
      <c r="I88" s="98"/>
      <c r="J88" s="98"/>
      <c r="K88" s="98"/>
    </row>
    <row r="89" spans="2:11">
      <c r="B89" s="97"/>
      <c r="C89" s="98"/>
      <c r="D89" s="103"/>
      <c r="E89" s="98"/>
      <c r="F89" s="106"/>
      <c r="G89" s="98"/>
      <c r="H89" s="98"/>
      <c r="I89" s="98"/>
      <c r="J89" s="98"/>
      <c r="K89" s="98"/>
    </row>
    <row r="90" spans="2:11">
      <c r="B90" s="97"/>
      <c r="C90" s="98"/>
      <c r="D90" s="103"/>
      <c r="E90" s="98"/>
      <c r="F90" s="106"/>
      <c r="G90" s="98"/>
      <c r="H90" s="98"/>
      <c r="I90" s="98"/>
      <c r="J90" s="98"/>
      <c r="K90" s="98"/>
    </row>
    <row r="91" spans="2:11" ht="13.5" thickBot="1">
      <c r="B91" s="99"/>
      <c r="C91" s="100"/>
      <c r="D91" s="104"/>
      <c r="E91" s="100"/>
      <c r="F91" s="107"/>
      <c r="G91" s="100"/>
      <c r="H91" s="100"/>
      <c r="I91" s="100"/>
      <c r="J91" s="100"/>
      <c r="K91" s="100"/>
    </row>
    <row r="92" spans="2:11">
      <c r="B92" s="95"/>
      <c r="C92" s="96"/>
      <c r="D92" s="102"/>
      <c r="E92" s="96"/>
      <c r="F92" s="105"/>
      <c r="G92" s="96"/>
      <c r="H92" s="96"/>
      <c r="I92" s="96"/>
      <c r="J92" s="96"/>
      <c r="K92" s="96"/>
    </row>
    <row r="93" spans="2:11">
      <c r="B93" s="97"/>
      <c r="C93" s="98"/>
      <c r="D93" s="103"/>
      <c r="E93" s="98"/>
      <c r="F93" s="106"/>
      <c r="G93" s="98"/>
      <c r="H93" s="98"/>
      <c r="I93" s="98"/>
      <c r="J93" s="98"/>
      <c r="K93" s="98"/>
    </row>
    <row r="94" spans="2:11">
      <c r="B94" s="97"/>
      <c r="C94" s="98"/>
      <c r="D94" s="103"/>
      <c r="E94" s="98"/>
      <c r="F94" s="106"/>
      <c r="G94" s="98"/>
      <c r="H94" s="98"/>
      <c r="I94" s="98"/>
      <c r="J94" s="98"/>
      <c r="K94" s="98"/>
    </row>
    <row r="95" spans="2:11">
      <c r="B95" s="97"/>
      <c r="C95" s="98"/>
      <c r="D95" s="103"/>
      <c r="E95" s="98"/>
      <c r="F95" s="106"/>
      <c r="G95" s="98"/>
      <c r="H95" s="98"/>
      <c r="I95" s="98"/>
      <c r="J95" s="98"/>
      <c r="K95" s="98"/>
    </row>
    <row r="96" spans="2:11">
      <c r="B96" s="97"/>
      <c r="C96" s="98"/>
      <c r="D96" s="103"/>
      <c r="E96" s="98"/>
      <c r="F96" s="106"/>
      <c r="G96" s="98"/>
      <c r="H96" s="98"/>
      <c r="I96" s="98"/>
      <c r="J96" s="98"/>
      <c r="K96" s="98"/>
    </row>
    <row r="97" spans="2:11">
      <c r="B97" s="97"/>
      <c r="C97" s="98"/>
      <c r="D97" s="103"/>
      <c r="E97" s="98"/>
      <c r="F97" s="106"/>
      <c r="G97" s="98"/>
      <c r="H97" s="98"/>
      <c r="I97" s="98"/>
      <c r="J97" s="98"/>
      <c r="K97" s="98"/>
    </row>
    <row r="98" spans="2:11">
      <c r="B98" s="97"/>
      <c r="C98" s="98"/>
      <c r="D98" s="103"/>
      <c r="E98" s="98"/>
      <c r="F98" s="106"/>
      <c r="G98" s="98"/>
      <c r="H98" s="98"/>
      <c r="I98" s="98"/>
      <c r="J98" s="98"/>
      <c r="K98" s="98"/>
    </row>
    <row r="99" spans="2:11">
      <c r="B99" s="97"/>
      <c r="C99" s="98"/>
      <c r="D99" s="103"/>
      <c r="E99" s="98"/>
      <c r="F99" s="106"/>
      <c r="G99" s="98"/>
      <c r="H99" s="98"/>
      <c r="I99" s="98"/>
      <c r="J99" s="98"/>
      <c r="K99" s="98"/>
    </row>
    <row r="100" spans="2:11">
      <c r="B100" s="97"/>
      <c r="C100" s="98"/>
      <c r="D100" s="103"/>
      <c r="E100" s="98"/>
      <c r="F100" s="106"/>
      <c r="G100" s="98"/>
      <c r="H100" s="98"/>
      <c r="I100" s="98"/>
      <c r="J100" s="98"/>
      <c r="K100" s="98"/>
    </row>
    <row r="101" spans="2:11">
      <c r="B101" s="97"/>
      <c r="C101" s="98"/>
      <c r="D101" s="103"/>
      <c r="E101" s="98"/>
      <c r="F101" s="106"/>
      <c r="G101" s="98"/>
      <c r="H101" s="98"/>
      <c r="I101" s="98"/>
      <c r="J101" s="98"/>
      <c r="K101" s="98"/>
    </row>
    <row r="102" spans="2:11">
      <c r="B102" s="97"/>
      <c r="C102" s="98"/>
      <c r="D102" s="103"/>
      <c r="E102" s="98"/>
      <c r="F102" s="106"/>
      <c r="G102" s="98"/>
      <c r="H102" s="98"/>
      <c r="I102" s="98"/>
      <c r="J102" s="98"/>
      <c r="K102" s="98"/>
    </row>
    <row r="103" spans="2:11" ht="13.5" thickBot="1">
      <c r="B103" s="99"/>
      <c r="C103" s="100"/>
      <c r="D103" s="104"/>
      <c r="E103" s="100"/>
      <c r="F103" s="107"/>
      <c r="G103" s="100"/>
      <c r="H103" s="100"/>
      <c r="I103" s="100"/>
      <c r="J103" s="100"/>
      <c r="K103" s="100"/>
    </row>
    <row r="104" spans="2:11">
      <c r="B104" s="95"/>
      <c r="C104" s="96"/>
      <c r="D104" s="102"/>
      <c r="E104" s="96"/>
      <c r="F104" s="105"/>
      <c r="G104" s="96"/>
      <c r="H104" s="96"/>
      <c r="I104" s="96"/>
      <c r="J104" s="96"/>
      <c r="K104" s="96"/>
    </row>
    <row r="105" spans="2:11">
      <c r="B105" s="97"/>
      <c r="C105" s="98"/>
      <c r="D105" s="103"/>
      <c r="E105" s="98"/>
      <c r="F105" s="106"/>
      <c r="G105" s="98"/>
      <c r="H105" s="98"/>
      <c r="I105" s="98"/>
      <c r="J105" s="98"/>
      <c r="K105" s="98"/>
    </row>
    <row r="106" spans="2:11">
      <c r="B106" s="97"/>
      <c r="C106" s="98"/>
      <c r="D106" s="103"/>
      <c r="E106" s="98"/>
      <c r="F106" s="106"/>
      <c r="G106" s="98"/>
      <c r="H106" s="98"/>
      <c r="I106" s="98"/>
      <c r="J106" s="98"/>
      <c r="K106" s="98"/>
    </row>
    <row r="107" spans="2:11">
      <c r="B107" s="97"/>
      <c r="C107" s="98"/>
      <c r="D107" s="103"/>
      <c r="E107" s="98"/>
      <c r="F107" s="106"/>
      <c r="G107" s="98"/>
      <c r="H107" s="98"/>
      <c r="I107" s="98"/>
      <c r="J107" s="98"/>
      <c r="K107" s="98"/>
    </row>
    <row r="108" spans="2:11">
      <c r="B108" s="97"/>
      <c r="C108" s="98"/>
      <c r="D108" s="103"/>
      <c r="E108" s="98"/>
      <c r="F108" s="106"/>
      <c r="G108" s="98"/>
      <c r="H108" s="98"/>
      <c r="I108" s="98"/>
      <c r="J108" s="98"/>
      <c r="K108" s="98"/>
    </row>
    <row r="109" spans="2:11">
      <c r="B109" s="97"/>
      <c r="C109" s="98"/>
      <c r="D109" s="103"/>
      <c r="E109" s="98"/>
      <c r="F109" s="106"/>
      <c r="G109" s="98"/>
      <c r="H109" s="98"/>
      <c r="I109" s="98"/>
      <c r="J109" s="98"/>
      <c r="K109" s="98"/>
    </row>
    <row r="110" spans="2:11">
      <c r="B110" s="97"/>
      <c r="C110" s="98"/>
      <c r="D110" s="103"/>
      <c r="E110" s="98"/>
      <c r="F110" s="106"/>
      <c r="G110" s="98"/>
      <c r="H110" s="98"/>
      <c r="I110" s="98"/>
      <c r="J110" s="98"/>
      <c r="K110" s="98"/>
    </row>
    <row r="111" spans="2:11">
      <c r="B111" s="97"/>
      <c r="C111" s="98"/>
      <c r="D111" s="103"/>
      <c r="E111" s="98"/>
      <c r="F111" s="106"/>
      <c r="G111" s="98"/>
      <c r="H111" s="98"/>
      <c r="I111" s="98"/>
      <c r="J111" s="98"/>
      <c r="K111" s="98"/>
    </row>
    <row r="112" spans="2:11">
      <c r="B112" s="97"/>
      <c r="C112" s="98"/>
      <c r="D112" s="103"/>
      <c r="E112" s="98"/>
      <c r="F112" s="106"/>
      <c r="G112" s="98"/>
      <c r="H112" s="98"/>
      <c r="I112" s="98"/>
      <c r="J112" s="98"/>
      <c r="K112" s="98"/>
    </row>
    <row r="113" spans="2:11">
      <c r="B113" s="97"/>
      <c r="C113" s="98"/>
      <c r="D113" s="103"/>
      <c r="E113" s="98"/>
      <c r="F113" s="106"/>
      <c r="G113" s="98"/>
      <c r="H113" s="98"/>
      <c r="I113" s="98"/>
      <c r="J113" s="98"/>
      <c r="K113" s="98"/>
    </row>
    <row r="114" spans="2:11">
      <c r="B114" s="97"/>
      <c r="C114" s="98"/>
      <c r="D114" s="103"/>
      <c r="E114" s="98"/>
      <c r="F114" s="106"/>
      <c r="G114" s="98"/>
      <c r="H114" s="98"/>
      <c r="I114" s="98"/>
      <c r="J114" s="98"/>
      <c r="K114" s="98"/>
    </row>
    <row r="115" spans="2:11" ht="13.5" thickBot="1">
      <c r="B115" s="99"/>
      <c r="C115" s="100"/>
      <c r="D115" s="104"/>
      <c r="E115" s="100"/>
      <c r="F115" s="107"/>
      <c r="G115" s="100"/>
      <c r="H115" s="100"/>
      <c r="I115" s="100"/>
      <c r="J115" s="100"/>
      <c r="K115" s="100"/>
    </row>
    <row r="116" spans="2:11">
      <c r="B116" s="95"/>
      <c r="C116" s="96"/>
      <c r="D116" s="102"/>
      <c r="E116" s="96"/>
      <c r="F116" s="105"/>
      <c r="G116" s="96"/>
      <c r="H116" s="96"/>
      <c r="I116" s="96"/>
      <c r="J116" s="96"/>
      <c r="K116" s="96"/>
    </row>
    <row r="117" spans="2:11">
      <c r="B117" s="97"/>
      <c r="C117" s="98"/>
      <c r="D117" s="103"/>
      <c r="E117" s="98"/>
      <c r="F117" s="106"/>
      <c r="G117" s="98"/>
      <c r="H117" s="98"/>
      <c r="I117" s="98"/>
      <c r="J117" s="98"/>
      <c r="K117" s="98"/>
    </row>
    <row r="118" spans="2:11">
      <c r="B118" s="97"/>
      <c r="C118" s="98"/>
      <c r="D118" s="103"/>
      <c r="E118" s="98"/>
      <c r="F118" s="106"/>
      <c r="G118" s="98"/>
      <c r="H118" s="98"/>
      <c r="I118" s="98"/>
      <c r="J118" s="98"/>
      <c r="K118" s="98"/>
    </row>
    <row r="119" spans="2:11">
      <c r="B119" s="97"/>
      <c r="C119" s="98"/>
      <c r="D119" s="103"/>
      <c r="E119" s="98"/>
      <c r="F119" s="106"/>
      <c r="G119" s="98"/>
      <c r="H119" s="98"/>
      <c r="I119" s="98"/>
      <c r="J119" s="98"/>
      <c r="K119" s="98"/>
    </row>
    <row r="120" spans="2:11">
      <c r="B120" s="97"/>
      <c r="C120" s="98"/>
      <c r="D120" s="103"/>
      <c r="E120" s="98"/>
      <c r="F120" s="106"/>
      <c r="G120" s="98"/>
      <c r="H120" s="98"/>
      <c r="I120" s="98"/>
      <c r="J120" s="98"/>
      <c r="K120" s="98"/>
    </row>
    <row r="121" spans="2:11">
      <c r="B121" s="97"/>
      <c r="C121" s="98"/>
      <c r="D121" s="103"/>
      <c r="E121" s="98"/>
      <c r="F121" s="106"/>
      <c r="G121" s="98"/>
      <c r="H121" s="98"/>
      <c r="I121" s="98"/>
      <c r="J121" s="98"/>
      <c r="K121" s="98"/>
    </row>
    <row r="122" spans="2:11">
      <c r="B122" s="97"/>
      <c r="C122" s="98"/>
      <c r="D122" s="103"/>
      <c r="E122" s="98"/>
      <c r="F122" s="106"/>
      <c r="G122" s="98"/>
      <c r="H122" s="98"/>
      <c r="I122" s="98"/>
      <c r="J122" s="98"/>
      <c r="K122" s="98"/>
    </row>
    <row r="123" spans="2:11">
      <c r="B123" s="97"/>
      <c r="C123" s="98"/>
      <c r="D123" s="103"/>
      <c r="E123" s="98"/>
      <c r="F123" s="106"/>
      <c r="G123" s="98"/>
      <c r="H123" s="98"/>
      <c r="I123" s="98"/>
      <c r="J123" s="98"/>
      <c r="K123" s="98"/>
    </row>
    <row r="124" spans="2:11">
      <c r="B124" s="97"/>
      <c r="C124" s="98"/>
      <c r="D124" s="103"/>
      <c r="E124" s="98"/>
      <c r="F124" s="106"/>
      <c r="G124" s="98"/>
      <c r="H124" s="98"/>
      <c r="I124" s="98"/>
      <c r="J124" s="98"/>
      <c r="K124" s="98"/>
    </row>
    <row r="125" spans="2:11">
      <c r="B125" s="97"/>
      <c r="C125" s="98"/>
      <c r="D125" s="103"/>
      <c r="E125" s="98"/>
      <c r="F125" s="106"/>
      <c r="G125" s="98"/>
      <c r="H125" s="98"/>
      <c r="I125" s="98"/>
      <c r="J125" s="98"/>
      <c r="K125" s="98"/>
    </row>
    <row r="126" spans="2:11">
      <c r="B126" s="97"/>
      <c r="C126" s="98"/>
      <c r="D126" s="103"/>
      <c r="E126" s="98"/>
      <c r="F126" s="106"/>
      <c r="G126" s="98"/>
      <c r="H126" s="98"/>
      <c r="I126" s="98"/>
      <c r="J126" s="98"/>
      <c r="K126" s="98"/>
    </row>
    <row r="127" spans="2:11" ht="13.5" thickBot="1">
      <c r="B127" s="99"/>
      <c r="C127" s="100"/>
      <c r="D127" s="104"/>
      <c r="E127" s="100"/>
      <c r="F127" s="107"/>
      <c r="G127" s="100"/>
      <c r="H127" s="100"/>
      <c r="I127" s="100"/>
      <c r="J127" s="100"/>
      <c r="K127" s="100"/>
    </row>
    <row r="128" spans="2:11">
      <c r="B128" s="95"/>
      <c r="C128" s="96"/>
      <c r="D128" s="102"/>
      <c r="E128" s="96"/>
      <c r="F128" s="105"/>
      <c r="G128" s="96"/>
      <c r="H128" s="96"/>
      <c r="I128" s="96"/>
      <c r="J128" s="96"/>
      <c r="K128" s="96"/>
    </row>
    <row r="129" spans="2:11">
      <c r="B129" s="97"/>
      <c r="C129" s="98"/>
      <c r="D129" s="103"/>
      <c r="E129" s="98"/>
      <c r="F129" s="106"/>
      <c r="G129" s="98"/>
      <c r="H129" s="98"/>
      <c r="I129" s="98"/>
      <c r="J129" s="98"/>
      <c r="K129" s="98"/>
    </row>
    <row r="130" spans="2:11">
      <c r="B130" s="97"/>
      <c r="C130" s="98"/>
      <c r="D130" s="103"/>
      <c r="E130" s="98"/>
      <c r="F130" s="106"/>
      <c r="G130" s="98"/>
      <c r="H130" s="98"/>
      <c r="I130" s="98"/>
      <c r="J130" s="98"/>
      <c r="K130" s="98"/>
    </row>
    <row r="131" spans="2:11">
      <c r="B131" s="97"/>
      <c r="C131" s="98"/>
      <c r="D131" s="103"/>
      <c r="E131" s="98"/>
      <c r="F131" s="106"/>
      <c r="G131" s="98"/>
      <c r="H131" s="98"/>
      <c r="I131" s="98"/>
      <c r="J131" s="98"/>
      <c r="K131" s="98"/>
    </row>
    <row r="132" spans="2:11">
      <c r="B132" s="97"/>
      <c r="C132" s="98"/>
      <c r="D132" s="103"/>
      <c r="E132" s="98"/>
      <c r="F132" s="106"/>
      <c r="G132" s="98"/>
      <c r="H132" s="98"/>
      <c r="I132" s="98"/>
      <c r="J132" s="98"/>
      <c r="K132" s="98"/>
    </row>
    <row r="133" spans="2:11">
      <c r="B133" s="97"/>
      <c r="C133" s="98"/>
      <c r="D133" s="103"/>
      <c r="E133" s="98"/>
      <c r="F133" s="106"/>
      <c r="G133" s="98"/>
      <c r="H133" s="98"/>
      <c r="I133" s="98"/>
      <c r="J133" s="98"/>
      <c r="K133" s="98"/>
    </row>
    <row r="134" spans="2:11">
      <c r="B134" s="97"/>
      <c r="C134" s="98"/>
      <c r="D134" s="103"/>
      <c r="E134" s="98"/>
      <c r="F134" s="106"/>
      <c r="G134" s="98"/>
      <c r="H134" s="98"/>
      <c r="I134" s="98"/>
      <c r="J134" s="98"/>
      <c r="K134" s="98"/>
    </row>
    <row r="135" spans="2:11">
      <c r="B135" s="97"/>
      <c r="C135" s="98"/>
      <c r="D135" s="103"/>
      <c r="E135" s="98"/>
      <c r="F135" s="106"/>
      <c r="G135" s="98"/>
      <c r="H135" s="98"/>
      <c r="I135" s="98"/>
      <c r="J135" s="98"/>
      <c r="K135" s="98"/>
    </row>
    <row r="136" spans="2:11">
      <c r="B136" s="97"/>
      <c r="C136" s="98"/>
      <c r="D136" s="103"/>
      <c r="E136" s="98"/>
      <c r="F136" s="106"/>
      <c r="G136" s="98"/>
      <c r="H136" s="98"/>
      <c r="I136" s="98"/>
      <c r="J136" s="98"/>
      <c r="K136" s="98"/>
    </row>
    <row r="137" spans="2:11">
      <c r="B137" s="97"/>
      <c r="C137" s="98"/>
      <c r="D137" s="103"/>
      <c r="E137" s="98"/>
      <c r="F137" s="106"/>
      <c r="G137" s="98"/>
      <c r="H137" s="98"/>
      <c r="I137" s="98"/>
      <c r="J137" s="98"/>
      <c r="K137" s="98"/>
    </row>
    <row r="138" spans="2:11">
      <c r="B138" s="97"/>
      <c r="C138" s="98"/>
      <c r="D138" s="103"/>
      <c r="E138" s="98"/>
      <c r="F138" s="106"/>
      <c r="G138" s="98"/>
      <c r="H138" s="98"/>
      <c r="I138" s="98"/>
      <c r="J138" s="98"/>
      <c r="K138" s="98"/>
    </row>
    <row r="139" spans="2:11" ht="13.5" thickBot="1">
      <c r="B139" s="99"/>
      <c r="C139" s="100"/>
      <c r="D139" s="104"/>
      <c r="E139" s="100"/>
      <c r="F139" s="107"/>
      <c r="G139" s="100"/>
      <c r="H139" s="100"/>
      <c r="I139" s="100"/>
      <c r="J139" s="100"/>
      <c r="K139" s="100"/>
    </row>
    <row r="140" spans="2:11">
      <c r="B140" s="95"/>
      <c r="C140" s="96"/>
      <c r="D140" s="102"/>
      <c r="E140" s="96"/>
      <c r="F140" s="105"/>
      <c r="G140" s="96"/>
      <c r="H140" s="96"/>
      <c r="I140" s="96"/>
      <c r="J140" s="96"/>
      <c r="K140" s="96"/>
    </row>
    <row r="141" spans="2:11">
      <c r="B141" s="97"/>
      <c r="C141" s="98"/>
      <c r="D141" s="103"/>
      <c r="E141" s="98"/>
      <c r="F141" s="106"/>
      <c r="G141" s="98"/>
      <c r="H141" s="98"/>
      <c r="I141" s="98"/>
      <c r="J141" s="98"/>
      <c r="K141" s="98"/>
    </row>
    <row r="142" spans="2:11">
      <c r="B142" s="97"/>
      <c r="C142" s="98"/>
      <c r="D142" s="103"/>
      <c r="E142" s="98"/>
      <c r="F142" s="106"/>
      <c r="G142" s="98"/>
      <c r="H142" s="98"/>
      <c r="I142" s="98"/>
      <c r="J142" s="98"/>
      <c r="K142" s="98"/>
    </row>
    <row r="143" spans="2:11">
      <c r="B143" s="97"/>
      <c r="C143" s="98"/>
      <c r="D143" s="103"/>
      <c r="E143" s="98"/>
      <c r="F143" s="106"/>
      <c r="G143" s="98"/>
      <c r="H143" s="98"/>
      <c r="I143" s="98"/>
      <c r="J143" s="98"/>
      <c r="K143" s="98"/>
    </row>
    <row r="144" spans="2:11">
      <c r="B144" s="97"/>
      <c r="C144" s="98"/>
      <c r="D144" s="103"/>
      <c r="E144" s="98"/>
      <c r="F144" s="106"/>
      <c r="G144" s="98"/>
      <c r="H144" s="98"/>
      <c r="I144" s="98"/>
      <c r="J144" s="98"/>
      <c r="K144" s="98"/>
    </row>
    <row r="145" spans="2:11">
      <c r="B145" s="97"/>
      <c r="C145" s="98"/>
      <c r="D145" s="103"/>
      <c r="E145" s="98"/>
      <c r="F145" s="106"/>
      <c r="G145" s="98"/>
      <c r="H145" s="98"/>
      <c r="I145" s="98"/>
      <c r="J145" s="98"/>
      <c r="K145" s="98"/>
    </row>
    <row r="146" spans="2:11">
      <c r="B146" s="97"/>
      <c r="C146" s="98"/>
      <c r="D146" s="103"/>
      <c r="E146" s="98"/>
      <c r="F146" s="106"/>
      <c r="G146" s="98"/>
      <c r="H146" s="98"/>
      <c r="I146" s="98"/>
      <c r="J146" s="98"/>
      <c r="K146" s="98"/>
    </row>
    <row r="147" spans="2:11">
      <c r="B147" s="97"/>
      <c r="C147" s="98"/>
      <c r="D147" s="103"/>
      <c r="E147" s="98"/>
      <c r="F147" s="106"/>
      <c r="G147" s="98"/>
      <c r="H147" s="98"/>
      <c r="I147" s="98"/>
      <c r="J147" s="98"/>
      <c r="K147" s="98"/>
    </row>
    <row r="148" spans="2:11">
      <c r="B148" s="97"/>
      <c r="C148" s="98"/>
      <c r="D148" s="103"/>
      <c r="E148" s="98"/>
      <c r="F148" s="106"/>
      <c r="G148" s="98"/>
      <c r="H148" s="98"/>
      <c r="I148" s="98"/>
      <c r="J148" s="98"/>
      <c r="K148" s="98"/>
    </row>
    <row r="149" spans="2:11">
      <c r="B149" s="97"/>
      <c r="C149" s="98"/>
      <c r="D149" s="103"/>
      <c r="E149" s="98"/>
      <c r="F149" s="106"/>
      <c r="G149" s="98"/>
      <c r="H149" s="98"/>
      <c r="I149" s="98"/>
      <c r="J149" s="98"/>
      <c r="K149" s="98"/>
    </row>
    <row r="150" spans="2:11">
      <c r="B150" s="97"/>
      <c r="C150" s="98"/>
      <c r="D150" s="103"/>
      <c r="E150" s="98"/>
      <c r="F150" s="106"/>
      <c r="G150" s="98"/>
      <c r="H150" s="98"/>
      <c r="I150" s="98"/>
      <c r="J150" s="98"/>
      <c r="K150" s="98"/>
    </row>
    <row r="151" spans="2:11" ht="13.5" thickBot="1">
      <c r="B151" s="99"/>
      <c r="C151" s="100"/>
      <c r="D151" s="104"/>
      <c r="E151" s="100"/>
      <c r="F151" s="107"/>
      <c r="G151" s="100"/>
      <c r="H151" s="100"/>
      <c r="I151" s="100"/>
      <c r="J151" s="100"/>
      <c r="K151" s="100"/>
    </row>
    <row r="152" spans="2:11">
      <c r="B152" s="95"/>
      <c r="C152" s="96"/>
      <c r="D152" s="102"/>
      <c r="E152" s="96"/>
      <c r="F152" s="105"/>
      <c r="G152" s="96"/>
      <c r="H152" s="96"/>
      <c r="I152" s="96"/>
      <c r="J152" s="96"/>
      <c r="K152" s="96"/>
    </row>
    <row r="153" spans="2:11">
      <c r="B153" s="97"/>
      <c r="C153" s="98"/>
      <c r="D153" s="103"/>
      <c r="E153" s="98"/>
      <c r="F153" s="106"/>
      <c r="G153" s="98"/>
      <c r="H153" s="98"/>
      <c r="I153" s="98"/>
      <c r="J153" s="98"/>
      <c r="K153" s="98"/>
    </row>
    <row r="154" spans="2:11">
      <c r="B154" s="97"/>
      <c r="C154" s="98"/>
      <c r="D154" s="103"/>
      <c r="E154" s="98"/>
      <c r="F154" s="106"/>
      <c r="G154" s="98"/>
      <c r="H154" s="98"/>
      <c r="I154" s="98"/>
      <c r="J154" s="98"/>
      <c r="K154" s="98"/>
    </row>
    <row r="155" spans="2:11">
      <c r="B155" s="97"/>
      <c r="C155" s="98"/>
      <c r="D155" s="103"/>
      <c r="E155" s="98"/>
      <c r="F155" s="106"/>
      <c r="G155" s="98"/>
      <c r="H155" s="98"/>
      <c r="I155" s="98"/>
      <c r="J155" s="98"/>
      <c r="K155" s="98"/>
    </row>
    <row r="156" spans="2:11">
      <c r="B156" s="97"/>
      <c r="C156" s="98"/>
      <c r="D156" s="103"/>
      <c r="E156" s="98"/>
      <c r="F156" s="106"/>
      <c r="G156" s="98"/>
      <c r="H156" s="98"/>
      <c r="I156" s="98"/>
      <c r="J156" s="98"/>
      <c r="K156" s="98"/>
    </row>
    <row r="157" spans="2:11">
      <c r="B157" s="97"/>
      <c r="C157" s="98"/>
      <c r="D157" s="103"/>
      <c r="E157" s="98"/>
      <c r="F157" s="106"/>
      <c r="G157" s="98"/>
      <c r="H157" s="98"/>
      <c r="I157" s="98"/>
      <c r="J157" s="98"/>
      <c r="K157" s="98"/>
    </row>
    <row r="158" spans="2:11">
      <c r="B158" s="97"/>
      <c r="C158" s="98"/>
      <c r="D158" s="103"/>
      <c r="E158" s="98"/>
      <c r="F158" s="106"/>
      <c r="G158" s="98"/>
      <c r="H158" s="98"/>
      <c r="I158" s="98"/>
      <c r="J158" s="98"/>
      <c r="K158" s="98"/>
    </row>
    <row r="159" spans="2:11">
      <c r="B159" s="97"/>
      <c r="C159" s="98"/>
      <c r="D159" s="103"/>
      <c r="E159" s="98"/>
      <c r="F159" s="106"/>
      <c r="G159" s="98"/>
      <c r="H159" s="98"/>
      <c r="I159" s="98"/>
      <c r="J159" s="98"/>
      <c r="K159" s="98"/>
    </row>
    <row r="160" spans="2:11">
      <c r="B160" s="97"/>
      <c r="C160" s="98"/>
      <c r="D160" s="103"/>
      <c r="E160" s="98"/>
      <c r="F160" s="106"/>
      <c r="G160" s="98"/>
      <c r="H160" s="98"/>
      <c r="I160" s="98"/>
      <c r="J160" s="98"/>
      <c r="K160" s="98"/>
    </row>
    <row r="161" spans="2:11">
      <c r="B161" s="97"/>
      <c r="C161" s="98"/>
      <c r="D161" s="103"/>
      <c r="E161" s="98"/>
      <c r="F161" s="106"/>
      <c r="G161" s="98"/>
      <c r="H161" s="98"/>
      <c r="I161" s="98"/>
      <c r="J161" s="98"/>
      <c r="K161" s="98"/>
    </row>
    <row r="162" spans="2:11">
      <c r="B162" s="97"/>
      <c r="C162" s="98"/>
      <c r="D162" s="103"/>
      <c r="E162" s="98"/>
      <c r="F162" s="106"/>
      <c r="G162" s="98"/>
      <c r="H162" s="98"/>
      <c r="I162" s="98"/>
      <c r="J162" s="98"/>
      <c r="K162" s="98"/>
    </row>
    <row r="163" spans="2:11" ht="13.5" thickBot="1">
      <c r="B163" s="99"/>
      <c r="C163" s="100"/>
      <c r="D163" s="104"/>
      <c r="E163" s="100"/>
      <c r="F163" s="107"/>
      <c r="G163" s="100"/>
      <c r="H163" s="100"/>
      <c r="I163" s="100"/>
      <c r="J163" s="100"/>
      <c r="K163" s="100"/>
    </row>
    <row r="164" spans="2:11">
      <c r="B164" s="95"/>
      <c r="C164" s="96"/>
      <c r="D164" s="102"/>
      <c r="E164" s="96"/>
      <c r="F164" s="105"/>
      <c r="G164" s="96"/>
      <c r="H164" s="96"/>
      <c r="I164" s="96"/>
      <c r="J164" s="96"/>
      <c r="K164" s="96"/>
    </row>
    <row r="165" spans="2:11">
      <c r="B165" s="97"/>
      <c r="C165" s="98"/>
      <c r="D165" s="103"/>
      <c r="E165" s="98"/>
      <c r="F165" s="106"/>
      <c r="G165" s="98"/>
      <c r="H165" s="98"/>
      <c r="I165" s="98"/>
      <c r="J165" s="98"/>
      <c r="K165" s="98"/>
    </row>
    <row r="166" spans="2:11">
      <c r="B166" s="97"/>
      <c r="C166" s="98"/>
      <c r="D166" s="103"/>
      <c r="E166" s="98"/>
      <c r="F166" s="106"/>
      <c r="G166" s="98"/>
      <c r="H166" s="98"/>
      <c r="I166" s="98"/>
      <c r="J166" s="98"/>
      <c r="K166" s="98"/>
    </row>
    <row r="167" spans="2:11">
      <c r="B167" s="97"/>
      <c r="C167" s="98"/>
      <c r="D167" s="103"/>
      <c r="E167" s="98"/>
      <c r="F167" s="106"/>
      <c r="G167" s="98"/>
      <c r="H167" s="98"/>
      <c r="I167" s="98"/>
      <c r="J167" s="98"/>
      <c r="K167" s="98"/>
    </row>
    <row r="168" spans="2:11">
      <c r="B168" s="97"/>
      <c r="C168" s="98"/>
      <c r="D168" s="103"/>
      <c r="E168" s="98"/>
      <c r="F168" s="106"/>
      <c r="G168" s="98"/>
      <c r="H168" s="98"/>
      <c r="I168" s="98"/>
      <c r="J168" s="98"/>
      <c r="K168" s="98"/>
    </row>
    <row r="169" spans="2:11">
      <c r="B169" s="97"/>
      <c r="C169" s="98"/>
      <c r="D169" s="103"/>
      <c r="E169" s="98"/>
      <c r="F169" s="106"/>
      <c r="G169" s="98"/>
      <c r="H169" s="98"/>
      <c r="I169" s="98"/>
      <c r="J169" s="98"/>
      <c r="K169" s="98"/>
    </row>
    <row r="170" spans="2:11">
      <c r="B170" s="97"/>
      <c r="C170" s="98"/>
      <c r="D170" s="103"/>
      <c r="E170" s="98"/>
      <c r="F170" s="106"/>
      <c r="G170" s="98"/>
      <c r="H170" s="98"/>
      <c r="I170" s="98"/>
      <c r="J170" s="98"/>
      <c r="K170" s="98"/>
    </row>
    <row r="171" spans="2:11">
      <c r="B171" s="97"/>
      <c r="C171" s="98"/>
      <c r="D171" s="103"/>
      <c r="E171" s="98"/>
      <c r="F171" s="106"/>
      <c r="G171" s="98"/>
      <c r="H171" s="98"/>
      <c r="I171" s="98"/>
      <c r="J171" s="98"/>
      <c r="K171" s="98"/>
    </row>
    <row r="172" spans="2:11">
      <c r="B172" s="97"/>
      <c r="C172" s="98"/>
      <c r="D172" s="103"/>
      <c r="E172" s="98"/>
      <c r="F172" s="106"/>
      <c r="G172" s="98"/>
      <c r="H172" s="98"/>
      <c r="I172" s="98"/>
      <c r="J172" s="98"/>
      <c r="K172" s="98"/>
    </row>
    <row r="173" spans="2:11">
      <c r="B173" s="97"/>
      <c r="C173" s="98"/>
      <c r="D173" s="103"/>
      <c r="E173" s="98"/>
      <c r="F173" s="106"/>
      <c r="G173" s="98"/>
      <c r="H173" s="98"/>
      <c r="I173" s="98"/>
      <c r="J173" s="98"/>
      <c r="K173" s="98"/>
    </row>
    <row r="174" spans="2:11">
      <c r="B174" s="97"/>
      <c r="C174" s="98"/>
      <c r="D174" s="103"/>
      <c r="E174" s="98"/>
      <c r="F174" s="106"/>
      <c r="G174" s="98"/>
      <c r="H174" s="98"/>
      <c r="I174" s="98"/>
      <c r="J174" s="98"/>
      <c r="K174" s="98"/>
    </row>
    <row r="175" spans="2:11" ht="13.5" thickBot="1">
      <c r="B175" s="99"/>
      <c r="C175" s="100"/>
      <c r="D175" s="104"/>
      <c r="E175" s="100"/>
      <c r="F175" s="107"/>
      <c r="G175" s="100"/>
      <c r="H175" s="100"/>
      <c r="I175" s="100"/>
      <c r="J175" s="100"/>
      <c r="K175" s="100"/>
    </row>
    <row r="176" spans="2:11">
      <c r="B176" s="95"/>
      <c r="C176" s="96"/>
      <c r="D176" s="112"/>
      <c r="E176" s="113"/>
      <c r="F176" s="114"/>
      <c r="G176" s="115"/>
      <c r="H176" s="96"/>
      <c r="I176" s="115"/>
      <c r="J176" s="115"/>
      <c r="K176" s="115"/>
    </row>
    <row r="177" spans="2:3">
      <c r="B177" s="97"/>
      <c r="C177" s="111"/>
    </row>
    <row r="178" spans="2:3">
      <c r="B178" s="97"/>
      <c r="C178" s="98"/>
    </row>
    <row r="179" spans="2:3">
      <c r="B179" s="97"/>
      <c r="C179" s="98"/>
    </row>
    <row r="180" spans="2:3">
      <c r="B180" s="97"/>
      <c r="C180" s="98"/>
    </row>
    <row r="181" spans="2:3">
      <c r="B181" s="97"/>
      <c r="C181" s="98"/>
    </row>
    <row r="182" spans="2:3">
      <c r="B182" s="97"/>
      <c r="C182" s="98"/>
    </row>
    <row r="183" spans="2:3">
      <c r="B183" s="97"/>
      <c r="C183" s="98"/>
    </row>
    <row r="184" spans="2:3">
      <c r="B184" s="97"/>
      <c r="C184" s="98"/>
    </row>
    <row r="185" spans="2:3">
      <c r="B185" s="97"/>
      <c r="C185" s="98"/>
    </row>
    <row r="186" spans="2:3">
      <c r="B186" s="97"/>
      <c r="C186" s="98"/>
    </row>
    <row r="187" spans="2:3" ht="13.5" thickBot="1">
      <c r="B187" s="99"/>
      <c r="C187" s="100"/>
    </row>
  </sheetData>
  <mergeCells count="2">
    <mergeCell ref="J6:O6"/>
    <mergeCell ref="P6:Q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7PSourceSummary</vt:lpstr>
      <vt:lpstr>forRPM</vt:lpstr>
      <vt:lpstr>SC-Retro</vt:lpstr>
      <vt:lpstr>Accomplishments</vt:lpstr>
      <vt:lpstr>M_Input_Out</vt:lpstr>
      <vt:lpstr>M_Input</vt:lpstr>
      <vt:lpstr>Composite</vt:lpstr>
      <vt:lpstr>Pump Sizes</vt:lpstr>
      <vt:lpstr>Raw</vt:lpstr>
      <vt:lpstr>SavingsAnalysis</vt:lpstr>
      <vt:lpstr>CostAnalysis</vt:lpstr>
      <vt:lpstr>Life</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2015-02-02T23:19:35Z</dcterms:modified>
</cp:coreProperties>
</file>